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3年\项目\1司法\处置\2022-1-0602 北京市朝阳区百子湾路32号院1号楼、2号楼、3号楼、7号楼不动产处置参考价\F04\"/>
    </mc:Choice>
  </mc:AlternateContent>
  <xr:revisionPtr revIDLastSave="0" documentId="13_ncr:1_{4D65BA0F-09C3-4E1A-90D7-F71FE45D1B7D}" xr6:coauthVersionLast="45" xr6:coauthVersionMax="45" xr10:uidLastSave="{00000000-0000-0000-0000-000000000000}"/>
  <bookViews>
    <workbookView xWindow="-120" yWindow="-120" windowWidth="20730" windowHeight="11160" tabRatio="899" firstSheet="14"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84" r:id="rId10"/>
    <sheet name="租赁台账-今典底稿" sheetId="88" r:id="rId11"/>
    <sheet name="租约表" sheetId="96" r:id="rId12"/>
    <sheet name="租约整理" sheetId="89" r:id="rId13"/>
    <sheet name="报酬率" sheetId="97" r:id="rId14"/>
    <sheet name="总表" sheetId="98" r:id="rId15"/>
    <sheet name="商业标准户型修正" sheetId="95" r:id="rId16"/>
    <sheet name="车位成交案例" sheetId="83" state="hidden" r:id="rId17"/>
    <sheet name="1号楼" sheetId="81" state="hidden" r:id="rId18"/>
    <sheet name="2号楼" sheetId="80" state="hidden" r:id="rId19"/>
    <sheet name="3号楼" sheetId="79" state="hidden" r:id="rId20"/>
    <sheet name="7号楼" sheetId="78" state="hidden" r:id="rId21"/>
    <sheet name="数据-基础表" sheetId="3" state="hidden" r:id="rId22"/>
    <sheet name="抵押物清单（分楼）" sheetId="42" state="hidden" r:id="rId23"/>
    <sheet name="项目基本情况" sheetId="4" r:id="rId24"/>
    <sheet name="数据-汇总表" sheetId="6" r:id="rId25"/>
    <sheet name="数据-取费表" sheetId="1" r:id="rId26"/>
    <sheet name="结果表-商业" sheetId="9" r:id="rId27"/>
    <sheet name="收益法-商业" sheetId="15" r:id="rId28"/>
    <sheet name="比较法-商业" sheetId="33" r:id="rId29"/>
    <sheet name="商业租金" sheetId="92" state="hidden" r:id="rId30"/>
    <sheet name="租金案例" sheetId="93" r:id="rId31"/>
    <sheet name="成本法-商业" sheetId="68" r:id="rId32"/>
    <sheet name="成本法 (元)" sheetId="69" state="hidden" r:id="rId33"/>
    <sheet name="假设开发法" sheetId="12" state="hidden" r:id="rId34"/>
    <sheet name="收益法 (元)" sheetId="67" state="hidden" r:id="rId35"/>
    <sheet name="收益法-酒店模型" sheetId="77" state="hidden" r:id="rId36"/>
    <sheet name="收益法（汇总）" sheetId="70" state="hidden" r:id="rId37"/>
    <sheet name="比较法-住宅" sheetId="21"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系统读取表" sheetId="74" r:id="rId51"/>
    <sheet name="工作表4" sheetId="90" r:id="rId52"/>
    <sheet name="工作表1" sheetId="91" r:id="rId53"/>
    <sheet name="估价对象房地状况" sheetId="20" state="hidden" r:id="rId54"/>
    <sheet name="现场" sheetId="86" state="hidden" r:id="rId55"/>
    <sheet name="定义" sheetId="10"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8" hidden="1">'比较法-商业'!$A$1:$L$49</definedName>
    <definedName name="_xlnm._FilterDatabase" localSheetId="37" hidden="1">'比较法-住宅'!$A$1:$L$49</definedName>
    <definedName name="_xlnm._FilterDatabase" localSheetId="15" hidden="1">商业标准户型修正!$A$2:$K$60</definedName>
    <definedName name="_xlnm._FilterDatabase" localSheetId="2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23"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28">'比较法-商业'!$A$1:$K$54,'比较法-商业'!$A$57:$M$131</definedName>
    <definedName name="_xlnm.Print_Area" localSheetId="37">'比较法-住宅'!$A$1:$K$54,'比较法-住宅'!$A$57:$M$131</definedName>
    <definedName name="_xlnm.Print_Area" localSheetId="32">'成本法 (元)'!$A$1:$G$57</definedName>
    <definedName name="_xlnm.Print_Area" localSheetId="31">'成本法-商业'!$A$1:$G$57</definedName>
    <definedName name="_xlnm.Print_Area" localSheetId="53">估价对象房地状况!$A$1:$G$24</definedName>
    <definedName name="_xlnm.Print_Area" localSheetId="8">估价师及机构信息!$A$1:$G$22</definedName>
    <definedName name="_xlnm.Print_Area" localSheetId="47">'基准地价（汇总）'!$A$1:$E$13</definedName>
    <definedName name="_xlnm.Print_Area" localSheetId="44">基准地价修正!$A$1:$J$41,基准地价修正!$A$45:$H$88,基准地价修正!$R$1:$V$16</definedName>
    <definedName name="_xlnm.Print_Area" localSheetId="33">假设开发法!$A$1:$K$32</definedName>
    <definedName name="_xlnm.Print_Area" localSheetId="26">'结果表-商业'!$A$1:$I$127</definedName>
    <definedName name="_xlnm.Print_Area" localSheetId="34">'收益法 (元)'!$A$1:$F$43,'收益法 (元)'!$H$3:$M$29,'收益法 (元)'!$A$45:$F$71,'收益法 (元)'!$I$46:$N$65</definedName>
    <definedName name="_xlnm.Print_Area" localSheetId="36">'收益法（汇总）'!$A$1:$F$13</definedName>
    <definedName name="_xlnm.Print_Area" localSheetId="27">'收益法-商业'!$A$1:$F$43,'收益法-商业'!$H$3:$M$29,'收益法-商业'!$A$46:$F$71,'收益法-商业'!$I$46:$N$65</definedName>
    <definedName name="_xlnm.Print_Area" localSheetId="2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50">系统读取表!$A$1:$J$26</definedName>
    <definedName name="_xlnm.Print_Area" localSheetId="23">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14" i="74" l="1"/>
  <c r="C24" i="98" l="1"/>
  <c r="C23" i="98"/>
  <c r="D23" i="98"/>
  <c r="D22" i="98"/>
  <c r="M42" i="95"/>
  <c r="M57" i="95"/>
  <c r="N57" i="95"/>
  <c r="N42" i="95"/>
  <c r="D18" i="98"/>
  <c r="D17" i="98"/>
  <c r="D8" i="98"/>
  <c r="D7" i="98"/>
  <c r="D5" i="98"/>
  <c r="E11" i="98"/>
  <c r="F11" i="98"/>
  <c r="E3" i="98"/>
  <c r="F3" i="98"/>
  <c r="E4" i="98"/>
  <c r="F4" i="98"/>
  <c r="E9" i="98"/>
  <c r="F9" i="98"/>
  <c r="C10" i="98"/>
  <c r="C6" i="98"/>
  <c r="C12" i="98" s="1"/>
  <c r="C6" i="68"/>
  <c r="H23" i="97"/>
  <c r="H2" i="97"/>
  <c r="I4" i="95"/>
  <c r="I54" i="95" s="1"/>
  <c r="I53" i="95"/>
  <c r="I51" i="95"/>
  <c r="I49" i="95"/>
  <c r="I47" i="95"/>
  <c r="I45" i="95"/>
  <c r="I40" i="95"/>
  <c r="I38" i="95"/>
  <c r="I36" i="95"/>
  <c r="I34" i="95"/>
  <c r="I32" i="95"/>
  <c r="I30" i="95"/>
  <c r="I28" i="95"/>
  <c r="I24" i="95"/>
  <c r="I22" i="95"/>
  <c r="I18" i="95"/>
  <c r="I14" i="95"/>
  <c r="I11" i="95"/>
  <c r="I7" i="95"/>
  <c r="Y12" i="95"/>
  <c r="X12" i="95"/>
  <c r="W12" i="95"/>
  <c r="V12" i="95"/>
  <c r="U12" i="95"/>
  <c r="T12" i="95"/>
  <c r="S12" i="95"/>
  <c r="R12" i="95"/>
  <c r="A6" i="1"/>
  <c r="G1" i="15"/>
  <c r="E47" i="33"/>
  <c r="R47" i="33"/>
  <c r="D3" i="4"/>
  <c r="B2" i="1"/>
  <c r="C7" i="33" s="1"/>
  <c r="I7" i="33" s="1"/>
  <c r="F8" i="33"/>
  <c r="AA8" i="33" s="1"/>
  <c r="C63" i="33"/>
  <c r="F9" i="33" s="1"/>
  <c r="AA9" i="33" s="1"/>
  <c r="G66" i="33"/>
  <c r="F10" i="33"/>
  <c r="AA10" i="33" s="1"/>
  <c r="D69" i="33"/>
  <c r="E69" i="33" s="1"/>
  <c r="F69" i="33" s="1"/>
  <c r="B70" i="33"/>
  <c r="F12" i="33"/>
  <c r="AA12" i="33" s="1"/>
  <c r="B72" i="33"/>
  <c r="B74" i="33"/>
  <c r="F14" i="33"/>
  <c r="AA14" i="33" s="1"/>
  <c r="D77" i="33"/>
  <c r="D79" i="33"/>
  <c r="F17" i="33"/>
  <c r="AA17" i="33" s="1"/>
  <c r="F19" i="33"/>
  <c r="AA19" i="33" s="1"/>
  <c r="F21" i="33"/>
  <c r="AA21" i="33" s="1"/>
  <c r="D85" i="33"/>
  <c r="F25" i="33"/>
  <c r="AA25" i="33"/>
  <c r="B88" i="33"/>
  <c r="F26" i="33"/>
  <c r="AA26" i="33" s="1"/>
  <c r="B90" i="33"/>
  <c r="B92" i="33"/>
  <c r="F28" i="33"/>
  <c r="AA28" i="33" s="1"/>
  <c r="B94" i="33"/>
  <c r="H29" i="33" s="1"/>
  <c r="AB29" i="33" s="1"/>
  <c r="B96" i="33"/>
  <c r="F30" i="33"/>
  <c r="AA30" i="33" s="1"/>
  <c r="B98" i="33"/>
  <c r="F32" i="33"/>
  <c r="AA32" i="33"/>
  <c r="F33" i="33"/>
  <c r="AA33" i="33"/>
  <c r="F34" i="33"/>
  <c r="AA34" i="33"/>
  <c r="F35" i="33"/>
  <c r="AA35" i="33"/>
  <c r="E36" i="33"/>
  <c r="D111" i="33"/>
  <c r="E111" i="33" s="1"/>
  <c r="F111" i="33"/>
  <c r="F37" i="33"/>
  <c r="AA37" i="33"/>
  <c r="F38" i="33"/>
  <c r="AA38" i="33"/>
  <c r="F39" i="33"/>
  <c r="AA39" i="33"/>
  <c r="I13" i="3"/>
  <c r="F19" i="6"/>
  <c r="E19" i="6" s="1"/>
  <c r="C40" i="33" s="1"/>
  <c r="F41" i="33"/>
  <c r="AA41" i="33"/>
  <c r="F42" i="33"/>
  <c r="AA42" i="33"/>
  <c r="F43" i="33"/>
  <c r="AA43" i="33"/>
  <c r="B126" i="33"/>
  <c r="C126" i="33"/>
  <c r="D126" i="33"/>
  <c r="F44" i="33"/>
  <c r="AA44" i="33" s="1"/>
  <c r="B128" i="33"/>
  <c r="J45" i="33" s="1"/>
  <c r="B130" i="33"/>
  <c r="F46" i="33"/>
  <c r="AA46" i="33" s="1"/>
  <c r="G47" i="33"/>
  <c r="T47" i="33" s="1"/>
  <c r="H8" i="33"/>
  <c r="AB8" i="33" s="1"/>
  <c r="H9" i="33"/>
  <c r="AB9" i="33" s="1"/>
  <c r="H10" i="33"/>
  <c r="AB10" i="33" s="1"/>
  <c r="H11" i="33"/>
  <c r="AB11" i="33" s="1"/>
  <c r="H12" i="33"/>
  <c r="AB12" i="33" s="1"/>
  <c r="H13" i="33"/>
  <c r="AB13" i="33" s="1"/>
  <c r="H14" i="33"/>
  <c r="AB14" i="33" s="1"/>
  <c r="H15" i="33"/>
  <c r="AB15" i="33" s="1"/>
  <c r="H17" i="33"/>
  <c r="AB17" i="33" s="1"/>
  <c r="H19" i="33"/>
  <c r="AB19" i="33" s="1"/>
  <c r="H21" i="33"/>
  <c r="AB21" i="33" s="1"/>
  <c r="H23" i="33"/>
  <c r="AB23" i="33" s="1"/>
  <c r="H25" i="33"/>
  <c r="AB25" i="33" s="1"/>
  <c r="H26" i="33"/>
  <c r="AB26" i="33" s="1"/>
  <c r="H27" i="33"/>
  <c r="AB27" i="33" s="1"/>
  <c r="H28" i="33"/>
  <c r="AB28" i="33" s="1"/>
  <c r="H30" i="33"/>
  <c r="AB30" i="33" s="1"/>
  <c r="H31" i="33"/>
  <c r="AB31" i="33" s="1"/>
  <c r="H32" i="33"/>
  <c r="AB32" i="33" s="1"/>
  <c r="H33" i="33"/>
  <c r="AB33" i="33" s="1"/>
  <c r="H34" i="33"/>
  <c r="AB34" i="33" s="1"/>
  <c r="H35" i="33"/>
  <c r="AB35" i="33" s="1"/>
  <c r="G36" i="33"/>
  <c r="H37" i="33"/>
  <c r="AB37" i="33"/>
  <c r="H38" i="33"/>
  <c r="AB38" i="33"/>
  <c r="H39" i="33"/>
  <c r="AB39" i="33"/>
  <c r="H41" i="33"/>
  <c r="AB41" i="33"/>
  <c r="H42" i="33"/>
  <c r="AB42" i="33"/>
  <c r="H43" i="33"/>
  <c r="AB43" i="33"/>
  <c r="H46" i="33"/>
  <c r="AB46" i="33"/>
  <c r="I47" i="33"/>
  <c r="V47" i="33"/>
  <c r="J8" i="33"/>
  <c r="AC8" i="33" s="1"/>
  <c r="J10" i="33"/>
  <c r="AC10" i="33" s="1"/>
  <c r="J12" i="33"/>
  <c r="AC12" i="33" s="1"/>
  <c r="J14" i="33"/>
  <c r="AC14" i="33" s="1"/>
  <c r="J17" i="33"/>
  <c r="AC17" i="33" s="1"/>
  <c r="J19" i="33"/>
  <c r="AC19" i="33" s="1"/>
  <c r="J21" i="33"/>
  <c r="AC21" i="33" s="1"/>
  <c r="J25" i="33"/>
  <c r="AC25" i="33" s="1"/>
  <c r="J26" i="33"/>
  <c r="AC26" i="33" s="1"/>
  <c r="J28" i="33"/>
  <c r="AC28" i="33" s="1"/>
  <c r="J30" i="33"/>
  <c r="AC30" i="33" s="1"/>
  <c r="J32" i="33"/>
  <c r="AC32" i="33" s="1"/>
  <c r="J33" i="33"/>
  <c r="AC33" i="33" s="1"/>
  <c r="J34" i="33"/>
  <c r="AC34" i="33" s="1"/>
  <c r="J35" i="33"/>
  <c r="AC35" i="33" s="1"/>
  <c r="I36" i="33"/>
  <c r="J37" i="33"/>
  <c r="AC37" i="33"/>
  <c r="J38" i="33"/>
  <c r="AC38" i="33"/>
  <c r="J39" i="33"/>
  <c r="AC39" i="33"/>
  <c r="J41" i="33"/>
  <c r="AC41" i="33"/>
  <c r="J42" i="33"/>
  <c r="AC42" i="33"/>
  <c r="J43" i="33"/>
  <c r="AC43" i="33"/>
  <c r="AC45" i="33"/>
  <c r="J46" i="33"/>
  <c r="AC46" i="33"/>
  <c r="C1" i="73"/>
  <c r="L1" i="73"/>
  <c r="B43" i="1"/>
  <c r="B41" i="1"/>
  <c r="F32" i="15" s="1"/>
  <c r="C42" i="1"/>
  <c r="F33" i="15"/>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A57" i="3"/>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L58" i="3"/>
  <c r="BO58" i="3"/>
  <c r="BP58" i="3"/>
  <c r="BQ58" i="3"/>
  <c r="BR58" i="3"/>
  <c r="BS58" i="3"/>
  <c r="BT58" i="3"/>
  <c r="BB59" i="3"/>
  <c r="BC59" i="3"/>
  <c r="BD59" i="3"/>
  <c r="BA59" i="3" s="1"/>
  <c r="AZ59" i="3" s="1"/>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M60" i="3"/>
  <c r="BN60" i="3"/>
  <c r="BO60" i="3"/>
  <c r="BL60" i="3" s="1"/>
  <c r="BP60" i="3"/>
  <c r="BQ60" i="3"/>
  <c r="BR60" i="3"/>
  <c r="BS60" i="3"/>
  <c r="BT60" i="3"/>
  <c r="BB61" i="3"/>
  <c r="BC61" i="3"/>
  <c r="BA61" i="3"/>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M62" i="3"/>
  <c r="BN62" i="3"/>
  <c r="BL62" i="3"/>
  <c r="BO62" i="3"/>
  <c r="BP62" i="3"/>
  <c r="BQ62" i="3"/>
  <c r="BR62" i="3"/>
  <c r="BS62" i="3"/>
  <c r="BT62" i="3"/>
  <c r="BB63" i="3"/>
  <c r="BC63" i="3"/>
  <c r="BD63" i="3"/>
  <c r="BA63" i="3" s="1"/>
  <c r="AZ63" i="3" s="1"/>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M64" i="3"/>
  <c r="BN64" i="3"/>
  <c r="BO64" i="3"/>
  <c r="BL64" i="3" s="1"/>
  <c r="BP64" i="3"/>
  <c r="BQ64" i="3"/>
  <c r="BR64" i="3"/>
  <c r="BS64" i="3"/>
  <c r="BT64" i="3"/>
  <c r="BB65" i="3"/>
  <c r="BC65" i="3"/>
  <c r="BA65" i="3"/>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L66" i="3"/>
  <c r="BO66" i="3"/>
  <c r="BP66" i="3"/>
  <c r="BQ66" i="3"/>
  <c r="BR66" i="3"/>
  <c r="BS66" i="3"/>
  <c r="BT66" i="3"/>
  <c r="BB67" i="3"/>
  <c r="BC67" i="3"/>
  <c r="BD67" i="3"/>
  <c r="BA67" i="3" s="1"/>
  <c r="AZ67" i="3" s="1"/>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M68" i="3"/>
  <c r="BN68" i="3"/>
  <c r="BO68" i="3"/>
  <c r="BL68" i="3" s="1"/>
  <c r="BP68" i="3"/>
  <c r="BQ68" i="3"/>
  <c r="BR68" i="3"/>
  <c r="BS68" i="3"/>
  <c r="BT68" i="3"/>
  <c r="BB69" i="3"/>
  <c r="BC69" i="3"/>
  <c r="BA69" i="3"/>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M70" i="3"/>
  <c r="BN70" i="3"/>
  <c r="BL70" i="3"/>
  <c r="BO70" i="3"/>
  <c r="BP70" i="3"/>
  <c r="BQ70" i="3"/>
  <c r="BR70" i="3"/>
  <c r="BS70" i="3"/>
  <c r="BT70" i="3"/>
  <c r="BB71" i="3"/>
  <c r="BC71" i="3"/>
  <c r="BD71" i="3"/>
  <c r="BA71" i="3" s="1"/>
  <c r="AZ71" i="3" s="1"/>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O72" i="3"/>
  <c r="BL72" i="3" s="1"/>
  <c r="BP72" i="3"/>
  <c r="BQ72" i="3"/>
  <c r="BR72" i="3"/>
  <c r="BS72" i="3"/>
  <c r="BT72" i="3"/>
  <c r="BB73" i="3"/>
  <c r="BC73" i="3"/>
  <c r="BA73" i="3"/>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L74" i="3"/>
  <c r="BO74" i="3"/>
  <c r="BP74" i="3"/>
  <c r="BQ74" i="3"/>
  <c r="BR74" i="3"/>
  <c r="BS74" i="3"/>
  <c r="BT74" i="3"/>
  <c r="BB75" i="3"/>
  <c r="BC75" i="3"/>
  <c r="BD75" i="3"/>
  <c r="BA75" i="3" s="1"/>
  <c r="AZ75" i="3" s="1"/>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O76" i="3"/>
  <c r="BL76" i="3" s="1"/>
  <c r="BP76" i="3"/>
  <c r="BQ76" i="3"/>
  <c r="BR76" i="3"/>
  <c r="BS76" i="3"/>
  <c r="BT76" i="3"/>
  <c r="BB77" i="3"/>
  <c r="BC77" i="3"/>
  <c r="BA77" i="3"/>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M78" i="3"/>
  <c r="BN78" i="3"/>
  <c r="BL78" i="3"/>
  <c r="BO78" i="3"/>
  <c r="BP78" i="3"/>
  <c r="BQ78" i="3"/>
  <c r="BR78" i="3"/>
  <c r="BS78" i="3"/>
  <c r="BT78" i="3"/>
  <c r="BB79" i="3"/>
  <c r="BC79" i="3"/>
  <c r="BD79" i="3"/>
  <c r="BA79" i="3" s="1"/>
  <c r="AZ79" i="3" s="1"/>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L80" i="3" s="1"/>
  <c r="BP80" i="3"/>
  <c r="BQ80" i="3"/>
  <c r="BR80" i="3"/>
  <c r="BS80" i="3"/>
  <c r="BT80" i="3"/>
  <c r="BB81" i="3"/>
  <c r="BC81" i="3"/>
  <c r="BA81" i="3"/>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L82" i="3"/>
  <c r="BO82" i="3"/>
  <c r="BP82" i="3"/>
  <c r="BQ82" i="3"/>
  <c r="BR82" i="3"/>
  <c r="BS82" i="3"/>
  <c r="BT82" i="3"/>
  <c r="BB83" i="3"/>
  <c r="BC83" i="3"/>
  <c r="BD83" i="3"/>
  <c r="BA83" i="3" s="1"/>
  <c r="AZ83" i="3" s="1"/>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M84" i="3"/>
  <c r="BN84" i="3"/>
  <c r="BO84" i="3"/>
  <c r="BL84" i="3" s="1"/>
  <c r="BP84" i="3"/>
  <c r="BQ84" i="3"/>
  <c r="BR84" i="3"/>
  <c r="BS84" i="3"/>
  <c r="BT84" i="3"/>
  <c r="BB85" i="3"/>
  <c r="BC85" i="3"/>
  <c r="BA85" i="3"/>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M86" i="3"/>
  <c r="BN86" i="3"/>
  <c r="BL86" i="3"/>
  <c r="BO86" i="3"/>
  <c r="BP86" i="3"/>
  <c r="BQ86" i="3"/>
  <c r="BR86" i="3"/>
  <c r="BS86" i="3"/>
  <c r="BT86" i="3"/>
  <c r="BB87" i="3"/>
  <c r="BC87" i="3"/>
  <c r="BD87" i="3"/>
  <c r="BA87" i="3" s="1"/>
  <c r="AZ87" i="3" s="1"/>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L88" i="3" s="1"/>
  <c r="BP88" i="3"/>
  <c r="BQ88" i="3"/>
  <c r="BR88" i="3"/>
  <c r="BS88" i="3"/>
  <c r="BT88" i="3"/>
  <c r="BB89" i="3"/>
  <c r="BC89" i="3"/>
  <c r="BA89" i="3"/>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L90" i="3"/>
  <c r="BO90" i="3"/>
  <c r="BP90" i="3"/>
  <c r="BQ90" i="3"/>
  <c r="BR90" i="3"/>
  <c r="BS90" i="3"/>
  <c r="BT90" i="3"/>
  <c r="BB91" i="3"/>
  <c r="BC91" i="3"/>
  <c r="BD91" i="3"/>
  <c r="BA91" i="3" s="1"/>
  <c r="AZ91" i="3" s="1"/>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M92" i="3"/>
  <c r="BN92" i="3"/>
  <c r="BO92" i="3"/>
  <c r="BL92" i="3" s="1"/>
  <c r="BP92" i="3"/>
  <c r="BQ92" i="3"/>
  <c r="BR92" i="3"/>
  <c r="BS92" i="3"/>
  <c r="BT92" i="3"/>
  <c r="BB93" i="3"/>
  <c r="BC93" i="3"/>
  <c r="BA93" i="3"/>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M94" i="3"/>
  <c r="BN94" i="3"/>
  <c r="BL94" i="3"/>
  <c r="BO94" i="3"/>
  <c r="BP94" i="3"/>
  <c r="BQ94" i="3"/>
  <c r="BR94" i="3"/>
  <c r="BS94" i="3"/>
  <c r="BT94" i="3"/>
  <c r="BB95" i="3"/>
  <c r="BC95" i="3"/>
  <c r="BD95" i="3"/>
  <c r="BA95" i="3" s="1"/>
  <c r="AZ95" i="3" s="1"/>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O96" i="3"/>
  <c r="BL96" i="3" s="1"/>
  <c r="BP96" i="3"/>
  <c r="BQ96" i="3"/>
  <c r="BR96" i="3"/>
  <c r="BS96" i="3"/>
  <c r="BT96" i="3"/>
  <c r="BB97" i="3"/>
  <c r="BC97" i="3"/>
  <c r="BA97" i="3"/>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L98" i="3"/>
  <c r="BO98" i="3"/>
  <c r="BP98" i="3"/>
  <c r="BQ98" i="3"/>
  <c r="BR98" i="3"/>
  <c r="BS98" i="3"/>
  <c r="BT98" i="3"/>
  <c r="BB99" i="3"/>
  <c r="BC99" i="3"/>
  <c r="BD99" i="3"/>
  <c r="BA99" i="3" s="1"/>
  <c r="AZ99" i="3" s="1"/>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M100" i="3"/>
  <c r="BN100" i="3"/>
  <c r="BO100" i="3"/>
  <c r="BL100" i="3" s="1"/>
  <c r="BP100" i="3"/>
  <c r="BQ100" i="3"/>
  <c r="BR100" i="3"/>
  <c r="BS100" i="3"/>
  <c r="BT100" i="3"/>
  <c r="BB101" i="3"/>
  <c r="BC101" i="3"/>
  <c r="BA101" i="3"/>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M102" i="3"/>
  <c r="BN102" i="3"/>
  <c r="BL102" i="3"/>
  <c r="BO102" i="3"/>
  <c r="BP102" i="3"/>
  <c r="BQ102" i="3"/>
  <c r="BR102" i="3"/>
  <c r="BS102" i="3"/>
  <c r="BT102" i="3"/>
  <c r="BB103" i="3"/>
  <c r="BC103" i="3"/>
  <c r="BD103" i="3"/>
  <c r="BA103" i="3" s="1"/>
  <c r="AZ103" i="3" s="1"/>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L104" i="3" s="1"/>
  <c r="BP104" i="3"/>
  <c r="BQ104" i="3"/>
  <c r="BR104" i="3"/>
  <c r="BS104" i="3"/>
  <c r="BT104" i="3"/>
  <c r="BB105" i="3"/>
  <c r="BC105" i="3"/>
  <c r="BA105" i="3"/>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L106" i="3"/>
  <c r="BO106" i="3"/>
  <c r="BP106" i="3"/>
  <c r="BQ106" i="3"/>
  <c r="BR106" i="3"/>
  <c r="BS106" i="3"/>
  <c r="BT106" i="3"/>
  <c r="BB107" i="3"/>
  <c r="BC107" i="3"/>
  <c r="BD107" i="3"/>
  <c r="BA107" i="3" s="1"/>
  <c r="AZ107" i="3" s="1"/>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M108" i="3"/>
  <c r="BN108" i="3"/>
  <c r="BO108" i="3"/>
  <c r="BL108" i="3" s="1"/>
  <c r="BP108" i="3"/>
  <c r="BQ108" i="3"/>
  <c r="BR108" i="3"/>
  <c r="BS108" i="3"/>
  <c r="BT108" i="3"/>
  <c r="BB109" i="3"/>
  <c r="BC109" i="3"/>
  <c r="BA109" i="3"/>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L110" i="3"/>
  <c r="BO110" i="3"/>
  <c r="BP110" i="3"/>
  <c r="BQ110" i="3"/>
  <c r="BR110" i="3"/>
  <c r="BS110" i="3"/>
  <c r="BT110" i="3"/>
  <c r="BB111" i="3"/>
  <c r="BC111" i="3"/>
  <c r="BD111" i="3"/>
  <c r="BA111" i="3" s="1"/>
  <c r="AZ111" i="3" s="1"/>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M112" i="3"/>
  <c r="BN112" i="3"/>
  <c r="BO112" i="3"/>
  <c r="BL112" i="3" s="1"/>
  <c r="BP112" i="3"/>
  <c r="BQ112" i="3"/>
  <c r="BR112" i="3"/>
  <c r="BS112" i="3"/>
  <c r="BT112" i="3"/>
  <c r="BB113" i="3"/>
  <c r="BC113" i="3"/>
  <c r="BA113" i="3"/>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L148" i="3" s="1"/>
  <c r="BP148" i="3"/>
  <c r="BQ148" i="3"/>
  <c r="BR148" i="3"/>
  <c r="BS148" i="3"/>
  <c r="BT148" i="3"/>
  <c r="BB149" i="3"/>
  <c r="BC149" i="3"/>
  <c r="BA149" i="3"/>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M150" i="3"/>
  <c r="BN150" i="3"/>
  <c r="BL150" i="3"/>
  <c r="BO150" i="3"/>
  <c r="BP150" i="3"/>
  <c r="BQ150" i="3"/>
  <c r="BR150" i="3"/>
  <c r="BS150" i="3"/>
  <c r="BT150" i="3"/>
  <c r="BB151" i="3"/>
  <c r="BC151" i="3"/>
  <c r="BD151" i="3"/>
  <c r="BA151" i="3" s="1"/>
  <c r="AZ151" i="3" s="1"/>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L152" i="3" s="1"/>
  <c r="BP152" i="3"/>
  <c r="BQ152" i="3"/>
  <c r="BR152" i="3"/>
  <c r="BS152" i="3"/>
  <c r="BT152" i="3"/>
  <c r="BB153" i="3"/>
  <c r="BC153" i="3"/>
  <c r="BA153" i="3"/>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L154" i="3"/>
  <c r="BO154" i="3"/>
  <c r="BP154" i="3"/>
  <c r="BQ154" i="3"/>
  <c r="BR154" i="3"/>
  <c r="BS154" i="3"/>
  <c r="BT154" i="3"/>
  <c r="BB155" i="3"/>
  <c r="BC155" i="3"/>
  <c r="BD155" i="3"/>
  <c r="BA155" i="3" s="1"/>
  <c r="AZ155" i="3" s="1"/>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M156" i="3"/>
  <c r="BN156" i="3"/>
  <c r="BO156" i="3"/>
  <c r="BL156" i="3" s="1"/>
  <c r="BP156" i="3"/>
  <c r="BQ156" i="3"/>
  <c r="BR156" i="3"/>
  <c r="BS156" i="3"/>
  <c r="BT156" i="3"/>
  <c r="BB157" i="3"/>
  <c r="BC157" i="3"/>
  <c r="BA157" i="3"/>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M158" i="3"/>
  <c r="BN158" i="3"/>
  <c r="BL158" i="3"/>
  <c r="BO158" i="3"/>
  <c r="BP158" i="3"/>
  <c r="BQ158" i="3"/>
  <c r="BR158" i="3"/>
  <c r="BS158" i="3"/>
  <c r="BT158" i="3"/>
  <c r="BB159" i="3"/>
  <c r="BC159" i="3"/>
  <c r="BD159" i="3"/>
  <c r="BA159" i="3" s="1"/>
  <c r="AZ159" i="3" s="1"/>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L160" i="3" s="1"/>
  <c r="BP160" i="3"/>
  <c r="BQ160" i="3"/>
  <c r="BR160" i="3"/>
  <c r="BS160" i="3"/>
  <c r="BT160" i="3"/>
  <c r="BB161" i="3"/>
  <c r="BC161" i="3"/>
  <c r="BA161" i="3"/>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L162" i="3"/>
  <c r="BO162" i="3"/>
  <c r="BP162" i="3"/>
  <c r="BQ162" i="3"/>
  <c r="BR162" i="3"/>
  <c r="BS162" i="3"/>
  <c r="BT162" i="3"/>
  <c r="BB163" i="3"/>
  <c r="BC163" i="3"/>
  <c r="BD163" i="3"/>
  <c r="BA163" i="3" s="1"/>
  <c r="AZ163" i="3" s="1"/>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M164" i="3"/>
  <c r="BN164" i="3"/>
  <c r="BO164" i="3"/>
  <c r="BL164" i="3" s="1"/>
  <c r="BP164" i="3"/>
  <c r="BQ164" i="3"/>
  <c r="BR164" i="3"/>
  <c r="BS164" i="3"/>
  <c r="BT164" i="3"/>
  <c r="BB165" i="3"/>
  <c r="BC165" i="3"/>
  <c r="BA165" i="3"/>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L166" i="3"/>
  <c r="BO166" i="3"/>
  <c r="BP166" i="3"/>
  <c r="BQ166" i="3"/>
  <c r="BR166" i="3"/>
  <c r="BS166" i="3"/>
  <c r="BT166" i="3"/>
  <c r="BB167" i="3"/>
  <c r="BC167" i="3"/>
  <c r="BD167" i="3"/>
  <c r="BA167" i="3" s="1"/>
  <c r="AZ167" i="3" s="1"/>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L168" i="3" s="1"/>
  <c r="BP168" i="3"/>
  <c r="BQ168" i="3"/>
  <c r="BR168" i="3"/>
  <c r="BS168" i="3"/>
  <c r="BT168" i="3"/>
  <c r="BB169" i="3"/>
  <c r="BC169" i="3"/>
  <c r="BA169" i="3"/>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M170" i="3"/>
  <c r="BN170" i="3"/>
  <c r="BL170" i="3"/>
  <c r="BO170" i="3"/>
  <c r="BP170" i="3"/>
  <c r="BQ170" i="3"/>
  <c r="BR170" i="3"/>
  <c r="BS170" i="3"/>
  <c r="BT170" i="3"/>
  <c r="BB171" i="3"/>
  <c r="BC171" i="3"/>
  <c r="BD171" i="3"/>
  <c r="BA171" i="3" s="1"/>
  <c r="AZ171" i="3" s="1"/>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M172" i="3"/>
  <c r="BN172" i="3"/>
  <c r="BO172" i="3"/>
  <c r="BL172" i="3" s="1"/>
  <c r="BP172" i="3"/>
  <c r="BQ172" i="3"/>
  <c r="BR172" i="3"/>
  <c r="BS172" i="3"/>
  <c r="BT172" i="3"/>
  <c r="BB173" i="3"/>
  <c r="BC173" i="3"/>
  <c r="BA173" i="3"/>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M174" i="3"/>
  <c r="BN174" i="3"/>
  <c r="BL174" i="3"/>
  <c r="BO174" i="3"/>
  <c r="BP174" i="3"/>
  <c r="BQ174" i="3"/>
  <c r="BR174" i="3"/>
  <c r="BS174" i="3"/>
  <c r="BT174" i="3"/>
  <c r="BB175" i="3"/>
  <c r="BC175" i="3"/>
  <c r="BD175" i="3"/>
  <c r="BA175" i="3" s="1"/>
  <c r="AZ175" i="3" s="1"/>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L176" i="3" s="1"/>
  <c r="BO176" i="3"/>
  <c r="BP176" i="3"/>
  <c r="BQ176" i="3"/>
  <c r="BR176" i="3"/>
  <c r="BS176" i="3"/>
  <c r="BT176" i="3"/>
  <c r="BB177" i="3"/>
  <c r="BC177" i="3"/>
  <c r="BA177" i="3" s="1"/>
  <c r="BD177" i="3"/>
  <c r="BE177" i="3"/>
  <c r="BF177" i="3"/>
  <c r="BG177" i="3"/>
  <c r="BH177" i="3"/>
  <c r="BI177" i="3"/>
  <c r="BJ177" i="3"/>
  <c r="BK177" i="3"/>
  <c r="BM177" i="3"/>
  <c r="BN177" i="3"/>
  <c r="BL177" i="3" s="1"/>
  <c r="BO177" i="3"/>
  <c r="BP177" i="3"/>
  <c r="BQ177" i="3"/>
  <c r="BR177" i="3"/>
  <c r="BS177" i="3"/>
  <c r="BT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BD183" i="3"/>
  <c r="BE183" i="3"/>
  <c r="BF183" i="3"/>
  <c r="BG183" i="3"/>
  <c r="BH183" i="3"/>
  <c r="BI183" i="3"/>
  <c r="BJ183" i="3"/>
  <c r="BK183" i="3"/>
  <c r="BM183" i="3"/>
  <c r="BN183" i="3"/>
  <c r="BL183" i="3" s="1"/>
  <c r="BO183" i="3"/>
  <c r="BP183" i="3"/>
  <c r="BQ183" i="3"/>
  <c r="BR183" i="3"/>
  <c r="BS183" i="3"/>
  <c r="BT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BD185" i="3"/>
  <c r="BE185" i="3"/>
  <c r="BF185" i="3"/>
  <c r="BG185" i="3"/>
  <c r="BH185" i="3"/>
  <c r="BI185" i="3"/>
  <c r="BJ185" i="3"/>
  <c r="BK185" i="3"/>
  <c r="BM185" i="3"/>
  <c r="BN185" i="3"/>
  <c r="BL185" i="3" s="1"/>
  <c r="BO185" i="3"/>
  <c r="BP185" i="3"/>
  <c r="BQ185" i="3"/>
  <c r="BR185" i="3"/>
  <c r="BS185" i="3"/>
  <c r="BT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BD195" i="3"/>
  <c r="BE195" i="3"/>
  <c r="BF195" i="3"/>
  <c r="BG195" i="3"/>
  <c r="BH195" i="3"/>
  <c r="BI195" i="3"/>
  <c r="BJ195" i="3"/>
  <c r="BK195" i="3"/>
  <c r="BM195" i="3"/>
  <c r="BN195" i="3"/>
  <c r="BL195" i="3" s="1"/>
  <c r="BO195" i="3"/>
  <c r="BP195" i="3"/>
  <c r="BQ195" i="3"/>
  <c r="BR195" i="3"/>
  <c r="BS195" i="3"/>
  <c r="BT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BD197" i="3"/>
  <c r="BE197" i="3"/>
  <c r="BF197" i="3"/>
  <c r="BG197" i="3"/>
  <c r="BH197" i="3"/>
  <c r="BI197" i="3"/>
  <c r="BJ197" i="3"/>
  <c r="BK197" i="3"/>
  <c r="BM197" i="3"/>
  <c r="BN197" i="3"/>
  <c r="BL197" i="3" s="1"/>
  <c r="BO197" i="3"/>
  <c r="BP197" i="3"/>
  <c r="BQ197" i="3"/>
  <c r="BR197" i="3"/>
  <c r="BS197" i="3"/>
  <c r="BT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BD203" i="3"/>
  <c r="BE203" i="3"/>
  <c r="BF203" i="3"/>
  <c r="BG203" i="3"/>
  <c r="BH203" i="3"/>
  <c r="BI203" i="3"/>
  <c r="BJ203" i="3"/>
  <c r="BK203" i="3"/>
  <c r="BM203" i="3"/>
  <c r="BN203" i="3"/>
  <c r="BL203" i="3" s="1"/>
  <c r="BO203" i="3"/>
  <c r="BP203" i="3"/>
  <c r="BQ203" i="3"/>
  <c r="BR203" i="3"/>
  <c r="BS203" i="3"/>
  <c r="BT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BD207" i="3"/>
  <c r="BE207" i="3"/>
  <c r="BF207" i="3"/>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BD213" i="3"/>
  <c r="BE213" i="3"/>
  <c r="BF213" i="3"/>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BD219" i="3"/>
  <c r="BE219" i="3"/>
  <c r="BF219" i="3"/>
  <c r="BG219" i="3"/>
  <c r="BH219" i="3"/>
  <c r="BI219" i="3"/>
  <c r="BJ219" i="3"/>
  <c r="BK219" i="3"/>
  <c r="BM219" i="3"/>
  <c r="BN219" i="3"/>
  <c r="BL219" i="3" s="1"/>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AZ224" i="3" s="1"/>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AZ228" i="3" s="1"/>
  <c r="BM228" i="3"/>
  <c r="BN228" i="3"/>
  <c r="BL228" i="3" s="1"/>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AZ232" i="3" s="1"/>
  <c r="BM232" i="3"/>
  <c r="BN232" i="3"/>
  <c r="BL232" i="3" s="1"/>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AZ236" i="3" s="1"/>
  <c r="BM236" i="3"/>
  <c r="BN236" i="3"/>
  <c r="BL236" i="3" s="1"/>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A238" i="3"/>
  <c r="BM238" i="3"/>
  <c r="BN238" i="3"/>
  <c r="BO238" i="3"/>
  <c r="BP238" i="3"/>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AZ240" i="3" s="1"/>
  <c r="BM240" i="3"/>
  <c r="BN240" i="3"/>
  <c r="BL240" i="3" s="1"/>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AZ244" i="3" s="1"/>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A247" i="3" s="1"/>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AZ248" i="3" s="1"/>
  <c r="BM248" i="3"/>
  <c r="BN248" i="3"/>
  <c r="BL248" i="3" s="1"/>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AZ252" i="3" s="1"/>
  <c r="BM252" i="3"/>
  <c r="BN252" i="3"/>
  <c r="BL252" i="3" s="1"/>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AZ256" i="3" s="1"/>
  <c r="BM256" i="3"/>
  <c r="BN256" i="3"/>
  <c r="BL256" i="3" s="1"/>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AZ260" i="3" s="1"/>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AZ264" i="3" s="1"/>
  <c r="BM264" i="3"/>
  <c r="BN264" i="3"/>
  <c r="BL264" i="3" s="1"/>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BD271" i="3"/>
  <c r="BE271" i="3"/>
  <c r="BF271" i="3"/>
  <c r="BG271" i="3"/>
  <c r="BH271" i="3"/>
  <c r="BI271" i="3"/>
  <c r="BJ271" i="3"/>
  <c r="BK271" i="3"/>
  <c r="BM271" i="3"/>
  <c r="BN271" i="3"/>
  <c r="BL271" i="3" s="1"/>
  <c r="BO271" i="3"/>
  <c r="BP271" i="3"/>
  <c r="BQ271" i="3"/>
  <c r="BR271" i="3"/>
  <c r="BS271" i="3"/>
  <c r="BT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BD275" i="3"/>
  <c r="BE275" i="3"/>
  <c r="BF275" i="3"/>
  <c r="BG275" i="3"/>
  <c r="BH275" i="3"/>
  <c r="BI275" i="3"/>
  <c r="BJ275" i="3"/>
  <c r="BK275" i="3"/>
  <c r="BM275" i="3"/>
  <c r="BN275" i="3"/>
  <c r="BL275" i="3" s="1"/>
  <c r="BO275" i="3"/>
  <c r="BP275" i="3"/>
  <c r="BQ275" i="3"/>
  <c r="BR275" i="3"/>
  <c r="BS275" i="3"/>
  <c r="BT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BD277" i="3"/>
  <c r="BE277" i="3"/>
  <c r="BF277" i="3"/>
  <c r="BG277" i="3"/>
  <c r="BH277" i="3"/>
  <c r="BI277" i="3"/>
  <c r="BJ277" i="3"/>
  <c r="BK277" i="3"/>
  <c r="BM277" i="3"/>
  <c r="BN277" i="3"/>
  <c r="BL277" i="3" s="1"/>
  <c r="BO277" i="3"/>
  <c r="BP277" i="3"/>
  <c r="BQ277" i="3"/>
  <c r="BR277" i="3"/>
  <c r="BS277" i="3"/>
  <c r="BT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BD279" i="3"/>
  <c r="BE279" i="3"/>
  <c r="BF279" i="3"/>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BD281" i="3"/>
  <c r="BE281" i="3"/>
  <c r="BF281" i="3"/>
  <c r="BG281" i="3"/>
  <c r="BH281" i="3"/>
  <c r="BI281" i="3"/>
  <c r="BJ281" i="3"/>
  <c r="BK281" i="3"/>
  <c r="BM281" i="3"/>
  <c r="BN281" i="3"/>
  <c r="BL281" i="3" s="1"/>
  <c r="BO281" i="3"/>
  <c r="BP281" i="3"/>
  <c r="BQ281" i="3"/>
  <c r="BR281" i="3"/>
  <c r="BS281" i="3"/>
  <c r="BT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BD287" i="3"/>
  <c r="BE287" i="3"/>
  <c r="BF287" i="3"/>
  <c r="BG287" i="3"/>
  <c r="BH287" i="3"/>
  <c r="BI287" i="3"/>
  <c r="BJ287" i="3"/>
  <c r="BK287" i="3"/>
  <c r="BM287" i="3"/>
  <c r="BN287" i="3"/>
  <c r="BL287" i="3" s="1"/>
  <c r="BO287" i="3"/>
  <c r="BP287" i="3"/>
  <c r="BQ287" i="3"/>
  <c r="BR287" i="3"/>
  <c r="BS287" i="3"/>
  <c r="BT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BD289" i="3"/>
  <c r="BE289" i="3"/>
  <c r="BF289" i="3"/>
  <c r="BG289" i="3"/>
  <c r="BH289" i="3"/>
  <c r="BI289" i="3"/>
  <c r="BJ289" i="3"/>
  <c r="BK289" i="3"/>
  <c r="BM289" i="3"/>
  <c r="BN289" i="3"/>
  <c r="BO289" i="3"/>
  <c r="BP289" i="3"/>
  <c r="BQ289" i="3"/>
  <c r="BR289" i="3"/>
  <c r="BL289" i="3" s="1"/>
  <c r="BS289" i="3"/>
  <c r="BT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BD291" i="3"/>
  <c r="BE291" i="3"/>
  <c r="BF291" i="3"/>
  <c r="BG291" i="3"/>
  <c r="BH291" i="3"/>
  <c r="BI291" i="3"/>
  <c r="BJ291" i="3"/>
  <c r="BK291" i="3"/>
  <c r="BM291" i="3"/>
  <c r="BN291" i="3"/>
  <c r="BO291" i="3"/>
  <c r="BP291" i="3"/>
  <c r="BQ291" i="3"/>
  <c r="BR291" i="3"/>
  <c r="BS291" i="3"/>
  <c r="BT291" i="3"/>
  <c r="BL291" i="3" s="1"/>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L298" i="3" s="1"/>
  <c r="AZ298" i="3" s="1"/>
  <c r="BP298" i="3"/>
  <c r="BQ298" i="3"/>
  <c r="BR298" i="3"/>
  <c r="BS298" i="3"/>
  <c r="BT298" i="3"/>
  <c r="BB299" i="3"/>
  <c r="BC299" i="3"/>
  <c r="BD299" i="3"/>
  <c r="BA299" i="3" s="1"/>
  <c r="AZ299" i="3" s="1"/>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L300" i="3" s="1"/>
  <c r="AZ300" i="3" s="1"/>
  <c r="BP300" i="3"/>
  <c r="BQ300" i="3"/>
  <c r="BR300" i="3"/>
  <c r="BS300" i="3"/>
  <c r="BT300" i="3"/>
  <c r="BB301" i="3"/>
  <c r="BC301" i="3"/>
  <c r="BD301" i="3"/>
  <c r="BA301" i="3" s="1"/>
  <c r="AZ301" i="3" s="1"/>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D303" i="3"/>
  <c r="BA303" i="3" s="1"/>
  <c r="AZ303" i="3" s="1"/>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BD305" i="3"/>
  <c r="BE305" i="3"/>
  <c r="BF305" i="3"/>
  <c r="BG305" i="3"/>
  <c r="BH305" i="3"/>
  <c r="BI305" i="3"/>
  <c r="BJ305" i="3"/>
  <c r="BK305" i="3"/>
  <c r="BM305" i="3"/>
  <c r="BN305" i="3"/>
  <c r="BO305" i="3"/>
  <c r="BP305" i="3"/>
  <c r="BQ305" i="3"/>
  <c r="BR305" i="3"/>
  <c r="BS305" i="3"/>
  <c r="BT305" i="3"/>
  <c r="BL305" i="3" s="1"/>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L308" i="3" s="1"/>
  <c r="AZ308" i="3" s="1"/>
  <c r="BP308" i="3"/>
  <c r="BQ308" i="3"/>
  <c r="BR308" i="3"/>
  <c r="BS308" i="3"/>
  <c r="BT308" i="3"/>
  <c r="BB309" i="3"/>
  <c r="BC309" i="3"/>
  <c r="BD309" i="3"/>
  <c r="BA309" i="3" s="1"/>
  <c r="AZ309" i="3" s="1"/>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L310" i="3" s="1"/>
  <c r="AZ310" i="3" s="1"/>
  <c r="BP310" i="3"/>
  <c r="BQ310" i="3"/>
  <c r="BR310" i="3"/>
  <c r="BS310" i="3"/>
  <c r="BT310" i="3"/>
  <c r="BB311" i="3"/>
  <c r="BC311" i="3"/>
  <c r="BD311" i="3"/>
  <c r="BA311" i="3" s="1"/>
  <c r="AZ311" i="3" s="1"/>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L312" i="3" s="1"/>
  <c r="AZ312" i="3" s="1"/>
  <c r="BP312" i="3"/>
  <c r="BQ312" i="3"/>
  <c r="BR312" i="3"/>
  <c r="BS312" i="3"/>
  <c r="BT312" i="3"/>
  <c r="BB313" i="3"/>
  <c r="BC313" i="3"/>
  <c r="BD313" i="3"/>
  <c r="BA313" i="3" s="1"/>
  <c r="AZ313" i="3" s="1"/>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L314" i="3" s="1"/>
  <c r="AZ314" i="3" s="1"/>
  <c r="BP314" i="3"/>
  <c r="BQ314" i="3"/>
  <c r="BR314" i="3"/>
  <c r="BS314" i="3"/>
  <c r="BT314" i="3"/>
  <c r="BB315" i="3"/>
  <c r="BC315" i="3"/>
  <c r="BD315" i="3"/>
  <c r="BA315" i="3" s="1"/>
  <c r="AZ315" i="3" s="1"/>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s="1"/>
  <c r="AZ316" i="3" s="1"/>
  <c r="BM316" i="3"/>
  <c r="BN316" i="3"/>
  <c r="BO316" i="3"/>
  <c r="BL316" i="3" s="1"/>
  <c r="BP316" i="3"/>
  <c r="BQ316" i="3"/>
  <c r="BR316" i="3"/>
  <c r="BS316" i="3"/>
  <c r="BT316" i="3"/>
  <c r="BB317" i="3"/>
  <c r="BC317" i="3"/>
  <c r="BD317" i="3"/>
  <c r="BA317" i="3" s="1"/>
  <c r="AZ317" i="3" s="1"/>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D319" i="3"/>
  <c r="BA319" i="3" s="1"/>
  <c r="AZ319" i="3" s="1"/>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D321" i="3"/>
  <c r="BA321" i="3" s="1"/>
  <c r="AZ321" i="3" s="1"/>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s="1"/>
  <c r="BM322" i="3"/>
  <c r="BN322" i="3"/>
  <c r="BO322" i="3"/>
  <c r="BL322" i="3" s="1"/>
  <c r="BP322" i="3"/>
  <c r="BQ322" i="3"/>
  <c r="BR322" i="3"/>
  <c r="BS322" i="3"/>
  <c r="BT322" i="3"/>
  <c r="BB323" i="3"/>
  <c r="BC323" i="3"/>
  <c r="BD323" i="3"/>
  <c r="BA323" i="3" s="1"/>
  <c r="AZ323" i="3" s="1"/>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L324" i="3" s="1"/>
  <c r="AZ324" i="3" s="1"/>
  <c r="BP324" i="3"/>
  <c r="BQ324" i="3"/>
  <c r="BR324" i="3"/>
  <c r="BS324" i="3"/>
  <c r="BT324" i="3"/>
  <c r="BB325" i="3"/>
  <c r="BC325" i="3"/>
  <c r="BD325" i="3"/>
  <c r="BA325" i="3" s="1"/>
  <c r="AZ325" i="3" s="1"/>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L326" i="3" s="1"/>
  <c r="AZ326" i="3" s="1"/>
  <c r="BP326" i="3"/>
  <c r="BQ326" i="3"/>
  <c r="BR326" i="3"/>
  <c r="BS326" i="3"/>
  <c r="BT326" i="3"/>
  <c r="BB327" i="3"/>
  <c r="BC327" i="3"/>
  <c r="BD327" i="3"/>
  <c r="BA327" i="3" s="1"/>
  <c r="AZ327" i="3" s="1"/>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s="1"/>
  <c r="AZ328" i="3" s="1"/>
  <c r="BM328" i="3"/>
  <c r="BN328" i="3"/>
  <c r="BO328" i="3"/>
  <c r="BL328" i="3" s="1"/>
  <c r="BP328" i="3"/>
  <c r="BQ328" i="3"/>
  <c r="BR328" i="3"/>
  <c r="BS328" i="3"/>
  <c r="BT328" i="3"/>
  <c r="BB329" i="3"/>
  <c r="BC329" i="3"/>
  <c r="BD329" i="3"/>
  <c r="BA329" i="3" s="1"/>
  <c r="AZ329" i="3" s="1"/>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s="1"/>
  <c r="BM330" i="3"/>
  <c r="BN330" i="3"/>
  <c r="BO330" i="3"/>
  <c r="BL330" i="3" s="1"/>
  <c r="BP330" i="3"/>
  <c r="BQ330" i="3"/>
  <c r="BR330" i="3"/>
  <c r="BS330" i="3"/>
  <c r="BT330" i="3"/>
  <c r="BB331" i="3"/>
  <c r="BC331" i="3"/>
  <c r="BD331" i="3"/>
  <c r="BA331" i="3" s="1"/>
  <c r="AZ331" i="3" s="1"/>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s="1"/>
  <c r="AZ332" i="3" s="1"/>
  <c r="BM332" i="3"/>
  <c r="BN332" i="3"/>
  <c r="BO332" i="3"/>
  <c r="BL332" i="3" s="1"/>
  <c r="BP332" i="3"/>
  <c r="BQ332" i="3"/>
  <c r="BR332" i="3"/>
  <c r="BS332" i="3"/>
  <c r="BT332" i="3"/>
  <c r="BB333" i="3"/>
  <c r="BC333" i="3"/>
  <c r="BD333" i="3"/>
  <c r="BA333" i="3" s="1"/>
  <c r="AZ333" i="3" s="1"/>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A334" i="3" s="1"/>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s="1"/>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L357" i="3" s="1"/>
  <c r="BP357" i="3"/>
  <c r="BQ357" i="3"/>
  <c r="BR357" i="3"/>
  <c r="BS357" i="3"/>
  <c r="BT357" i="3"/>
  <c r="BB358" i="3"/>
  <c r="BC358" i="3"/>
  <c r="BD358" i="3"/>
  <c r="BA358" i="3" s="1"/>
  <c r="AZ358" i="3" s="1"/>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s="1"/>
  <c r="BM359" i="3"/>
  <c r="BN359" i="3"/>
  <c r="BO359" i="3"/>
  <c r="BL359" i="3" s="1"/>
  <c r="BP359" i="3"/>
  <c r="BQ359" i="3"/>
  <c r="BR359" i="3"/>
  <c r="BS359" i="3"/>
  <c r="BT359" i="3"/>
  <c r="BB360" i="3"/>
  <c r="BC360" i="3"/>
  <c r="BD360" i="3"/>
  <c r="BA360" i="3" s="1"/>
  <c r="AZ360" i="3" s="1"/>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s="1"/>
  <c r="AZ361" i="3" s="1"/>
  <c r="BM361" i="3"/>
  <c r="BN361" i="3"/>
  <c r="BO361" i="3"/>
  <c r="BL361" i="3" s="1"/>
  <c r="BP361" i="3"/>
  <c r="BQ361" i="3"/>
  <c r="BR361" i="3"/>
  <c r="BS361" i="3"/>
  <c r="BT361" i="3"/>
  <c r="BB362" i="3"/>
  <c r="BC362" i="3"/>
  <c r="BD362" i="3"/>
  <c r="BA362" i="3" s="1"/>
  <c r="AZ362" i="3" s="1"/>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s="1"/>
  <c r="BM363" i="3"/>
  <c r="BN363" i="3"/>
  <c r="BO363" i="3"/>
  <c r="BL363" i="3" s="1"/>
  <c r="BP363" i="3"/>
  <c r="BQ363" i="3"/>
  <c r="BR363" i="3"/>
  <c r="BS363" i="3"/>
  <c r="BT363" i="3"/>
  <c r="BB364" i="3"/>
  <c r="BC364" i="3"/>
  <c r="BD364" i="3"/>
  <c r="BA364" i="3" s="1"/>
  <c r="AZ364" i="3" s="1"/>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s="1"/>
  <c r="AZ365" i="3" s="1"/>
  <c r="BM365" i="3"/>
  <c r="BN365" i="3"/>
  <c r="BO365" i="3"/>
  <c r="BL365" i="3" s="1"/>
  <c r="BP365" i="3"/>
  <c r="BQ365" i="3"/>
  <c r="BR365" i="3"/>
  <c r="BS365" i="3"/>
  <c r="BT365" i="3"/>
  <c r="BB366" i="3"/>
  <c r="BC366" i="3"/>
  <c r="BD366" i="3"/>
  <c r="BA366" i="3" s="1"/>
  <c r="AZ366" i="3" s="1"/>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s="1"/>
  <c r="BM367" i="3"/>
  <c r="BN367" i="3"/>
  <c r="BO367" i="3"/>
  <c r="BL367" i="3" s="1"/>
  <c r="BP367" i="3"/>
  <c r="BQ367" i="3"/>
  <c r="BR367" i="3"/>
  <c r="BS367" i="3"/>
  <c r="BT367" i="3"/>
  <c r="BB368" i="3"/>
  <c r="BC368" i="3"/>
  <c r="BD368" i="3"/>
  <c r="BA368" i="3" s="1"/>
  <c r="AZ368" i="3" s="1"/>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s="1"/>
  <c r="AZ369" i="3" s="1"/>
  <c r="BM369" i="3"/>
  <c r="BN369" i="3"/>
  <c r="BO369" i="3"/>
  <c r="BL369" i="3" s="1"/>
  <c r="BP369" i="3"/>
  <c r="BQ369" i="3"/>
  <c r="BR369" i="3"/>
  <c r="BS369" i="3"/>
  <c r="BT369" i="3"/>
  <c r="BB370" i="3"/>
  <c r="BC370" i="3"/>
  <c r="BD370" i="3"/>
  <c r="BA370" i="3" s="1"/>
  <c r="AZ370" i="3" s="1"/>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D372" i="3"/>
  <c r="BA372" i="3" s="1"/>
  <c r="AZ372" i="3" s="1"/>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s="1"/>
  <c r="BM373" i="3"/>
  <c r="BN373" i="3"/>
  <c r="BO373" i="3"/>
  <c r="BL373" i="3" s="1"/>
  <c r="BP373" i="3"/>
  <c r="BQ373" i="3"/>
  <c r="BR373" i="3"/>
  <c r="BS373" i="3"/>
  <c r="BT373" i="3"/>
  <c r="BB374" i="3"/>
  <c r="BC374" i="3"/>
  <c r="BD374" i="3"/>
  <c r="BA374" i="3" s="1"/>
  <c r="AZ374" i="3" s="1"/>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L375" i="3" s="1"/>
  <c r="AZ375" i="3" s="1"/>
  <c r="BP375" i="3"/>
  <c r="BQ375" i="3"/>
  <c r="BR375" i="3"/>
  <c r="BS375" i="3"/>
  <c r="BT375" i="3"/>
  <c r="BB376" i="3"/>
  <c r="BC376" i="3"/>
  <c r="BD376" i="3"/>
  <c r="BA376" i="3" s="1"/>
  <c r="AZ376" i="3" s="1"/>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L379" i="3" s="1"/>
  <c r="AZ379" i="3" s="1"/>
  <c r="BP379" i="3"/>
  <c r="BQ379" i="3"/>
  <c r="BR379" i="3"/>
  <c r="BS379" i="3"/>
  <c r="BT379" i="3"/>
  <c r="BB380" i="3"/>
  <c r="BC380" i="3"/>
  <c r="BD380" i="3"/>
  <c r="BA380" i="3" s="1"/>
  <c r="AZ380" i="3" s="1"/>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D382" i="3"/>
  <c r="BA382" i="3" s="1"/>
  <c r="AZ382" i="3" s="1"/>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s="1"/>
  <c r="AZ383" i="3" s="1"/>
  <c r="BM383" i="3"/>
  <c r="BN383" i="3"/>
  <c r="BO383" i="3"/>
  <c r="BL383" i="3" s="1"/>
  <c r="BP383" i="3"/>
  <c r="BQ383" i="3"/>
  <c r="BR383" i="3"/>
  <c r="BS383" i="3"/>
  <c r="BT383" i="3"/>
  <c r="BB384" i="3"/>
  <c r="BC384" i="3"/>
  <c r="BD384" i="3"/>
  <c r="BA384" i="3" s="1"/>
  <c r="AZ384" i="3" s="1"/>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L385" i="3" s="1"/>
  <c r="AZ385" i="3" s="1"/>
  <c r="BP385" i="3"/>
  <c r="BQ385" i="3"/>
  <c r="BR385" i="3"/>
  <c r="BS385" i="3"/>
  <c r="BT385" i="3"/>
  <c r="BB386" i="3"/>
  <c r="BC386" i="3"/>
  <c r="BD386" i="3"/>
  <c r="BA386" i="3" s="1"/>
  <c r="AZ386" i="3" s="1"/>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D388" i="3"/>
  <c r="BA388" i="3" s="1"/>
  <c r="AZ388" i="3" s="1"/>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s="1"/>
  <c r="BM389" i="3"/>
  <c r="BN389" i="3"/>
  <c r="BO389" i="3"/>
  <c r="BL389" i="3" s="1"/>
  <c r="BP389" i="3"/>
  <c r="BQ389" i="3"/>
  <c r="BR389" i="3"/>
  <c r="BS389" i="3"/>
  <c r="BT389" i="3"/>
  <c r="BB390" i="3"/>
  <c r="BC390" i="3"/>
  <c r="BD390" i="3"/>
  <c r="BA390" i="3" s="1"/>
  <c r="AZ390" i="3" s="1"/>
  <c r="BE390" i="3"/>
  <c r="BF390" i="3"/>
  <c r="BG390" i="3"/>
  <c r="BH390" i="3"/>
  <c r="BI390" i="3"/>
  <c r="BJ390" i="3"/>
  <c r="BK390" i="3"/>
  <c r="BM390" i="3"/>
  <c r="BN390" i="3"/>
  <c r="BO390" i="3"/>
  <c r="BP390" i="3"/>
  <c r="BQ390" i="3"/>
  <c r="BR390" i="3"/>
  <c r="BS390" i="3"/>
  <c r="BT390" i="3"/>
  <c r="BL390" i="3" s="1"/>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L393" i="3" s="1"/>
  <c r="AZ393" i="3" s="1"/>
  <c r="BP393" i="3"/>
  <c r="BQ393" i="3"/>
  <c r="BR393" i="3"/>
  <c r="BS393" i="3"/>
  <c r="BT393" i="3"/>
  <c r="BB394" i="3"/>
  <c r="BC394" i="3"/>
  <c r="BD394" i="3"/>
  <c r="BA394" i="3" s="1"/>
  <c r="AZ394" i="3" s="1"/>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s="1"/>
  <c r="BM395" i="3"/>
  <c r="BN395" i="3"/>
  <c r="BO395" i="3"/>
  <c r="BL395" i="3" s="1"/>
  <c r="BP395" i="3"/>
  <c r="BQ395" i="3"/>
  <c r="BR395" i="3"/>
  <c r="BS395" i="3"/>
  <c r="BT395" i="3"/>
  <c r="BB396" i="3"/>
  <c r="BC396" i="3"/>
  <c r="BD396" i="3"/>
  <c r="BA396" i="3" s="1"/>
  <c r="AZ396" i="3" s="1"/>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s="1"/>
  <c r="AZ397" i="3" s="1"/>
  <c r="BM397" i="3"/>
  <c r="BN397" i="3"/>
  <c r="BO397" i="3"/>
  <c r="BL397" i="3" s="1"/>
  <c r="BP397" i="3"/>
  <c r="BQ397" i="3"/>
  <c r="BR397" i="3"/>
  <c r="BS397" i="3"/>
  <c r="BT397" i="3"/>
  <c r="BB398" i="3"/>
  <c r="BC398" i="3"/>
  <c r="BD398" i="3"/>
  <c r="BA398" i="3" s="1"/>
  <c r="AZ398" i="3" s="1"/>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s="1"/>
  <c r="BM399" i="3"/>
  <c r="BN399" i="3"/>
  <c r="BO399" i="3"/>
  <c r="BL399" i="3" s="1"/>
  <c r="BP399" i="3"/>
  <c r="BQ399" i="3"/>
  <c r="BR399" i="3"/>
  <c r="BS399" i="3"/>
  <c r="BT399" i="3"/>
  <c r="BB400" i="3"/>
  <c r="BC400" i="3"/>
  <c r="BD400" i="3"/>
  <c r="BA400" i="3" s="1"/>
  <c r="AZ400" i="3" s="1"/>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s="1"/>
  <c r="AZ401" i="3" s="1"/>
  <c r="BM401" i="3"/>
  <c r="BN401" i="3"/>
  <c r="BO401" i="3"/>
  <c r="BL401" i="3" s="1"/>
  <c r="BP401" i="3"/>
  <c r="BQ401" i="3"/>
  <c r="BR401" i="3"/>
  <c r="BS401" i="3"/>
  <c r="BT401" i="3"/>
  <c r="BB402" i="3"/>
  <c r="BC402" i="3"/>
  <c r="BD402" i="3"/>
  <c r="BA402" i="3" s="1"/>
  <c r="AZ402" i="3" s="1"/>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s="1"/>
  <c r="BM403" i="3"/>
  <c r="BN403" i="3"/>
  <c r="BO403" i="3"/>
  <c r="BL403" i="3" s="1"/>
  <c r="BP403" i="3"/>
  <c r="BQ403" i="3"/>
  <c r="BR403" i="3"/>
  <c r="BS403" i="3"/>
  <c r="BT403" i="3"/>
  <c r="BB404" i="3"/>
  <c r="BC404" i="3"/>
  <c r="BD404" i="3"/>
  <c r="BA404" i="3" s="1"/>
  <c r="AZ404" i="3" s="1"/>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L405" i="3" s="1"/>
  <c r="AZ405" i="3" s="1"/>
  <c r="BP405" i="3"/>
  <c r="BQ405" i="3"/>
  <c r="BR405" i="3"/>
  <c r="BS405" i="3"/>
  <c r="BT405" i="3"/>
  <c r="BB406" i="3"/>
  <c r="BC406" i="3"/>
  <c r="BD406" i="3"/>
  <c r="BA406" i="3" s="1"/>
  <c r="AZ406" i="3" s="1"/>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s="1"/>
  <c r="BM407" i="3"/>
  <c r="BN407" i="3"/>
  <c r="BO407" i="3"/>
  <c r="BP407" i="3"/>
  <c r="BQ407" i="3"/>
  <c r="BR407" i="3"/>
  <c r="BS407" i="3"/>
  <c r="BT407" i="3"/>
  <c r="BB408" i="3"/>
  <c r="BC408" i="3"/>
  <c r="BA408" i="3" s="1"/>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BD476" i="3"/>
  <c r="BE476" i="3"/>
  <c r="BF476" i="3"/>
  <c r="BG476" i="3"/>
  <c r="BH476" i="3"/>
  <c r="BI476" i="3"/>
  <c r="BJ476" i="3"/>
  <c r="BK476" i="3"/>
  <c r="BM476" i="3"/>
  <c r="BN476" i="3"/>
  <c r="BO476" i="3"/>
  <c r="BP476" i="3"/>
  <c r="BL476" i="3" s="1"/>
  <c r="BQ476" i="3"/>
  <c r="BR476" i="3"/>
  <c r="BS476" i="3"/>
  <c r="BT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BD482" i="3"/>
  <c r="BE482" i="3"/>
  <c r="BF482" i="3"/>
  <c r="BG482" i="3"/>
  <c r="BH482" i="3"/>
  <c r="BI482" i="3"/>
  <c r="BJ482" i="3"/>
  <c r="BK482" i="3"/>
  <c r="BM482" i="3"/>
  <c r="BN482" i="3"/>
  <c r="BO482" i="3"/>
  <c r="BP482" i="3"/>
  <c r="BQ482" i="3"/>
  <c r="BR482" i="3"/>
  <c r="BL482" i="3" s="1"/>
  <c r="BS482" i="3"/>
  <c r="BT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BD484" i="3"/>
  <c r="BE484" i="3"/>
  <c r="BF484" i="3"/>
  <c r="BG484" i="3"/>
  <c r="BH484" i="3"/>
  <c r="BI484" i="3"/>
  <c r="BJ484" i="3"/>
  <c r="BK484" i="3"/>
  <c r="BM484" i="3"/>
  <c r="BN484" i="3"/>
  <c r="BO484" i="3"/>
  <c r="BP484" i="3"/>
  <c r="BQ484" i="3"/>
  <c r="BR484" i="3"/>
  <c r="BS484" i="3"/>
  <c r="BT484" i="3"/>
  <c r="BL484" i="3" s="1"/>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L487" i="3" s="1"/>
  <c r="AZ487" i="3" s="1"/>
  <c r="BP487" i="3"/>
  <c r="BQ487" i="3"/>
  <c r="BR487" i="3"/>
  <c r="BS487" i="3"/>
  <c r="BT487" i="3"/>
  <c r="BB488" i="3"/>
  <c r="BC488" i="3"/>
  <c r="BD488" i="3"/>
  <c r="BA488" i="3" s="1"/>
  <c r="AZ488" i="3" s="1"/>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s="1"/>
  <c r="AZ489" i="3" s="1"/>
  <c r="BM489" i="3"/>
  <c r="BN489" i="3"/>
  <c r="BO489" i="3"/>
  <c r="BL489" i="3" s="1"/>
  <c r="BP489" i="3"/>
  <c r="BQ489" i="3"/>
  <c r="BR489" i="3"/>
  <c r="BS489" i="3"/>
  <c r="BT489" i="3"/>
  <c r="BB490" i="3"/>
  <c r="BC490" i="3"/>
  <c r="BD490" i="3"/>
  <c r="BA490" i="3" s="1"/>
  <c r="AZ490" i="3" s="1"/>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A491" i="3" s="1"/>
  <c r="AZ491" i="3" s="1"/>
  <c r="BJ491" i="3"/>
  <c r="BK491" i="3"/>
  <c r="BM491" i="3"/>
  <c r="BN491" i="3"/>
  <c r="BO491" i="3"/>
  <c r="BL491" i="3" s="1"/>
  <c r="BP491" i="3"/>
  <c r="BQ491" i="3"/>
  <c r="BR491" i="3"/>
  <c r="BS491" i="3"/>
  <c r="BT491" i="3"/>
  <c r="BB492" i="3"/>
  <c r="BC492" i="3"/>
  <c r="BD492" i="3"/>
  <c r="BA492" i="3" s="1"/>
  <c r="AZ492" i="3" s="1"/>
  <c r="BE492" i="3"/>
  <c r="BF492" i="3"/>
  <c r="BG492" i="3"/>
  <c r="BH492" i="3"/>
  <c r="BI492" i="3"/>
  <c r="BJ492" i="3"/>
  <c r="BK492" i="3"/>
  <c r="BM492" i="3"/>
  <c r="BN492" i="3"/>
  <c r="BO492" i="3"/>
  <c r="BP492" i="3"/>
  <c r="BQ492" i="3"/>
  <c r="BR492" i="3"/>
  <c r="BS492" i="3"/>
  <c r="BT492" i="3"/>
  <c r="BL492" i="3"/>
  <c r="BB493" i="3"/>
  <c r="BC493" i="3"/>
  <c r="BD493" i="3"/>
  <c r="BE493" i="3"/>
  <c r="BF493" i="3"/>
  <c r="BG493" i="3"/>
  <c r="BA493" i="3" s="1"/>
  <c r="AZ493" i="3" s="1"/>
  <c r="BH493" i="3"/>
  <c r="BI493" i="3"/>
  <c r="BJ493" i="3"/>
  <c r="BK493" i="3"/>
  <c r="BM493" i="3"/>
  <c r="BN493" i="3"/>
  <c r="BO493" i="3"/>
  <c r="BL493" i="3" s="1"/>
  <c r="BP493" i="3"/>
  <c r="BQ493" i="3"/>
  <c r="BR493" i="3"/>
  <c r="BS493" i="3"/>
  <c r="BT493" i="3"/>
  <c r="BB494" i="3"/>
  <c r="BC494" i="3"/>
  <c r="BD494" i="3"/>
  <c r="BA494" i="3" s="1"/>
  <c r="AZ494" i="3" s="1"/>
  <c r="BE494" i="3"/>
  <c r="BF494" i="3"/>
  <c r="BG494" i="3"/>
  <c r="BH494" i="3"/>
  <c r="BI494" i="3"/>
  <c r="BJ494" i="3"/>
  <c r="BK494" i="3"/>
  <c r="BM494" i="3"/>
  <c r="BN494" i="3"/>
  <c r="BO494" i="3"/>
  <c r="BP494" i="3"/>
  <c r="BQ494" i="3"/>
  <c r="BR494" i="3"/>
  <c r="BS494" i="3"/>
  <c r="BT494" i="3"/>
  <c r="BL494" i="3"/>
  <c r="BB495" i="3"/>
  <c r="BC495" i="3"/>
  <c r="BD495" i="3"/>
  <c r="BE495" i="3"/>
  <c r="BF495" i="3"/>
  <c r="BG495" i="3"/>
  <c r="BA495" i="3" s="1"/>
  <c r="AZ495" i="3" s="1"/>
  <c r="BH495" i="3"/>
  <c r="BI495" i="3"/>
  <c r="BJ495" i="3"/>
  <c r="BK495" i="3"/>
  <c r="BM495" i="3"/>
  <c r="BN495" i="3"/>
  <c r="BO495" i="3"/>
  <c r="BL495" i="3" s="1"/>
  <c r="BP495" i="3"/>
  <c r="BQ495" i="3"/>
  <c r="BR495" i="3"/>
  <c r="BS495" i="3"/>
  <c r="BT495" i="3"/>
  <c r="BB496" i="3"/>
  <c r="BC496" i="3"/>
  <c r="BD496" i="3"/>
  <c r="BA496" i="3" s="1"/>
  <c r="AZ496" i="3" s="1"/>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A497" i="3" s="1"/>
  <c r="AZ497" i="3" s="1"/>
  <c r="BJ497" i="3"/>
  <c r="BK497" i="3"/>
  <c r="BM497" i="3"/>
  <c r="BN497" i="3"/>
  <c r="BO497" i="3"/>
  <c r="BL497" i="3" s="1"/>
  <c r="BP497" i="3"/>
  <c r="BQ497" i="3"/>
  <c r="BR497" i="3"/>
  <c r="BS497" i="3"/>
  <c r="BT497" i="3"/>
  <c r="BB498" i="3"/>
  <c r="BC498" i="3"/>
  <c r="BD498" i="3"/>
  <c r="BA498" i="3" s="1"/>
  <c r="AZ498" i="3" s="1"/>
  <c r="BE498" i="3"/>
  <c r="BF498" i="3"/>
  <c r="BG498" i="3"/>
  <c r="BH498" i="3"/>
  <c r="BI498" i="3"/>
  <c r="BJ498" i="3"/>
  <c r="BK498" i="3"/>
  <c r="BM498" i="3"/>
  <c r="BN498" i="3"/>
  <c r="BO498" i="3"/>
  <c r="BP498" i="3"/>
  <c r="BQ498" i="3"/>
  <c r="BR498" i="3"/>
  <c r="BS498" i="3"/>
  <c r="BT498" i="3"/>
  <c r="BL498" i="3"/>
  <c r="BB499" i="3"/>
  <c r="BC499" i="3"/>
  <c r="BD499" i="3"/>
  <c r="BE499" i="3"/>
  <c r="BF499" i="3"/>
  <c r="BG499" i="3"/>
  <c r="BA499" i="3" s="1"/>
  <c r="AZ499" i="3" s="1"/>
  <c r="BH499" i="3"/>
  <c r="BI499" i="3"/>
  <c r="BJ499" i="3"/>
  <c r="BK499" i="3"/>
  <c r="BM499" i="3"/>
  <c r="BN499" i="3"/>
  <c r="BO499" i="3"/>
  <c r="BL499" i="3" s="1"/>
  <c r="BP499" i="3"/>
  <c r="BQ499" i="3"/>
  <c r="BR499" i="3"/>
  <c r="BS499" i="3"/>
  <c r="BT499" i="3"/>
  <c r="BB500" i="3"/>
  <c r="BC500" i="3"/>
  <c r="BD500" i="3"/>
  <c r="BA500" i="3" s="1"/>
  <c r="AZ500" i="3" s="1"/>
  <c r="BE500" i="3"/>
  <c r="BF500" i="3"/>
  <c r="BG500" i="3"/>
  <c r="BH500" i="3"/>
  <c r="BI500" i="3"/>
  <c r="BJ500" i="3"/>
  <c r="BK500" i="3"/>
  <c r="BM500" i="3"/>
  <c r="BN500" i="3"/>
  <c r="BO500" i="3"/>
  <c r="BP500" i="3"/>
  <c r="BQ500" i="3"/>
  <c r="BR500" i="3"/>
  <c r="BS500" i="3"/>
  <c r="BT500" i="3"/>
  <c r="BL500" i="3"/>
  <c r="BB501" i="3"/>
  <c r="BC501" i="3"/>
  <c r="BD501" i="3"/>
  <c r="BE501" i="3"/>
  <c r="BA501" i="3" s="1"/>
  <c r="AZ501" i="3" s="1"/>
  <c r="BF501" i="3"/>
  <c r="BG501" i="3"/>
  <c r="BH501" i="3"/>
  <c r="BI501" i="3"/>
  <c r="BJ501" i="3"/>
  <c r="BK501" i="3"/>
  <c r="BM501" i="3"/>
  <c r="BN501" i="3"/>
  <c r="BO501" i="3"/>
  <c r="BL501" i="3" s="1"/>
  <c r="BP501" i="3"/>
  <c r="BQ501" i="3"/>
  <c r="BR501" i="3"/>
  <c r="BS501" i="3"/>
  <c r="BT501" i="3"/>
  <c r="BB502" i="3"/>
  <c r="BC502" i="3"/>
  <c r="BD502" i="3"/>
  <c r="BA502" i="3" s="1"/>
  <c r="AZ502" i="3" s="1"/>
  <c r="BE502" i="3"/>
  <c r="BF502" i="3"/>
  <c r="BG502" i="3"/>
  <c r="BH502" i="3"/>
  <c r="BI502" i="3"/>
  <c r="BJ502" i="3"/>
  <c r="BK502" i="3"/>
  <c r="BM502" i="3"/>
  <c r="BN502" i="3"/>
  <c r="BO502" i="3"/>
  <c r="BP502" i="3"/>
  <c r="BQ502" i="3"/>
  <c r="BR502" i="3"/>
  <c r="BS502" i="3"/>
  <c r="BT502" i="3"/>
  <c r="BL502" i="3"/>
  <c r="BB503" i="3"/>
  <c r="BC503" i="3"/>
  <c r="BD503" i="3"/>
  <c r="BE503" i="3"/>
  <c r="BA503" i="3" s="1"/>
  <c r="AZ503" i="3" s="1"/>
  <c r="BF503" i="3"/>
  <c r="BG503" i="3"/>
  <c r="BH503" i="3"/>
  <c r="BI503" i="3"/>
  <c r="BJ503" i="3"/>
  <c r="BK503" i="3"/>
  <c r="BM503" i="3"/>
  <c r="BN503" i="3"/>
  <c r="BO503" i="3"/>
  <c r="BL503" i="3" s="1"/>
  <c r="BP503" i="3"/>
  <c r="BQ503" i="3"/>
  <c r="BR503" i="3"/>
  <c r="BS503" i="3"/>
  <c r="BT503" i="3"/>
  <c r="BB504" i="3"/>
  <c r="BC504" i="3"/>
  <c r="BD504" i="3"/>
  <c r="BA504" i="3" s="1"/>
  <c r="AZ504" i="3" s="1"/>
  <c r="BE504" i="3"/>
  <c r="BF504" i="3"/>
  <c r="BG504" i="3"/>
  <c r="BH504" i="3"/>
  <c r="BI504" i="3"/>
  <c r="BJ504" i="3"/>
  <c r="BK504" i="3"/>
  <c r="BM504" i="3"/>
  <c r="BN504" i="3"/>
  <c r="BO504" i="3"/>
  <c r="BP504" i="3"/>
  <c r="BQ504" i="3"/>
  <c r="BR504" i="3"/>
  <c r="BS504" i="3"/>
  <c r="BT504" i="3"/>
  <c r="BL504" i="3"/>
  <c r="BB505" i="3"/>
  <c r="BC505" i="3"/>
  <c r="BA505" i="3" s="1"/>
  <c r="AZ505" i="3" s="1"/>
  <c r="BD505" i="3"/>
  <c r="BE505" i="3"/>
  <c r="BF505" i="3"/>
  <c r="BG505" i="3"/>
  <c r="BH505" i="3"/>
  <c r="BI505" i="3"/>
  <c r="BJ505" i="3"/>
  <c r="BK505" i="3"/>
  <c r="BM505" i="3"/>
  <c r="BN505" i="3"/>
  <c r="BO505" i="3"/>
  <c r="BL505" i="3" s="1"/>
  <c r="BP505" i="3"/>
  <c r="BQ505" i="3"/>
  <c r="BR505" i="3"/>
  <c r="BS505" i="3"/>
  <c r="BT505" i="3"/>
  <c r="BB506" i="3"/>
  <c r="BC506" i="3"/>
  <c r="BD506" i="3"/>
  <c r="BA506" i="3" s="1"/>
  <c r="AZ506" i="3" s="1"/>
  <c r="BE506" i="3"/>
  <c r="BF506" i="3"/>
  <c r="BG506" i="3"/>
  <c r="BH506" i="3"/>
  <c r="BI506" i="3"/>
  <c r="BJ506" i="3"/>
  <c r="BK506" i="3"/>
  <c r="BM506" i="3"/>
  <c r="BN506" i="3"/>
  <c r="BO506" i="3"/>
  <c r="BP506" i="3"/>
  <c r="BQ506" i="3"/>
  <c r="BR506" i="3"/>
  <c r="BS506" i="3"/>
  <c r="BT506" i="3"/>
  <c r="BL506" i="3"/>
  <c r="BB507" i="3"/>
  <c r="BC507" i="3"/>
  <c r="BA507" i="3" s="1"/>
  <c r="AZ507" i="3" s="1"/>
  <c r="BD507" i="3"/>
  <c r="BE507" i="3"/>
  <c r="BF507" i="3"/>
  <c r="BG507" i="3"/>
  <c r="BH507" i="3"/>
  <c r="BI507" i="3"/>
  <c r="BJ507" i="3"/>
  <c r="BK507" i="3"/>
  <c r="BM507" i="3"/>
  <c r="BN507" i="3"/>
  <c r="BO507" i="3"/>
  <c r="BL507" i="3" s="1"/>
  <c r="BP507" i="3"/>
  <c r="BQ507" i="3"/>
  <c r="BR507" i="3"/>
  <c r="BS507" i="3"/>
  <c r="BT507" i="3"/>
  <c r="BB508" i="3"/>
  <c r="BC508" i="3"/>
  <c r="BD508" i="3"/>
  <c r="BA508" i="3" s="1"/>
  <c r="AZ508" i="3" s="1"/>
  <c r="BE508" i="3"/>
  <c r="BF508" i="3"/>
  <c r="BG508" i="3"/>
  <c r="BH508" i="3"/>
  <c r="BI508" i="3"/>
  <c r="BJ508" i="3"/>
  <c r="BK508" i="3"/>
  <c r="BM508" i="3"/>
  <c r="BN508" i="3"/>
  <c r="BO508" i="3"/>
  <c r="BP508" i="3"/>
  <c r="BQ508" i="3"/>
  <c r="BR508" i="3"/>
  <c r="BS508" i="3"/>
  <c r="BT508" i="3"/>
  <c r="BL508" i="3"/>
  <c r="BB509" i="3"/>
  <c r="BC509" i="3"/>
  <c r="BA509" i="3" s="1"/>
  <c r="AZ509" i="3" s="1"/>
  <c r="BD509" i="3"/>
  <c r="BE509" i="3"/>
  <c r="BF509" i="3"/>
  <c r="BG509" i="3"/>
  <c r="BH509" i="3"/>
  <c r="BI509" i="3"/>
  <c r="BJ509" i="3"/>
  <c r="BK509" i="3"/>
  <c r="BM509" i="3"/>
  <c r="BN509" i="3"/>
  <c r="BO509" i="3"/>
  <c r="BL509" i="3" s="1"/>
  <c r="BP509" i="3"/>
  <c r="BQ509" i="3"/>
  <c r="BR509" i="3"/>
  <c r="BS509" i="3"/>
  <c r="BT509" i="3"/>
  <c r="BB510" i="3"/>
  <c r="BC510" i="3"/>
  <c r="BD510" i="3"/>
  <c r="BA510" i="3" s="1"/>
  <c r="AZ510" i="3" s="1"/>
  <c r="BE510" i="3"/>
  <c r="BF510" i="3"/>
  <c r="BG510" i="3"/>
  <c r="BH510" i="3"/>
  <c r="BI510" i="3"/>
  <c r="BJ510" i="3"/>
  <c r="BK510" i="3"/>
  <c r="BM510" i="3"/>
  <c r="BN510" i="3"/>
  <c r="BO510" i="3"/>
  <c r="BP510" i="3"/>
  <c r="BQ510" i="3"/>
  <c r="BR510" i="3"/>
  <c r="BS510" i="3"/>
  <c r="BT510" i="3"/>
  <c r="BL510" i="3"/>
  <c r="BB511" i="3"/>
  <c r="BC511" i="3"/>
  <c r="BA511" i="3" s="1"/>
  <c r="BD511" i="3"/>
  <c r="BE511" i="3"/>
  <c r="BF511" i="3"/>
  <c r="BG511" i="3"/>
  <c r="BH511" i="3"/>
  <c r="BI511" i="3"/>
  <c r="BJ511" i="3"/>
  <c r="BK511" i="3"/>
  <c r="BM511" i="3"/>
  <c r="BN511" i="3"/>
  <c r="BO511" i="3"/>
  <c r="BL511" i="3" s="1"/>
  <c r="BP511" i="3"/>
  <c r="BQ511" i="3"/>
  <c r="BR511" i="3"/>
  <c r="BS511" i="3"/>
  <c r="BT511" i="3"/>
  <c r="BB512" i="3"/>
  <c r="BC512" i="3"/>
  <c r="BD512" i="3"/>
  <c r="BA512" i="3" s="1"/>
  <c r="AZ512" i="3" s="1"/>
  <c r="BE512" i="3"/>
  <c r="BF512" i="3"/>
  <c r="BG512" i="3"/>
  <c r="BH512" i="3"/>
  <c r="BI512" i="3"/>
  <c r="BJ512" i="3"/>
  <c r="BK512" i="3"/>
  <c r="BM512" i="3"/>
  <c r="BN512" i="3"/>
  <c r="BO512" i="3"/>
  <c r="BP512" i="3"/>
  <c r="BQ512" i="3"/>
  <c r="BR512" i="3"/>
  <c r="BS512" i="3"/>
  <c r="BT512" i="3"/>
  <c r="BL512" i="3"/>
  <c r="BB513" i="3"/>
  <c r="BC513" i="3"/>
  <c r="BA513" i="3" s="1"/>
  <c r="AZ513" i="3" s="1"/>
  <c r="BD513" i="3"/>
  <c r="BE513" i="3"/>
  <c r="BF513" i="3"/>
  <c r="BG513" i="3"/>
  <c r="BH513" i="3"/>
  <c r="BI513" i="3"/>
  <c r="BJ513" i="3"/>
  <c r="BK513" i="3"/>
  <c r="BM513" i="3"/>
  <c r="BN513" i="3"/>
  <c r="BO513" i="3"/>
  <c r="BL513" i="3" s="1"/>
  <c r="BP513" i="3"/>
  <c r="BQ513" i="3"/>
  <c r="BR513" i="3"/>
  <c r="BS513" i="3"/>
  <c r="BT513" i="3"/>
  <c r="BB514" i="3"/>
  <c r="BC514" i="3"/>
  <c r="BD514" i="3"/>
  <c r="BA514" i="3" s="1"/>
  <c r="AZ514" i="3" s="1"/>
  <c r="BE514" i="3"/>
  <c r="BF514" i="3"/>
  <c r="BG514" i="3"/>
  <c r="BH514" i="3"/>
  <c r="BI514" i="3"/>
  <c r="BJ514" i="3"/>
  <c r="BK514" i="3"/>
  <c r="BM514" i="3"/>
  <c r="BN514" i="3"/>
  <c r="BO514" i="3"/>
  <c r="BP514" i="3"/>
  <c r="BQ514" i="3"/>
  <c r="BR514" i="3"/>
  <c r="BS514" i="3"/>
  <c r="BT514" i="3"/>
  <c r="BL514" i="3"/>
  <c r="BB515" i="3"/>
  <c r="BC515" i="3"/>
  <c r="BA515" i="3" s="1"/>
  <c r="BD515" i="3"/>
  <c r="BE515" i="3"/>
  <c r="BF515" i="3"/>
  <c r="BG515" i="3"/>
  <c r="BH515" i="3"/>
  <c r="BI515" i="3"/>
  <c r="BJ515" i="3"/>
  <c r="BK515" i="3"/>
  <c r="BM515" i="3"/>
  <c r="BN515" i="3"/>
  <c r="BO515" i="3"/>
  <c r="BL515" i="3" s="1"/>
  <c r="BP515" i="3"/>
  <c r="BQ515" i="3"/>
  <c r="BR515" i="3"/>
  <c r="BS515" i="3"/>
  <c r="BT515" i="3"/>
  <c r="BB516" i="3"/>
  <c r="BC516" i="3"/>
  <c r="BD516" i="3"/>
  <c r="BA516" i="3" s="1"/>
  <c r="AZ516" i="3" s="1"/>
  <c r="BE516" i="3"/>
  <c r="BF516" i="3"/>
  <c r="BG516" i="3"/>
  <c r="BH516" i="3"/>
  <c r="BI516" i="3"/>
  <c r="BJ516" i="3"/>
  <c r="BK516" i="3"/>
  <c r="BM516" i="3"/>
  <c r="BN516" i="3"/>
  <c r="BO516" i="3"/>
  <c r="BP516" i="3"/>
  <c r="BQ516" i="3"/>
  <c r="BR516" i="3"/>
  <c r="BS516" i="3"/>
  <c r="BT516" i="3"/>
  <c r="BL516" i="3"/>
  <c r="BB517" i="3"/>
  <c r="BC517" i="3"/>
  <c r="BA517" i="3" s="1"/>
  <c r="AZ517" i="3" s="1"/>
  <c r="BD517" i="3"/>
  <c r="BE517" i="3"/>
  <c r="BF517" i="3"/>
  <c r="BG517" i="3"/>
  <c r="BH517" i="3"/>
  <c r="BI517" i="3"/>
  <c r="BJ517" i="3"/>
  <c r="BK517" i="3"/>
  <c r="BM517" i="3"/>
  <c r="BN517" i="3"/>
  <c r="BO517" i="3"/>
  <c r="BL517" i="3" s="1"/>
  <c r="BP517" i="3"/>
  <c r="BQ517" i="3"/>
  <c r="BR517" i="3"/>
  <c r="BS517" i="3"/>
  <c r="BT517" i="3"/>
  <c r="BB518" i="3"/>
  <c r="BC518" i="3"/>
  <c r="BD518" i="3"/>
  <c r="BA518" i="3" s="1"/>
  <c r="AZ518" i="3" s="1"/>
  <c r="BE518" i="3"/>
  <c r="BF518" i="3"/>
  <c r="BG518" i="3"/>
  <c r="BH518" i="3"/>
  <c r="BI518" i="3"/>
  <c r="BJ518" i="3"/>
  <c r="BK518" i="3"/>
  <c r="BM518" i="3"/>
  <c r="BN518" i="3"/>
  <c r="BO518" i="3"/>
  <c r="BP518" i="3"/>
  <c r="BQ518" i="3"/>
  <c r="BR518" i="3"/>
  <c r="BS518" i="3"/>
  <c r="BT518" i="3"/>
  <c r="BL518" i="3"/>
  <c r="BB519" i="3"/>
  <c r="BC519" i="3"/>
  <c r="BA519" i="3" s="1"/>
  <c r="BD519" i="3"/>
  <c r="BE519" i="3"/>
  <c r="BF519" i="3"/>
  <c r="BG519" i="3"/>
  <c r="BH519" i="3"/>
  <c r="BI519" i="3"/>
  <c r="BJ519" i="3"/>
  <c r="BK519" i="3"/>
  <c r="BM519" i="3"/>
  <c r="BN519" i="3"/>
  <c r="BO519" i="3"/>
  <c r="BL519" i="3" s="1"/>
  <c r="BP519" i="3"/>
  <c r="BQ519" i="3"/>
  <c r="BR519" i="3"/>
  <c r="BS519" i="3"/>
  <c r="BT519" i="3"/>
  <c r="BB520" i="3"/>
  <c r="BC520" i="3"/>
  <c r="BD520" i="3"/>
  <c r="BA520" i="3" s="1"/>
  <c r="AZ520" i="3" s="1"/>
  <c r="BE520" i="3"/>
  <c r="BF520" i="3"/>
  <c r="BG520" i="3"/>
  <c r="BH520" i="3"/>
  <c r="BI520" i="3"/>
  <c r="BJ520" i="3"/>
  <c r="BK520" i="3"/>
  <c r="BM520" i="3"/>
  <c r="BN520" i="3"/>
  <c r="BO520" i="3"/>
  <c r="BP520" i="3"/>
  <c r="BQ520" i="3"/>
  <c r="BR520" i="3"/>
  <c r="BS520" i="3"/>
  <c r="BT520" i="3"/>
  <c r="BL520" i="3"/>
  <c r="BB521" i="3"/>
  <c r="BC521" i="3"/>
  <c r="BA521" i="3" s="1"/>
  <c r="AZ521" i="3" s="1"/>
  <c r="BD521" i="3"/>
  <c r="BE521" i="3"/>
  <c r="BF521" i="3"/>
  <c r="BG521" i="3"/>
  <c r="BH521" i="3"/>
  <c r="BI521" i="3"/>
  <c r="BJ521" i="3"/>
  <c r="BK521" i="3"/>
  <c r="BM521" i="3"/>
  <c r="BN521" i="3"/>
  <c r="BO521" i="3"/>
  <c r="BL521" i="3" s="1"/>
  <c r="BP521" i="3"/>
  <c r="BQ521" i="3"/>
  <c r="BR521" i="3"/>
  <c r="BS521" i="3"/>
  <c r="BT521" i="3"/>
  <c r="BB522" i="3"/>
  <c r="BC522" i="3"/>
  <c r="BD522" i="3"/>
  <c r="BA522" i="3" s="1"/>
  <c r="AZ522" i="3" s="1"/>
  <c r="BE522" i="3"/>
  <c r="BF522" i="3"/>
  <c r="BG522" i="3"/>
  <c r="BH522" i="3"/>
  <c r="BI522" i="3"/>
  <c r="BJ522" i="3"/>
  <c r="BK522" i="3"/>
  <c r="BM522" i="3"/>
  <c r="BN522" i="3"/>
  <c r="BO522" i="3"/>
  <c r="BP522" i="3"/>
  <c r="BQ522" i="3"/>
  <c r="BR522" i="3"/>
  <c r="BS522" i="3"/>
  <c r="BT522" i="3"/>
  <c r="BL522" i="3"/>
  <c r="BB523" i="3"/>
  <c r="BC523" i="3"/>
  <c r="BA523" i="3" s="1"/>
  <c r="BD523" i="3"/>
  <c r="BE523" i="3"/>
  <c r="BF523" i="3"/>
  <c r="BG523" i="3"/>
  <c r="BH523" i="3"/>
  <c r="BI523" i="3"/>
  <c r="BJ523" i="3"/>
  <c r="BK523" i="3"/>
  <c r="BM523" i="3"/>
  <c r="BN523" i="3"/>
  <c r="BO523" i="3"/>
  <c r="BL523" i="3" s="1"/>
  <c r="BP523" i="3"/>
  <c r="BQ523" i="3"/>
  <c r="BR523" i="3"/>
  <c r="BS523" i="3"/>
  <c r="BT523" i="3"/>
  <c r="BB524" i="3"/>
  <c r="BC524" i="3"/>
  <c r="BD524" i="3"/>
  <c r="BA524" i="3" s="1"/>
  <c r="AZ524" i="3" s="1"/>
  <c r="BE524" i="3"/>
  <c r="BF524" i="3"/>
  <c r="BG524" i="3"/>
  <c r="BH524" i="3"/>
  <c r="BI524" i="3"/>
  <c r="BJ524" i="3"/>
  <c r="BK524" i="3"/>
  <c r="BM524" i="3"/>
  <c r="BN524" i="3"/>
  <c r="BO524" i="3"/>
  <c r="BP524" i="3"/>
  <c r="BQ524" i="3"/>
  <c r="BR524" i="3"/>
  <c r="BS524" i="3"/>
  <c r="BT524" i="3"/>
  <c r="BL524" i="3"/>
  <c r="BB525" i="3"/>
  <c r="BC525" i="3"/>
  <c r="BA525" i="3" s="1"/>
  <c r="AZ525" i="3" s="1"/>
  <c r="BD525" i="3"/>
  <c r="BE525" i="3"/>
  <c r="BF525" i="3"/>
  <c r="BG525" i="3"/>
  <c r="BH525" i="3"/>
  <c r="BI525" i="3"/>
  <c r="BJ525" i="3"/>
  <c r="BK525" i="3"/>
  <c r="BM525" i="3"/>
  <c r="BN525" i="3"/>
  <c r="BO525" i="3"/>
  <c r="BL525" i="3" s="1"/>
  <c r="BP525" i="3"/>
  <c r="BQ525" i="3"/>
  <c r="BR525" i="3"/>
  <c r="BS525" i="3"/>
  <c r="BT525" i="3"/>
  <c r="BB526" i="3"/>
  <c r="BC526" i="3"/>
  <c r="BD526" i="3"/>
  <c r="BA526" i="3" s="1"/>
  <c r="AZ526" i="3" s="1"/>
  <c r="BE526" i="3"/>
  <c r="BF526" i="3"/>
  <c r="BG526" i="3"/>
  <c r="BH526" i="3"/>
  <c r="BI526" i="3"/>
  <c r="BJ526" i="3"/>
  <c r="BK526" i="3"/>
  <c r="BM526" i="3"/>
  <c r="BN526" i="3"/>
  <c r="BO526" i="3"/>
  <c r="BP526" i="3"/>
  <c r="BQ526" i="3"/>
  <c r="BR526" i="3"/>
  <c r="BS526" i="3"/>
  <c r="BT526" i="3"/>
  <c r="BL526" i="3"/>
  <c r="BB527" i="3"/>
  <c r="BC527" i="3"/>
  <c r="BA527" i="3" s="1"/>
  <c r="BD527" i="3"/>
  <c r="BE527" i="3"/>
  <c r="BF527" i="3"/>
  <c r="BG527" i="3"/>
  <c r="BH527" i="3"/>
  <c r="BI527" i="3"/>
  <c r="BJ527" i="3"/>
  <c r="BK527" i="3"/>
  <c r="BM527" i="3"/>
  <c r="BN527" i="3"/>
  <c r="BO527" i="3"/>
  <c r="BL527" i="3" s="1"/>
  <c r="BP527" i="3"/>
  <c r="BQ527" i="3"/>
  <c r="BR527" i="3"/>
  <c r="BS527" i="3"/>
  <c r="BT527" i="3"/>
  <c r="BB528" i="3"/>
  <c r="BC528" i="3"/>
  <c r="BD528" i="3"/>
  <c r="BA528" i="3" s="1"/>
  <c r="AZ528" i="3" s="1"/>
  <c r="BE528" i="3"/>
  <c r="BF528" i="3"/>
  <c r="BG528" i="3"/>
  <c r="BH528" i="3"/>
  <c r="BI528" i="3"/>
  <c r="BJ528" i="3"/>
  <c r="BK528" i="3"/>
  <c r="BM528" i="3"/>
  <c r="BN528" i="3"/>
  <c r="BO528" i="3"/>
  <c r="BP528" i="3"/>
  <c r="BQ528" i="3"/>
  <c r="BR528" i="3"/>
  <c r="BS528" i="3"/>
  <c r="BT528" i="3"/>
  <c r="BL528" i="3"/>
  <c r="BB529" i="3"/>
  <c r="BC529" i="3"/>
  <c r="BA529" i="3" s="1"/>
  <c r="AZ529" i="3" s="1"/>
  <c r="BD529" i="3"/>
  <c r="BE529" i="3"/>
  <c r="BF529" i="3"/>
  <c r="BG529" i="3"/>
  <c r="BH529" i="3"/>
  <c r="BI529" i="3"/>
  <c r="BJ529" i="3"/>
  <c r="BK529" i="3"/>
  <c r="BM529" i="3"/>
  <c r="BN529" i="3"/>
  <c r="BO529" i="3"/>
  <c r="BL529" i="3" s="1"/>
  <c r="BP529" i="3"/>
  <c r="BQ529" i="3"/>
  <c r="BR529" i="3"/>
  <c r="BS529" i="3"/>
  <c r="BT529" i="3"/>
  <c r="BB530" i="3"/>
  <c r="BC530" i="3"/>
  <c r="BD530" i="3"/>
  <c r="BA530" i="3" s="1"/>
  <c r="AZ530" i="3" s="1"/>
  <c r="BE530" i="3"/>
  <c r="BF530" i="3"/>
  <c r="BG530" i="3"/>
  <c r="BH530" i="3"/>
  <c r="BI530" i="3"/>
  <c r="BJ530" i="3"/>
  <c r="BK530" i="3"/>
  <c r="BM530" i="3"/>
  <c r="BN530" i="3"/>
  <c r="BO530" i="3"/>
  <c r="BP530" i="3"/>
  <c r="BQ530" i="3"/>
  <c r="BR530" i="3"/>
  <c r="BS530" i="3"/>
  <c r="BT530" i="3"/>
  <c r="BL530" i="3"/>
  <c r="BB531" i="3"/>
  <c r="BC531" i="3"/>
  <c r="BA531" i="3" s="1"/>
  <c r="BD531" i="3"/>
  <c r="BE531" i="3"/>
  <c r="BF531" i="3"/>
  <c r="BG531" i="3"/>
  <c r="BH531" i="3"/>
  <c r="BI531" i="3"/>
  <c r="BJ531" i="3"/>
  <c r="BK531" i="3"/>
  <c r="BM531" i="3"/>
  <c r="BN531" i="3"/>
  <c r="BO531" i="3"/>
  <c r="BL531" i="3" s="1"/>
  <c r="BP531" i="3"/>
  <c r="BQ531" i="3"/>
  <c r="BR531" i="3"/>
  <c r="BS531" i="3"/>
  <c r="BT531" i="3"/>
  <c r="BB532" i="3"/>
  <c r="BC532" i="3"/>
  <c r="BD532" i="3"/>
  <c r="BA532" i="3" s="1"/>
  <c r="AZ532" i="3" s="1"/>
  <c r="BE532" i="3"/>
  <c r="BF532" i="3"/>
  <c r="BG532" i="3"/>
  <c r="BH532" i="3"/>
  <c r="BI532" i="3"/>
  <c r="BJ532" i="3"/>
  <c r="BK532" i="3"/>
  <c r="BM532" i="3"/>
  <c r="BN532" i="3"/>
  <c r="BO532" i="3"/>
  <c r="BP532" i="3"/>
  <c r="BQ532" i="3"/>
  <c r="BR532" i="3"/>
  <c r="BS532" i="3"/>
  <c r="BT532" i="3"/>
  <c r="BL532" i="3"/>
  <c r="BB533" i="3"/>
  <c r="BC533" i="3"/>
  <c r="BA533" i="3" s="1"/>
  <c r="AZ533" i="3" s="1"/>
  <c r="BD533" i="3"/>
  <c r="BE533" i="3"/>
  <c r="BF533" i="3"/>
  <c r="BG533" i="3"/>
  <c r="BH533" i="3"/>
  <c r="BI533" i="3"/>
  <c r="BJ533" i="3"/>
  <c r="BK533" i="3"/>
  <c r="BM533" i="3"/>
  <c r="BN533" i="3"/>
  <c r="BO533" i="3"/>
  <c r="BL533" i="3" s="1"/>
  <c r="BP533" i="3"/>
  <c r="BQ533" i="3"/>
  <c r="BR533" i="3"/>
  <c r="BS533" i="3"/>
  <c r="BT533" i="3"/>
  <c r="BB534" i="3"/>
  <c r="BC534" i="3"/>
  <c r="BD534" i="3"/>
  <c r="BA534" i="3" s="1"/>
  <c r="AZ534" i="3" s="1"/>
  <c r="BE534" i="3"/>
  <c r="BF534" i="3"/>
  <c r="BG534" i="3"/>
  <c r="BH534" i="3"/>
  <c r="BI534" i="3"/>
  <c r="BJ534" i="3"/>
  <c r="BK534" i="3"/>
  <c r="BM534" i="3"/>
  <c r="BN534" i="3"/>
  <c r="BO534" i="3"/>
  <c r="BP534" i="3"/>
  <c r="BQ534" i="3"/>
  <c r="BR534" i="3"/>
  <c r="BS534" i="3"/>
  <c r="BT534" i="3"/>
  <c r="BL534" i="3"/>
  <c r="BB535" i="3"/>
  <c r="BC535" i="3"/>
  <c r="BA535" i="3" s="1"/>
  <c r="BD535" i="3"/>
  <c r="BE535" i="3"/>
  <c r="BF535" i="3"/>
  <c r="BG535" i="3"/>
  <c r="BH535" i="3"/>
  <c r="BI535" i="3"/>
  <c r="BJ535" i="3"/>
  <c r="BK535" i="3"/>
  <c r="BM535" i="3"/>
  <c r="BN535" i="3"/>
  <c r="BO535" i="3"/>
  <c r="BL535" i="3" s="1"/>
  <c r="BP535" i="3"/>
  <c r="BQ535" i="3"/>
  <c r="BR535" i="3"/>
  <c r="BS535" i="3"/>
  <c r="BT535" i="3"/>
  <c r="BB536" i="3"/>
  <c r="BC536" i="3"/>
  <c r="BD536" i="3"/>
  <c r="BA536" i="3" s="1"/>
  <c r="AZ536" i="3" s="1"/>
  <c r="BE536" i="3"/>
  <c r="BF536" i="3"/>
  <c r="BG536" i="3"/>
  <c r="BH536" i="3"/>
  <c r="BI536" i="3"/>
  <c r="BJ536" i="3"/>
  <c r="BK536" i="3"/>
  <c r="BM536" i="3"/>
  <c r="BN536" i="3"/>
  <c r="BO536" i="3"/>
  <c r="BP536" i="3"/>
  <c r="BQ536" i="3"/>
  <c r="BR536" i="3"/>
  <c r="BS536" i="3"/>
  <c r="BT536" i="3"/>
  <c r="BL536" i="3"/>
  <c r="BB537" i="3"/>
  <c r="BC537" i="3"/>
  <c r="BA537" i="3" s="1"/>
  <c r="AZ537" i="3" s="1"/>
  <c r="BD537" i="3"/>
  <c r="BE537" i="3"/>
  <c r="BF537" i="3"/>
  <c r="BG537" i="3"/>
  <c r="BH537" i="3"/>
  <c r="BI537" i="3"/>
  <c r="BJ537" i="3"/>
  <c r="BK537" i="3"/>
  <c r="BM537" i="3"/>
  <c r="BN537" i="3"/>
  <c r="BO537" i="3"/>
  <c r="BL537" i="3" s="1"/>
  <c r="BP537" i="3"/>
  <c r="BQ537" i="3"/>
  <c r="BR537" i="3"/>
  <c r="BS537" i="3"/>
  <c r="BT537" i="3"/>
  <c r="BB538" i="3"/>
  <c r="BC538" i="3"/>
  <c r="BD538" i="3"/>
  <c r="BA538" i="3" s="1"/>
  <c r="AZ538" i="3" s="1"/>
  <c r="BE538" i="3"/>
  <c r="BF538" i="3"/>
  <c r="BG538" i="3"/>
  <c r="BH538" i="3"/>
  <c r="BI538" i="3"/>
  <c r="BJ538" i="3"/>
  <c r="BK538" i="3"/>
  <c r="BM538" i="3"/>
  <c r="BN538" i="3"/>
  <c r="BO538" i="3"/>
  <c r="BP538" i="3"/>
  <c r="BQ538" i="3"/>
  <c r="BR538" i="3"/>
  <c r="BS538" i="3"/>
  <c r="BT538" i="3"/>
  <c r="BL538" i="3"/>
  <c r="BB539" i="3"/>
  <c r="BC539" i="3"/>
  <c r="BA539" i="3" s="1"/>
  <c r="BD539" i="3"/>
  <c r="BE539" i="3"/>
  <c r="BF539" i="3"/>
  <c r="BG539" i="3"/>
  <c r="BH539" i="3"/>
  <c r="BI539" i="3"/>
  <c r="BJ539" i="3"/>
  <c r="BK539" i="3"/>
  <c r="BM539" i="3"/>
  <c r="BN539" i="3"/>
  <c r="BO539" i="3"/>
  <c r="BL539" i="3" s="1"/>
  <c r="BP539" i="3"/>
  <c r="BQ539" i="3"/>
  <c r="BR539" i="3"/>
  <c r="BS539" i="3"/>
  <c r="BT539" i="3"/>
  <c r="BB540" i="3"/>
  <c r="BC540" i="3"/>
  <c r="BD540" i="3"/>
  <c r="BA540" i="3" s="1"/>
  <c r="AZ540" i="3" s="1"/>
  <c r="BE540" i="3"/>
  <c r="BF540" i="3"/>
  <c r="BG540" i="3"/>
  <c r="BH540" i="3"/>
  <c r="BI540" i="3"/>
  <c r="BJ540" i="3"/>
  <c r="BK540" i="3"/>
  <c r="BM540" i="3"/>
  <c r="BN540" i="3"/>
  <c r="BO540" i="3"/>
  <c r="BP540" i="3"/>
  <c r="BQ540" i="3"/>
  <c r="BR540" i="3"/>
  <c r="BS540" i="3"/>
  <c r="BT540" i="3"/>
  <c r="BL540" i="3"/>
  <c r="BB541" i="3"/>
  <c r="BC541" i="3"/>
  <c r="BA541" i="3" s="1"/>
  <c r="AZ541" i="3" s="1"/>
  <c r="BD541" i="3"/>
  <c r="BE541" i="3"/>
  <c r="BF541" i="3"/>
  <c r="BG541" i="3"/>
  <c r="BH541" i="3"/>
  <c r="BI541" i="3"/>
  <c r="BJ541" i="3"/>
  <c r="BK541" i="3"/>
  <c r="BM541" i="3"/>
  <c r="BN541" i="3"/>
  <c r="BO541" i="3"/>
  <c r="BL541" i="3" s="1"/>
  <c r="BP541" i="3"/>
  <c r="BQ541" i="3"/>
  <c r="BR541" i="3"/>
  <c r="BS541" i="3"/>
  <c r="BT541" i="3"/>
  <c r="BB542" i="3"/>
  <c r="BC542" i="3"/>
  <c r="BD542" i="3"/>
  <c r="BA542" i="3" s="1"/>
  <c r="AZ542" i="3" s="1"/>
  <c r="BE542" i="3"/>
  <c r="BF542" i="3"/>
  <c r="BG542" i="3"/>
  <c r="BH542" i="3"/>
  <c r="BI542" i="3"/>
  <c r="BJ542" i="3"/>
  <c r="BK542" i="3"/>
  <c r="BM542" i="3"/>
  <c r="BN542" i="3"/>
  <c r="BO542" i="3"/>
  <c r="BP542" i="3"/>
  <c r="BQ542" i="3"/>
  <c r="BR542" i="3"/>
  <c r="BS542" i="3"/>
  <c r="BT542" i="3"/>
  <c r="BL542" i="3"/>
  <c r="BB543" i="3"/>
  <c r="BC543" i="3"/>
  <c r="BA543" i="3" s="1"/>
  <c r="AZ543" i="3" s="1"/>
  <c r="BD543" i="3"/>
  <c r="BE543" i="3"/>
  <c r="BF543" i="3"/>
  <c r="BG543" i="3"/>
  <c r="BH543" i="3"/>
  <c r="BI543" i="3"/>
  <c r="BJ543" i="3"/>
  <c r="BK543" i="3"/>
  <c r="BM543" i="3"/>
  <c r="BN543" i="3"/>
  <c r="BO543" i="3"/>
  <c r="BL543" i="3" s="1"/>
  <c r="BP543" i="3"/>
  <c r="BQ543" i="3"/>
  <c r="BR543" i="3"/>
  <c r="BS543" i="3"/>
  <c r="BT543" i="3"/>
  <c r="BB544" i="3"/>
  <c r="BC544" i="3"/>
  <c r="BD544" i="3"/>
  <c r="BA544" i="3" s="1"/>
  <c r="AZ544" i="3" s="1"/>
  <c r="BE544" i="3"/>
  <c r="BF544" i="3"/>
  <c r="BG544" i="3"/>
  <c r="BH544" i="3"/>
  <c r="BI544" i="3"/>
  <c r="BJ544" i="3"/>
  <c r="BK544" i="3"/>
  <c r="BM544" i="3"/>
  <c r="BN544" i="3"/>
  <c r="BO544" i="3"/>
  <c r="BP544" i="3"/>
  <c r="BQ544" i="3"/>
  <c r="BR544" i="3"/>
  <c r="BS544" i="3"/>
  <c r="BT544" i="3"/>
  <c r="BL544" i="3"/>
  <c r="BB545" i="3"/>
  <c r="BC545" i="3"/>
  <c r="BA545" i="3" s="1"/>
  <c r="AZ545" i="3" s="1"/>
  <c r="BD545" i="3"/>
  <c r="BE545" i="3"/>
  <c r="BF545" i="3"/>
  <c r="BG545" i="3"/>
  <c r="BH545" i="3"/>
  <c r="BI545" i="3"/>
  <c r="BJ545" i="3"/>
  <c r="BK545" i="3"/>
  <c r="BM545" i="3"/>
  <c r="BN545" i="3"/>
  <c r="BO545" i="3"/>
  <c r="BL545" i="3" s="1"/>
  <c r="BP545" i="3"/>
  <c r="BQ545" i="3"/>
  <c r="BR545" i="3"/>
  <c r="BS545" i="3"/>
  <c r="BT545" i="3"/>
  <c r="BB546" i="3"/>
  <c r="BC546" i="3"/>
  <c r="BD546" i="3"/>
  <c r="BA546" i="3" s="1"/>
  <c r="AZ546" i="3" s="1"/>
  <c r="BE546" i="3"/>
  <c r="BF546" i="3"/>
  <c r="BG546" i="3"/>
  <c r="BH546" i="3"/>
  <c r="BI546" i="3"/>
  <c r="BJ546" i="3"/>
  <c r="BK546" i="3"/>
  <c r="BM546" i="3"/>
  <c r="BN546" i="3"/>
  <c r="BO546" i="3"/>
  <c r="BP546" i="3"/>
  <c r="BQ546" i="3"/>
  <c r="BR546" i="3"/>
  <c r="BS546" i="3"/>
  <c r="BT546" i="3"/>
  <c r="BL546" i="3"/>
  <c r="BB547" i="3"/>
  <c r="BC547" i="3"/>
  <c r="BA547" i="3" s="1"/>
  <c r="AZ547" i="3" s="1"/>
  <c r="BD547" i="3"/>
  <c r="BE547" i="3"/>
  <c r="BF547" i="3"/>
  <c r="BG547" i="3"/>
  <c r="BH547" i="3"/>
  <c r="BI547" i="3"/>
  <c r="BJ547" i="3"/>
  <c r="BK547" i="3"/>
  <c r="BM547" i="3"/>
  <c r="BN547" i="3"/>
  <c r="BO547" i="3"/>
  <c r="BL547" i="3" s="1"/>
  <c r="BP547" i="3"/>
  <c r="BQ547" i="3"/>
  <c r="BR547" i="3"/>
  <c r="BS547" i="3"/>
  <c r="BT547" i="3"/>
  <c r="BB548" i="3"/>
  <c r="BC548" i="3"/>
  <c r="BD548" i="3"/>
  <c r="BA548" i="3" s="1"/>
  <c r="AZ548" i="3" s="1"/>
  <c r="BE548" i="3"/>
  <c r="BF548" i="3"/>
  <c r="BG548" i="3"/>
  <c r="BH548" i="3"/>
  <c r="BI548" i="3"/>
  <c r="BJ548" i="3"/>
  <c r="BK548" i="3"/>
  <c r="BM548" i="3"/>
  <c r="BN548" i="3"/>
  <c r="BO548" i="3"/>
  <c r="BP548" i="3"/>
  <c r="BQ548" i="3"/>
  <c r="BR548" i="3"/>
  <c r="BS548" i="3"/>
  <c r="BT548" i="3"/>
  <c r="BL548" i="3"/>
  <c r="BB549" i="3"/>
  <c r="BC549" i="3"/>
  <c r="BA549" i="3" s="1"/>
  <c r="AZ549" i="3" s="1"/>
  <c r="BD549" i="3"/>
  <c r="BE549" i="3"/>
  <c r="BF549" i="3"/>
  <c r="BG549" i="3"/>
  <c r="BH549" i="3"/>
  <c r="BI549" i="3"/>
  <c r="BJ549" i="3"/>
  <c r="BK549" i="3"/>
  <c r="BM549" i="3"/>
  <c r="BN549" i="3"/>
  <c r="BO549" i="3"/>
  <c r="BL549" i="3" s="1"/>
  <c r="BP549" i="3"/>
  <c r="BQ549" i="3"/>
  <c r="BR549" i="3"/>
  <c r="BS549" i="3"/>
  <c r="BT549" i="3"/>
  <c r="BB550" i="3"/>
  <c r="BC550" i="3"/>
  <c r="BD550" i="3"/>
  <c r="BA550" i="3" s="1"/>
  <c r="AZ550" i="3" s="1"/>
  <c r="BE550" i="3"/>
  <c r="BF550" i="3"/>
  <c r="BG550" i="3"/>
  <c r="BH550" i="3"/>
  <c r="BI550" i="3"/>
  <c r="BJ550" i="3"/>
  <c r="BK550" i="3"/>
  <c r="BM550" i="3"/>
  <c r="BN550" i="3"/>
  <c r="BO550" i="3"/>
  <c r="BP550" i="3"/>
  <c r="BQ550" i="3"/>
  <c r="BR550" i="3"/>
  <c r="BS550" i="3"/>
  <c r="BT550" i="3"/>
  <c r="BL550" i="3"/>
  <c r="BB551" i="3"/>
  <c r="BC551" i="3"/>
  <c r="BA551" i="3" s="1"/>
  <c r="AZ551" i="3" s="1"/>
  <c r="BD551" i="3"/>
  <c r="BE551" i="3"/>
  <c r="BF551" i="3"/>
  <c r="BG551" i="3"/>
  <c r="BH551" i="3"/>
  <c r="BI551" i="3"/>
  <c r="BJ551" i="3"/>
  <c r="BK551" i="3"/>
  <c r="BM551" i="3"/>
  <c r="BN551" i="3"/>
  <c r="BO551" i="3"/>
  <c r="BL551" i="3" s="1"/>
  <c r="BP551" i="3"/>
  <c r="BQ551" i="3"/>
  <c r="BR551" i="3"/>
  <c r="BS551" i="3"/>
  <c r="BT551" i="3"/>
  <c r="BB552" i="3"/>
  <c r="BC552" i="3"/>
  <c r="BD552" i="3"/>
  <c r="BA552" i="3" s="1"/>
  <c r="AZ552" i="3" s="1"/>
  <c r="BE552" i="3"/>
  <c r="BF552" i="3"/>
  <c r="BG552" i="3"/>
  <c r="BH552" i="3"/>
  <c r="BI552" i="3"/>
  <c r="BJ552" i="3"/>
  <c r="BK552" i="3"/>
  <c r="BM552" i="3"/>
  <c r="BN552" i="3"/>
  <c r="BO552" i="3"/>
  <c r="BP552" i="3"/>
  <c r="BQ552" i="3"/>
  <c r="BR552" i="3"/>
  <c r="BS552" i="3"/>
  <c r="BT552" i="3"/>
  <c r="BL552" i="3"/>
  <c r="BB553" i="3"/>
  <c r="BC553" i="3"/>
  <c r="BA553" i="3" s="1"/>
  <c r="AZ553" i="3" s="1"/>
  <c r="BD553" i="3"/>
  <c r="BE553" i="3"/>
  <c r="BF553" i="3"/>
  <c r="BG553" i="3"/>
  <c r="BH553" i="3"/>
  <c r="BI553" i="3"/>
  <c r="BJ553" i="3"/>
  <c r="BK553" i="3"/>
  <c r="BM553" i="3"/>
  <c r="BN553" i="3"/>
  <c r="BO553" i="3"/>
  <c r="BL553" i="3" s="1"/>
  <c r="BP553" i="3"/>
  <c r="BQ553" i="3"/>
  <c r="BR553" i="3"/>
  <c r="BS553" i="3"/>
  <c r="BT553" i="3"/>
  <c r="BB554" i="3"/>
  <c r="BC554" i="3"/>
  <c r="BD554" i="3"/>
  <c r="BA554" i="3" s="1"/>
  <c r="AZ554" i="3" s="1"/>
  <c r="BE554" i="3"/>
  <c r="BF554" i="3"/>
  <c r="BG554" i="3"/>
  <c r="BH554" i="3"/>
  <c r="BI554" i="3"/>
  <c r="BJ554" i="3"/>
  <c r="BK554" i="3"/>
  <c r="BM554" i="3"/>
  <c r="BN554" i="3"/>
  <c r="BO554" i="3"/>
  <c r="BP554" i="3"/>
  <c r="BQ554" i="3"/>
  <c r="BR554" i="3"/>
  <c r="BS554" i="3"/>
  <c r="BT554" i="3"/>
  <c r="BL554" i="3"/>
  <c r="BB555" i="3"/>
  <c r="BC555" i="3"/>
  <c r="BA555" i="3" s="1"/>
  <c r="AZ555" i="3" s="1"/>
  <c r="BD555" i="3"/>
  <c r="BE555" i="3"/>
  <c r="BF555" i="3"/>
  <c r="BG555" i="3"/>
  <c r="BH555" i="3"/>
  <c r="BI555" i="3"/>
  <c r="BJ555" i="3"/>
  <c r="BK555" i="3"/>
  <c r="BM555" i="3"/>
  <c r="BN555" i="3"/>
  <c r="BO555" i="3"/>
  <c r="BL555" i="3" s="1"/>
  <c r="BP555" i="3"/>
  <c r="BQ555" i="3"/>
  <c r="BR555" i="3"/>
  <c r="BS555" i="3"/>
  <c r="BT555" i="3"/>
  <c r="BB556" i="3"/>
  <c r="BC556" i="3"/>
  <c r="BD556" i="3"/>
  <c r="BA556" i="3" s="1"/>
  <c r="AZ556" i="3" s="1"/>
  <c r="BE556" i="3"/>
  <c r="BF556" i="3"/>
  <c r="BG556" i="3"/>
  <c r="BH556" i="3"/>
  <c r="BI556" i="3"/>
  <c r="BJ556" i="3"/>
  <c r="BK556" i="3"/>
  <c r="BM556" i="3"/>
  <c r="BN556" i="3"/>
  <c r="BO556" i="3"/>
  <c r="BP556" i="3"/>
  <c r="BQ556" i="3"/>
  <c r="BR556" i="3"/>
  <c r="BS556" i="3"/>
  <c r="BT556" i="3"/>
  <c r="BL556" i="3"/>
  <c r="BB557" i="3"/>
  <c r="BC557" i="3"/>
  <c r="BA557" i="3" s="1"/>
  <c r="BD557" i="3"/>
  <c r="BE557" i="3"/>
  <c r="BF557" i="3"/>
  <c r="BG557" i="3"/>
  <c r="BH557" i="3"/>
  <c r="BI557" i="3"/>
  <c r="BJ557" i="3"/>
  <c r="BK557" i="3"/>
  <c r="BM557" i="3"/>
  <c r="BN557" i="3"/>
  <c r="BO557" i="3"/>
  <c r="BL557" i="3" s="1"/>
  <c r="BP557" i="3"/>
  <c r="BQ557" i="3"/>
  <c r="BR557" i="3"/>
  <c r="BS557" i="3"/>
  <c r="BT557" i="3"/>
  <c r="BB558" i="3"/>
  <c r="BC558" i="3"/>
  <c r="BD558" i="3"/>
  <c r="BA558" i="3" s="1"/>
  <c r="AZ558" i="3" s="1"/>
  <c r="BE558" i="3"/>
  <c r="BF558" i="3"/>
  <c r="BG558" i="3"/>
  <c r="BH558" i="3"/>
  <c r="BI558" i="3"/>
  <c r="BJ558" i="3"/>
  <c r="BK558" i="3"/>
  <c r="BM558" i="3"/>
  <c r="BN558" i="3"/>
  <c r="BO558" i="3"/>
  <c r="BP558" i="3"/>
  <c r="BQ558" i="3"/>
  <c r="BR558" i="3"/>
  <c r="BS558" i="3"/>
  <c r="BT558" i="3"/>
  <c r="BL558" i="3"/>
  <c r="BB559" i="3"/>
  <c r="BC559" i="3"/>
  <c r="BA559" i="3" s="1"/>
  <c r="AZ559" i="3" s="1"/>
  <c r="BD559" i="3"/>
  <c r="BE559" i="3"/>
  <c r="BF559" i="3"/>
  <c r="BG559" i="3"/>
  <c r="BH559" i="3"/>
  <c r="BI559" i="3"/>
  <c r="BJ559" i="3"/>
  <c r="BK559" i="3"/>
  <c r="BM559" i="3"/>
  <c r="BN559" i="3"/>
  <c r="BO559" i="3"/>
  <c r="BL559" i="3" s="1"/>
  <c r="BP559" i="3"/>
  <c r="BQ559" i="3"/>
  <c r="BR559" i="3"/>
  <c r="BS559" i="3"/>
  <c r="BT559" i="3"/>
  <c r="BB560" i="3"/>
  <c r="BC560" i="3"/>
  <c r="BD560" i="3"/>
  <c r="BA560" i="3" s="1"/>
  <c r="AZ560" i="3" s="1"/>
  <c r="BE560" i="3"/>
  <c r="BF560" i="3"/>
  <c r="BG560" i="3"/>
  <c r="BH560" i="3"/>
  <c r="BI560" i="3"/>
  <c r="BJ560" i="3"/>
  <c r="BK560" i="3"/>
  <c r="BM560" i="3"/>
  <c r="BN560" i="3"/>
  <c r="BO560" i="3"/>
  <c r="BP560" i="3"/>
  <c r="BQ560" i="3"/>
  <c r="BR560" i="3"/>
  <c r="BS560" i="3"/>
  <c r="BT560" i="3"/>
  <c r="BL560" i="3"/>
  <c r="BB561" i="3"/>
  <c r="BC561" i="3"/>
  <c r="BA561" i="3" s="1"/>
  <c r="AZ561" i="3" s="1"/>
  <c r="BD561" i="3"/>
  <c r="BE561" i="3"/>
  <c r="BF561" i="3"/>
  <c r="BG561" i="3"/>
  <c r="BH561" i="3"/>
  <c r="BI561" i="3"/>
  <c r="BJ561" i="3"/>
  <c r="BK561" i="3"/>
  <c r="BM561" i="3"/>
  <c r="BN561" i="3"/>
  <c r="BO561" i="3"/>
  <c r="BL561" i="3" s="1"/>
  <c r="BP561" i="3"/>
  <c r="BQ561" i="3"/>
  <c r="BR561" i="3"/>
  <c r="BS561" i="3"/>
  <c r="BT561" i="3"/>
  <c r="BB562" i="3"/>
  <c r="BC562" i="3"/>
  <c r="BD562" i="3"/>
  <c r="BA562" i="3" s="1"/>
  <c r="AZ562" i="3" s="1"/>
  <c r="BE562" i="3"/>
  <c r="BF562" i="3"/>
  <c r="BG562" i="3"/>
  <c r="BH562" i="3"/>
  <c r="BI562" i="3"/>
  <c r="BJ562" i="3"/>
  <c r="BK562" i="3"/>
  <c r="BM562" i="3"/>
  <c r="BN562" i="3"/>
  <c r="BO562" i="3"/>
  <c r="BP562" i="3"/>
  <c r="BQ562" i="3"/>
  <c r="BR562" i="3"/>
  <c r="BS562" i="3"/>
  <c r="BT562" i="3"/>
  <c r="BL562" i="3"/>
  <c r="BB563" i="3"/>
  <c r="BC563" i="3"/>
  <c r="BA563" i="3" s="1"/>
  <c r="AZ563" i="3" s="1"/>
  <c r="BD563" i="3"/>
  <c r="BE563" i="3"/>
  <c r="BF563" i="3"/>
  <c r="BG563" i="3"/>
  <c r="BH563" i="3"/>
  <c r="BI563" i="3"/>
  <c r="BJ563" i="3"/>
  <c r="BK563" i="3"/>
  <c r="BM563" i="3"/>
  <c r="BN563" i="3"/>
  <c r="BO563" i="3"/>
  <c r="BL563" i="3" s="1"/>
  <c r="BP563" i="3"/>
  <c r="BQ563" i="3"/>
  <c r="BR563" i="3"/>
  <c r="BS563" i="3"/>
  <c r="BT563" i="3"/>
  <c r="BB564" i="3"/>
  <c r="BC564" i="3"/>
  <c r="BD564" i="3"/>
  <c r="BA564" i="3" s="1"/>
  <c r="AZ564" i="3" s="1"/>
  <c r="BE564" i="3"/>
  <c r="BF564" i="3"/>
  <c r="BG564" i="3"/>
  <c r="BH564" i="3"/>
  <c r="BI564" i="3"/>
  <c r="BJ564" i="3"/>
  <c r="BK564" i="3"/>
  <c r="BM564" i="3"/>
  <c r="BN564" i="3"/>
  <c r="BO564" i="3"/>
  <c r="BP564" i="3"/>
  <c r="BQ564" i="3"/>
  <c r="BR564" i="3"/>
  <c r="BS564" i="3"/>
  <c r="BT564" i="3"/>
  <c r="BL564" i="3"/>
  <c r="BB565" i="3"/>
  <c r="BC565" i="3"/>
  <c r="BA565" i="3" s="1"/>
  <c r="AZ565" i="3" s="1"/>
  <c r="BD565" i="3"/>
  <c r="BE565" i="3"/>
  <c r="BF565" i="3"/>
  <c r="BG565" i="3"/>
  <c r="BH565" i="3"/>
  <c r="BI565" i="3"/>
  <c r="BJ565" i="3"/>
  <c r="BK565" i="3"/>
  <c r="BM565" i="3"/>
  <c r="BN565" i="3"/>
  <c r="BO565" i="3"/>
  <c r="BL565" i="3" s="1"/>
  <c r="BP565" i="3"/>
  <c r="BQ565" i="3"/>
  <c r="BR565" i="3"/>
  <c r="BS565" i="3"/>
  <c r="BT565" i="3"/>
  <c r="BB566" i="3"/>
  <c r="BC566" i="3"/>
  <c r="BD566" i="3"/>
  <c r="BA566" i="3" s="1"/>
  <c r="AZ566" i="3" s="1"/>
  <c r="BE566" i="3"/>
  <c r="BF566" i="3"/>
  <c r="BG566" i="3"/>
  <c r="BH566" i="3"/>
  <c r="BI566" i="3"/>
  <c r="BJ566" i="3"/>
  <c r="BK566" i="3"/>
  <c r="BM566" i="3"/>
  <c r="BN566" i="3"/>
  <c r="BO566" i="3"/>
  <c r="BP566" i="3"/>
  <c r="BQ566" i="3"/>
  <c r="BR566" i="3"/>
  <c r="BS566" i="3"/>
  <c r="BT566" i="3"/>
  <c r="BL566" i="3"/>
  <c r="BB567" i="3"/>
  <c r="BC567" i="3"/>
  <c r="BA567" i="3" s="1"/>
  <c r="AZ567" i="3" s="1"/>
  <c r="BD567" i="3"/>
  <c r="BE567" i="3"/>
  <c r="BF567" i="3"/>
  <c r="BG567" i="3"/>
  <c r="BH567" i="3"/>
  <c r="BI567" i="3"/>
  <c r="BJ567" i="3"/>
  <c r="BK567" i="3"/>
  <c r="BM567" i="3"/>
  <c r="BN567" i="3"/>
  <c r="BO567" i="3"/>
  <c r="BL567" i="3" s="1"/>
  <c r="BP567" i="3"/>
  <c r="BQ567" i="3"/>
  <c r="BR567" i="3"/>
  <c r="BS567" i="3"/>
  <c r="BT567" i="3"/>
  <c r="BB568" i="3"/>
  <c r="BC568" i="3"/>
  <c r="BD568" i="3"/>
  <c r="BA568" i="3" s="1"/>
  <c r="AZ568" i="3" s="1"/>
  <c r="BE568" i="3"/>
  <c r="BF568" i="3"/>
  <c r="BG568" i="3"/>
  <c r="BH568" i="3"/>
  <c r="BI568" i="3"/>
  <c r="BJ568" i="3"/>
  <c r="BK568" i="3"/>
  <c r="BM568" i="3"/>
  <c r="BN568" i="3"/>
  <c r="BO568" i="3"/>
  <c r="BP568" i="3"/>
  <c r="BQ568" i="3"/>
  <c r="BR568" i="3"/>
  <c r="BS568" i="3"/>
  <c r="BT568" i="3"/>
  <c r="BL568" i="3"/>
  <c r="BB569" i="3"/>
  <c r="BC569" i="3"/>
  <c r="BA569" i="3" s="1"/>
  <c r="AZ569" i="3" s="1"/>
  <c r="BD569" i="3"/>
  <c r="BE569" i="3"/>
  <c r="BF569" i="3"/>
  <c r="BG569" i="3"/>
  <c r="BH569" i="3"/>
  <c r="BI569" i="3"/>
  <c r="BJ569" i="3"/>
  <c r="BK569" i="3"/>
  <c r="BM569" i="3"/>
  <c r="BN569" i="3"/>
  <c r="BO569" i="3"/>
  <c r="BL569" i="3" s="1"/>
  <c r="BP569" i="3"/>
  <c r="BQ569" i="3"/>
  <c r="BR569" i="3"/>
  <c r="BS569" i="3"/>
  <c r="BT569" i="3"/>
  <c r="BB570" i="3"/>
  <c r="BC570" i="3"/>
  <c r="BD570" i="3"/>
  <c r="BA570" i="3" s="1"/>
  <c r="AZ570" i="3" s="1"/>
  <c r="BE570" i="3"/>
  <c r="BF570" i="3"/>
  <c r="BG570" i="3"/>
  <c r="BH570" i="3"/>
  <c r="BI570" i="3"/>
  <c r="BJ570" i="3"/>
  <c r="BK570" i="3"/>
  <c r="BM570" i="3"/>
  <c r="BN570" i="3"/>
  <c r="BO570" i="3"/>
  <c r="BP570" i="3"/>
  <c r="BQ570" i="3"/>
  <c r="BR570" i="3"/>
  <c r="BS570" i="3"/>
  <c r="BT570" i="3"/>
  <c r="BL570" i="3"/>
  <c r="BB571" i="3"/>
  <c r="BC571" i="3"/>
  <c r="BA571" i="3" s="1"/>
  <c r="BD571" i="3"/>
  <c r="BE571" i="3"/>
  <c r="BF571" i="3"/>
  <c r="BG571" i="3"/>
  <c r="BH571" i="3"/>
  <c r="BI571" i="3"/>
  <c r="BJ571" i="3"/>
  <c r="BK571" i="3"/>
  <c r="BM571" i="3"/>
  <c r="BN571" i="3"/>
  <c r="BO571" i="3"/>
  <c r="BL571" i="3" s="1"/>
  <c r="BP571" i="3"/>
  <c r="BQ571" i="3"/>
  <c r="BR571" i="3"/>
  <c r="BS571" i="3"/>
  <c r="BT571" i="3"/>
  <c r="BB572" i="3"/>
  <c r="BC572" i="3"/>
  <c r="BD572" i="3"/>
  <c r="BA572" i="3" s="1"/>
  <c r="AZ572" i="3" s="1"/>
  <c r="BE572" i="3"/>
  <c r="BF572" i="3"/>
  <c r="BG572" i="3"/>
  <c r="BH572" i="3"/>
  <c r="BI572" i="3"/>
  <c r="BJ572" i="3"/>
  <c r="BK572" i="3"/>
  <c r="BM572" i="3"/>
  <c r="BN572" i="3"/>
  <c r="BO572" i="3"/>
  <c r="BP572" i="3"/>
  <c r="BQ572" i="3"/>
  <c r="BR572" i="3"/>
  <c r="BS572" i="3"/>
  <c r="BT572" i="3"/>
  <c r="BL572" i="3"/>
  <c r="BB573" i="3"/>
  <c r="BC573" i="3"/>
  <c r="BA573" i="3" s="1"/>
  <c r="AZ573" i="3" s="1"/>
  <c r="BD573" i="3"/>
  <c r="BE573" i="3"/>
  <c r="BF573" i="3"/>
  <c r="BG573" i="3"/>
  <c r="BH573" i="3"/>
  <c r="BI573" i="3"/>
  <c r="BJ573" i="3"/>
  <c r="BK573" i="3"/>
  <c r="BM573" i="3"/>
  <c r="BN573" i="3"/>
  <c r="BO573" i="3"/>
  <c r="BL573" i="3" s="1"/>
  <c r="BP573" i="3"/>
  <c r="BQ573" i="3"/>
  <c r="BR573" i="3"/>
  <c r="BS573" i="3"/>
  <c r="BT573" i="3"/>
  <c r="BB574" i="3"/>
  <c r="BC574" i="3"/>
  <c r="BD574" i="3"/>
  <c r="BA574" i="3" s="1"/>
  <c r="AZ574" i="3" s="1"/>
  <c r="BE574" i="3"/>
  <c r="BF574" i="3"/>
  <c r="BG574" i="3"/>
  <c r="BH574" i="3"/>
  <c r="BI574" i="3"/>
  <c r="BJ574" i="3"/>
  <c r="BK574" i="3"/>
  <c r="BM574" i="3"/>
  <c r="BN574" i="3"/>
  <c r="BO574" i="3"/>
  <c r="BP574" i="3"/>
  <c r="BQ574" i="3"/>
  <c r="BR574" i="3"/>
  <c r="BS574" i="3"/>
  <c r="BT574" i="3"/>
  <c r="BL574" i="3"/>
  <c r="BB575" i="3"/>
  <c r="BC575" i="3"/>
  <c r="BA575" i="3" s="1"/>
  <c r="BD575" i="3"/>
  <c r="BE575" i="3"/>
  <c r="BF575" i="3"/>
  <c r="BG575" i="3"/>
  <c r="BH575" i="3"/>
  <c r="BI575" i="3"/>
  <c r="BJ575" i="3"/>
  <c r="BK575" i="3"/>
  <c r="BM575" i="3"/>
  <c r="BN575" i="3"/>
  <c r="BO575" i="3"/>
  <c r="BL575" i="3" s="1"/>
  <c r="BP575" i="3"/>
  <c r="BQ575" i="3"/>
  <c r="BR575" i="3"/>
  <c r="BS575" i="3"/>
  <c r="BT575" i="3"/>
  <c r="BB576" i="3"/>
  <c r="BC576" i="3"/>
  <c r="BD576" i="3"/>
  <c r="BA576" i="3" s="1"/>
  <c r="AZ576" i="3" s="1"/>
  <c r="BE576" i="3"/>
  <c r="BF576" i="3"/>
  <c r="BG576" i="3"/>
  <c r="BH576" i="3"/>
  <c r="BI576" i="3"/>
  <c r="BJ576" i="3"/>
  <c r="BK576" i="3"/>
  <c r="BM576" i="3"/>
  <c r="BN576" i="3"/>
  <c r="BO576" i="3"/>
  <c r="BP576" i="3"/>
  <c r="BQ576" i="3"/>
  <c r="BR576" i="3"/>
  <c r="BS576" i="3"/>
  <c r="BT576" i="3"/>
  <c r="BL576" i="3"/>
  <c r="BB577" i="3"/>
  <c r="BC577" i="3"/>
  <c r="BA577" i="3" s="1"/>
  <c r="AZ577" i="3" s="1"/>
  <c r="BD577" i="3"/>
  <c r="BE577" i="3"/>
  <c r="BF577" i="3"/>
  <c r="BG577" i="3"/>
  <c r="BH577" i="3"/>
  <c r="BI577" i="3"/>
  <c r="BJ577" i="3"/>
  <c r="BK577" i="3"/>
  <c r="BM577" i="3"/>
  <c r="BN577" i="3"/>
  <c r="BO577" i="3"/>
  <c r="BL577" i="3" s="1"/>
  <c r="BP577" i="3"/>
  <c r="BQ577" i="3"/>
  <c r="BR577" i="3"/>
  <c r="BS577" i="3"/>
  <c r="BT577" i="3"/>
  <c r="BB578" i="3"/>
  <c r="BC578" i="3"/>
  <c r="BD578" i="3"/>
  <c r="BA578" i="3" s="1"/>
  <c r="AZ578" i="3" s="1"/>
  <c r="BE578" i="3"/>
  <c r="BF578" i="3"/>
  <c r="BG578" i="3"/>
  <c r="BH578" i="3"/>
  <c r="BI578" i="3"/>
  <c r="BJ578" i="3"/>
  <c r="BK578" i="3"/>
  <c r="BM578" i="3"/>
  <c r="BN578" i="3"/>
  <c r="BO578" i="3"/>
  <c r="BP578" i="3"/>
  <c r="BQ578" i="3"/>
  <c r="BR578" i="3"/>
  <c r="BS578" i="3"/>
  <c r="BT578" i="3"/>
  <c r="BL578" i="3"/>
  <c r="BB579" i="3"/>
  <c r="BC579" i="3"/>
  <c r="BA579" i="3" s="1"/>
  <c r="AZ579" i="3" s="1"/>
  <c r="BD579" i="3"/>
  <c r="BE579" i="3"/>
  <c r="BF579" i="3"/>
  <c r="BG579" i="3"/>
  <c r="BH579" i="3"/>
  <c r="BI579" i="3"/>
  <c r="BJ579" i="3"/>
  <c r="BK579" i="3"/>
  <c r="BM579" i="3"/>
  <c r="BN579" i="3"/>
  <c r="BO579" i="3"/>
  <c r="BL579" i="3" s="1"/>
  <c r="BP579" i="3"/>
  <c r="BQ579" i="3"/>
  <c r="BR579" i="3"/>
  <c r="BS579" i="3"/>
  <c r="BT579" i="3"/>
  <c r="BB580" i="3"/>
  <c r="BC580" i="3"/>
  <c r="BD580" i="3"/>
  <c r="BA580" i="3" s="1"/>
  <c r="AZ580" i="3" s="1"/>
  <c r="BE580" i="3"/>
  <c r="BF580" i="3"/>
  <c r="BG580" i="3"/>
  <c r="BH580" i="3"/>
  <c r="BI580" i="3"/>
  <c r="BJ580" i="3"/>
  <c r="BK580" i="3"/>
  <c r="BM580" i="3"/>
  <c r="BN580" i="3"/>
  <c r="BO580" i="3"/>
  <c r="BP580" i="3"/>
  <c r="BQ580" i="3"/>
  <c r="BR580" i="3"/>
  <c r="BS580" i="3"/>
  <c r="BT580" i="3"/>
  <c r="BL580" i="3"/>
  <c r="BB581" i="3"/>
  <c r="BC581" i="3"/>
  <c r="BA581" i="3" s="1"/>
  <c r="AZ581" i="3" s="1"/>
  <c r="BD581" i="3"/>
  <c r="BE581" i="3"/>
  <c r="BF581" i="3"/>
  <c r="BG581" i="3"/>
  <c r="BH581" i="3"/>
  <c r="BI581" i="3"/>
  <c r="BJ581" i="3"/>
  <c r="BK581" i="3"/>
  <c r="BM581" i="3"/>
  <c r="BN581" i="3"/>
  <c r="BO581" i="3"/>
  <c r="BL581" i="3" s="1"/>
  <c r="BP581" i="3"/>
  <c r="BQ581" i="3"/>
  <c r="BR581" i="3"/>
  <c r="BS581" i="3"/>
  <c r="BT581" i="3"/>
  <c r="BB582" i="3"/>
  <c r="BC582" i="3"/>
  <c r="BD582" i="3"/>
  <c r="BA582" i="3" s="1"/>
  <c r="AZ582" i="3" s="1"/>
  <c r="BE582" i="3"/>
  <c r="BF582" i="3"/>
  <c r="BG582" i="3"/>
  <c r="BH582" i="3"/>
  <c r="BI582" i="3"/>
  <c r="BJ582" i="3"/>
  <c r="BK582" i="3"/>
  <c r="BM582" i="3"/>
  <c r="BN582" i="3"/>
  <c r="BO582" i="3"/>
  <c r="BP582" i="3"/>
  <c r="BQ582" i="3"/>
  <c r="BR582" i="3"/>
  <c r="BS582" i="3"/>
  <c r="BT582" i="3"/>
  <c r="BL582" i="3"/>
  <c r="BB583" i="3"/>
  <c r="BC583" i="3"/>
  <c r="BA583" i="3" s="1"/>
  <c r="AZ583" i="3" s="1"/>
  <c r="BD583" i="3"/>
  <c r="BE583" i="3"/>
  <c r="BF583" i="3"/>
  <c r="BG583" i="3"/>
  <c r="BH583" i="3"/>
  <c r="BI583" i="3"/>
  <c r="BJ583" i="3"/>
  <c r="BK583" i="3"/>
  <c r="BM583" i="3"/>
  <c r="BN583" i="3"/>
  <c r="BO583" i="3"/>
  <c r="BL583" i="3" s="1"/>
  <c r="BP583" i="3"/>
  <c r="BQ583" i="3"/>
  <c r="BR583" i="3"/>
  <c r="BS583" i="3"/>
  <c r="BT583" i="3"/>
  <c r="BB584" i="3"/>
  <c r="BC584" i="3"/>
  <c r="BD584" i="3"/>
  <c r="BA584" i="3" s="1"/>
  <c r="AZ584" i="3" s="1"/>
  <c r="BE584" i="3"/>
  <c r="BF584" i="3"/>
  <c r="BG584" i="3"/>
  <c r="BH584" i="3"/>
  <c r="BI584" i="3"/>
  <c r="BJ584" i="3"/>
  <c r="BK584" i="3"/>
  <c r="BM584" i="3"/>
  <c r="BN584" i="3"/>
  <c r="BO584" i="3"/>
  <c r="BP584" i="3"/>
  <c r="BQ584" i="3"/>
  <c r="BR584" i="3"/>
  <c r="BS584" i="3"/>
  <c r="BT584" i="3"/>
  <c r="BL584" i="3"/>
  <c r="BB585" i="3"/>
  <c r="BC585" i="3"/>
  <c r="BA585" i="3" s="1"/>
  <c r="AZ585" i="3" s="1"/>
  <c r="BD585" i="3"/>
  <c r="BE585" i="3"/>
  <c r="BF585" i="3"/>
  <c r="BG585" i="3"/>
  <c r="BH585" i="3"/>
  <c r="BI585" i="3"/>
  <c r="BJ585" i="3"/>
  <c r="BK585" i="3"/>
  <c r="BM585" i="3"/>
  <c r="BN585" i="3"/>
  <c r="BO585" i="3"/>
  <c r="BL585" i="3" s="1"/>
  <c r="BP585" i="3"/>
  <c r="BQ585" i="3"/>
  <c r="BR585" i="3"/>
  <c r="BS585" i="3"/>
  <c r="BT585" i="3"/>
  <c r="BB586" i="3"/>
  <c r="BC586" i="3"/>
  <c r="BD586" i="3"/>
  <c r="BA586" i="3" s="1"/>
  <c r="AZ586" i="3" s="1"/>
  <c r="BE586" i="3"/>
  <c r="BF586" i="3"/>
  <c r="BG586" i="3"/>
  <c r="BH586" i="3"/>
  <c r="BI586" i="3"/>
  <c r="BJ586" i="3"/>
  <c r="BK586" i="3"/>
  <c r="BM586" i="3"/>
  <c r="BN586" i="3"/>
  <c r="BO586" i="3"/>
  <c r="BP586" i="3"/>
  <c r="BQ586" i="3"/>
  <c r="BR586" i="3"/>
  <c r="BS586" i="3"/>
  <c r="BT586" i="3"/>
  <c r="BL586" i="3"/>
  <c r="BB587" i="3"/>
  <c r="BC587" i="3"/>
  <c r="BA587" i="3" s="1"/>
  <c r="BD587" i="3"/>
  <c r="BE587" i="3"/>
  <c r="BF587" i="3"/>
  <c r="BG587" i="3"/>
  <c r="BH587" i="3"/>
  <c r="BI587" i="3"/>
  <c r="BJ587" i="3"/>
  <c r="BK587" i="3"/>
  <c r="BM587" i="3"/>
  <c r="BN587" i="3"/>
  <c r="BO587" i="3"/>
  <c r="BL587" i="3" s="1"/>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s="1"/>
  <c r="H336" i="3"/>
  <c r="AC336" i="3"/>
  <c r="G336" i="3"/>
  <c r="H337" i="3"/>
  <c r="AC337" i="3"/>
  <c r="G337" i="3" s="1"/>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s="1"/>
  <c r="H362" i="3"/>
  <c r="AC362" i="3"/>
  <c r="G362" i="3"/>
  <c r="H363" i="3"/>
  <c r="AC363" i="3"/>
  <c r="G363" i="3"/>
  <c r="H364" i="3"/>
  <c r="AC364" i="3"/>
  <c r="G364" i="3"/>
  <c r="H365" i="3"/>
  <c r="AC365" i="3"/>
  <c r="G365" i="3" s="1"/>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s="1"/>
  <c r="H385" i="3"/>
  <c r="AC385" i="3"/>
  <c r="G385" i="3"/>
  <c r="H386" i="3"/>
  <c r="AC386" i="3"/>
  <c r="G386" i="3"/>
  <c r="H387" i="3"/>
  <c r="AC387" i="3"/>
  <c r="G387" i="3"/>
  <c r="H388" i="3"/>
  <c r="AC388" i="3"/>
  <c r="G388" i="3" s="1"/>
  <c r="H389" i="3"/>
  <c r="AC389" i="3"/>
  <c r="G389" i="3"/>
  <c r="H390" i="3"/>
  <c r="AC390" i="3"/>
  <c r="G390" i="3" s="1"/>
  <c r="H391" i="3"/>
  <c r="AC391" i="3"/>
  <c r="G391" i="3"/>
  <c r="H392" i="3"/>
  <c r="AC392" i="3"/>
  <c r="G392" i="3"/>
  <c r="H393" i="3"/>
  <c r="AC393" i="3"/>
  <c r="G393" i="3"/>
  <c r="H394" i="3"/>
  <c r="AC394" i="3"/>
  <c r="G394" i="3"/>
  <c r="H395" i="3"/>
  <c r="AC395" i="3"/>
  <c r="G395" i="3"/>
  <c r="H396" i="3"/>
  <c r="AC396" i="3"/>
  <c r="G396" i="3" s="1"/>
  <c r="H397" i="3"/>
  <c r="AC397" i="3"/>
  <c r="G397" i="3"/>
  <c r="H398" i="3"/>
  <c r="AC398" i="3"/>
  <c r="G398" i="3"/>
  <c r="H399" i="3"/>
  <c r="AC399" i="3"/>
  <c r="G399" i="3"/>
  <c r="H400" i="3"/>
  <c r="AC400" i="3"/>
  <c r="G400" i="3"/>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s="1"/>
  <c r="H422" i="3"/>
  <c r="AC422" i="3"/>
  <c r="G422" i="3"/>
  <c r="H423" i="3"/>
  <c r="AC423" i="3"/>
  <c r="G423" i="3"/>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s="1"/>
  <c r="H451" i="3"/>
  <c r="AC451" i="3"/>
  <c r="G451" i="3"/>
  <c r="H452" i="3"/>
  <c r="AC452" i="3"/>
  <c r="G452" i="3"/>
  <c r="H453" i="3"/>
  <c r="AC453" i="3"/>
  <c r="G453" i="3"/>
  <c r="H454" i="3"/>
  <c r="AC454" i="3"/>
  <c r="G454" i="3"/>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c r="H467" i="3"/>
  <c r="AC467" i="3"/>
  <c r="G467" i="3"/>
  <c r="H468" i="3"/>
  <c r="AC468" i="3"/>
  <c r="G468" i="3"/>
  <c r="H469" i="3"/>
  <c r="AC469" i="3"/>
  <c r="G469" i="3"/>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BQ5" i="3"/>
  <c r="BS5" i="3"/>
  <c r="F28" i="6" s="1"/>
  <c r="BR5" i="3"/>
  <c r="BT5" i="3"/>
  <c r="G28" i="6" s="1"/>
  <c r="E20" i="6"/>
  <c r="E21" i="6"/>
  <c r="E22" i="6"/>
  <c r="E23" i="6"/>
  <c r="E24" i="6"/>
  <c r="E25" i="6"/>
  <c r="E26" i="6"/>
  <c r="L19" i="6"/>
  <c r="B55" i="1"/>
  <c r="B52" i="1" s="1"/>
  <c r="F15" i="15"/>
  <c r="F17" i="15"/>
  <c r="F18" i="15"/>
  <c r="F20" i="15"/>
  <c r="J1" i="73"/>
  <c r="F13" i="73"/>
  <c r="B22" i="1"/>
  <c r="E1" i="73"/>
  <c r="K1" i="73" s="1"/>
  <c r="F23" i="15"/>
  <c r="F21" i="15"/>
  <c r="F28" i="15"/>
  <c r="C28" i="15" s="1"/>
  <c r="Y6" i="1"/>
  <c r="AD6" i="1" s="1"/>
  <c r="E15" i="4"/>
  <c r="F6" i="1"/>
  <c r="AE6" i="1" s="1"/>
  <c r="AG6" i="1" s="1"/>
  <c r="M47" i="15"/>
  <c r="J50" i="15"/>
  <c r="J51" i="15" s="1"/>
  <c r="G1" i="68"/>
  <c r="F7" i="68"/>
  <c r="E9" i="68"/>
  <c r="E10" i="68"/>
  <c r="C19" i="68"/>
  <c r="F20" i="68"/>
  <c r="B23" i="1"/>
  <c r="F21" i="68"/>
  <c r="C21" i="68"/>
  <c r="F30" i="68"/>
  <c r="C30" i="68"/>
  <c r="B24" i="1"/>
  <c r="F34" i="68"/>
  <c r="F35" i="68"/>
  <c r="E37" i="68"/>
  <c r="F38" i="68"/>
  <c r="C40" i="68"/>
  <c r="C48" i="68"/>
  <c r="A7" i="1"/>
  <c r="K7" i="1" s="1"/>
  <c r="M7" i="1" s="1"/>
  <c r="A8" i="1"/>
  <c r="K8" i="1"/>
  <c r="M8" i="1" s="1"/>
  <c r="A9" i="1"/>
  <c r="K9" i="1" s="1"/>
  <c r="M9" i="1" s="1"/>
  <c r="A10" i="1"/>
  <c r="K10" i="1"/>
  <c r="M10" i="1" s="1"/>
  <c r="A11" i="1"/>
  <c r="K11" i="1" s="1"/>
  <c r="M11" i="1" s="1"/>
  <c r="A12" i="1"/>
  <c r="K12" i="1"/>
  <c r="M12" i="1" s="1"/>
  <c r="A13" i="1"/>
  <c r="K13" i="1" s="1"/>
  <c r="M13" i="1" s="1"/>
  <c r="C17" i="9"/>
  <c r="D5" i="9"/>
  <c r="D17" i="9" s="1"/>
  <c r="L3" i="89"/>
  <c r="L5" i="89"/>
  <c r="L6" i="89"/>
  <c r="L7" i="89"/>
  <c r="L8" i="89"/>
  <c r="L9" i="89"/>
  <c r="L10" i="89"/>
  <c r="L11" i="89"/>
  <c r="L12" i="89"/>
  <c r="L13" i="89"/>
  <c r="L14" i="89"/>
  <c r="L16" i="89"/>
  <c r="K20" i="89"/>
  <c r="L20" i="89" s="1"/>
  <c r="K25" i="89"/>
  <c r="L25" i="89" s="1"/>
  <c r="K31" i="89"/>
  <c r="L31" i="89" s="1"/>
  <c r="K34" i="89"/>
  <c r="L34" i="89" s="1"/>
  <c r="K35" i="89"/>
  <c r="L35" i="89" s="1"/>
  <c r="K39" i="89"/>
  <c r="M39" i="89" s="1"/>
  <c r="K40" i="89"/>
  <c r="L39" i="89"/>
  <c r="K43" i="89"/>
  <c r="L43" i="89"/>
  <c r="K46" i="89"/>
  <c r="L46" i="89"/>
  <c r="K49" i="89"/>
  <c r="L49" i="89"/>
  <c r="K50" i="89"/>
  <c r="L50" i="89"/>
  <c r="K51" i="89"/>
  <c r="L51" i="89"/>
  <c r="K52" i="89"/>
  <c r="L52" i="89"/>
  <c r="K53" i="89"/>
  <c r="L53" i="89"/>
  <c r="K54" i="89"/>
  <c r="L54" i="89"/>
  <c r="K55" i="89"/>
  <c r="L55" i="89"/>
  <c r="K56" i="89"/>
  <c r="L56" i="89"/>
  <c r="K60" i="89"/>
  <c r="L60" i="89"/>
  <c r="K62" i="89"/>
  <c r="L62" i="89"/>
  <c r="K48" i="89"/>
  <c r="L48" i="89"/>
  <c r="R6" i="89" s="1"/>
  <c r="F42" i="95"/>
  <c r="M43" i="95" s="1"/>
  <c r="F57" i="95"/>
  <c r="M58" i="95" s="1"/>
  <c r="F58" i="95"/>
  <c r="H32" i="95"/>
  <c r="H35" i="95"/>
  <c r="H38" i="95" s="1"/>
  <c r="H41" i="95" s="1"/>
  <c r="H31" i="95"/>
  <c r="H34" i="95"/>
  <c r="H37" i="95" s="1"/>
  <c r="H40" i="95" s="1"/>
  <c r="H27" i="95"/>
  <c r="H30" i="95"/>
  <c r="H33" i="95" s="1"/>
  <c r="H36" i="95" s="1"/>
  <c r="H39" i="95" s="1"/>
  <c r="H8" i="95"/>
  <c r="H11" i="95" s="1"/>
  <c r="H12" i="95" s="1"/>
  <c r="E64" i="89"/>
  <c r="E18" i="89"/>
  <c r="E65" i="89" s="1"/>
  <c r="E66" i="89" s="1"/>
  <c r="J442" i="84"/>
  <c r="K441" i="84"/>
  <c r="K24" i="89"/>
  <c r="K22" i="89"/>
  <c r="L22" i="89" s="1"/>
  <c r="K27" i="89"/>
  <c r="M27" i="89"/>
  <c r="K28" i="89"/>
  <c r="L27" i="89"/>
  <c r="K36" i="89"/>
  <c r="K37" i="89"/>
  <c r="M37" i="89" s="1"/>
  <c r="K38" i="89"/>
  <c r="M38" i="89" s="1"/>
  <c r="AD14" i="89"/>
  <c r="AF5" i="89" s="1"/>
  <c r="AI18" i="89"/>
  <c r="AK18" i="89" s="1"/>
  <c r="AM14" i="89"/>
  <c r="AE11" i="89"/>
  <c r="AE12" i="89"/>
  <c r="AE13" i="89"/>
  <c r="F22" i="89"/>
  <c r="F64" i="89" s="1"/>
  <c r="G64" i="89" s="1"/>
  <c r="F27" i="89"/>
  <c r="F36" i="89"/>
  <c r="M36" i="89"/>
  <c r="F25" i="89"/>
  <c r="F31" i="89"/>
  <c r="G31" i="89" s="1"/>
  <c r="F34" i="89"/>
  <c r="G34" i="89" s="1"/>
  <c r="F35" i="89"/>
  <c r="G35" i="89" s="1"/>
  <c r="F39" i="89"/>
  <c r="G39" i="89" s="1"/>
  <c r="M43" i="89"/>
  <c r="F46" i="89"/>
  <c r="M46" i="89"/>
  <c r="F49" i="89"/>
  <c r="M49" i="89"/>
  <c r="F50" i="89"/>
  <c r="M50" i="89"/>
  <c r="F51" i="89"/>
  <c r="M51" i="89"/>
  <c r="F52" i="89"/>
  <c r="M52" i="89"/>
  <c r="F53" i="89"/>
  <c r="M53" i="89"/>
  <c r="F54" i="89"/>
  <c r="M54" i="89"/>
  <c r="F55" i="89"/>
  <c r="M55" i="89"/>
  <c r="F56" i="89"/>
  <c r="M56" i="89"/>
  <c r="F60" i="89"/>
  <c r="M60" i="89"/>
  <c r="F62" i="89"/>
  <c r="M62" i="89"/>
  <c r="U15" i="89"/>
  <c r="U16" i="89"/>
  <c r="U21" i="89" s="1"/>
  <c r="U17" i="89"/>
  <c r="U18" i="89"/>
  <c r="U19" i="89"/>
  <c r="AB5" i="89"/>
  <c r="S12" i="89"/>
  <c r="Q20" i="89"/>
  <c r="Q27" i="89"/>
  <c r="Q24" i="89"/>
  <c r="Q28" i="89" s="1"/>
  <c r="U20" i="89"/>
  <c r="V10" i="89"/>
  <c r="O66" i="89"/>
  <c r="D81" i="33"/>
  <c r="T12" i="89"/>
  <c r="K41" i="89"/>
  <c r="L41" i="89" s="1"/>
  <c r="K29" i="89"/>
  <c r="L29" i="89" s="1"/>
  <c r="M3" i="89"/>
  <c r="V25" i="89" s="1"/>
  <c r="M4" i="89"/>
  <c r="M5" i="89"/>
  <c r="M6" i="89"/>
  <c r="M14" i="89"/>
  <c r="M7" i="89"/>
  <c r="Q12" i="89"/>
  <c r="P18" i="89"/>
  <c r="P17" i="89"/>
  <c r="M16" i="89"/>
  <c r="M8" i="89"/>
  <c r="M9" i="89"/>
  <c r="M10" i="89"/>
  <c r="M11" i="89"/>
  <c r="M12" i="89"/>
  <c r="M13" i="89"/>
  <c r="R28" i="89"/>
  <c r="F48" i="89"/>
  <c r="M48" i="89" s="1"/>
  <c r="S6" i="89" s="1"/>
  <c r="R15" i="89"/>
  <c r="O6" i="95" s="1"/>
  <c r="N20" i="1"/>
  <c r="N22" i="1" s="1"/>
  <c r="BB5" i="3"/>
  <c r="BB10" i="3"/>
  <c r="BC10" i="3"/>
  <c r="BD10" i="3"/>
  <c r="BE10" i="3"/>
  <c r="BF10" i="3"/>
  <c r="BG10" i="3"/>
  <c r="BH10" i="3"/>
  <c r="BI10" i="3"/>
  <c r="BJ10" i="3"/>
  <c r="BK10" i="3"/>
  <c r="BC5" i="3"/>
  <c r="BD5" i="3"/>
  <c r="BE5" i="3"/>
  <c r="BF5" i="3"/>
  <c r="BG5" i="3"/>
  <c r="BH5" i="3"/>
  <c r="BI5" i="3"/>
  <c r="BJ5" i="3"/>
  <c r="BK5" i="3"/>
  <c r="R12" i="89"/>
  <c r="Q18" i="89"/>
  <c r="P20" i="89"/>
  <c r="S8" i="89"/>
  <c r="N4" i="91"/>
  <c r="O2" i="91"/>
  <c r="O1" i="91"/>
  <c r="N3" i="91"/>
  <c r="N1" i="91"/>
  <c r="H64" i="91"/>
  <c r="G64" i="91"/>
  <c r="H22" i="91"/>
  <c r="G22" i="91"/>
  <c r="H6" i="91"/>
  <c r="M18" i="15"/>
  <c r="M19" i="15"/>
  <c r="F60" i="15"/>
  <c r="F61" i="15"/>
  <c r="G1" i="69"/>
  <c r="F24" i="89"/>
  <c r="M24" i="89"/>
  <c r="F37" i="89"/>
  <c r="F38" i="89"/>
  <c r="G36" i="89" s="1"/>
  <c r="F28" i="89"/>
  <c r="M28" i="89" s="1"/>
  <c r="F29" i="89"/>
  <c r="G29" i="89" s="1"/>
  <c r="F40" i="89"/>
  <c r="F41" i="89"/>
  <c r="G41" i="89" s="1"/>
  <c r="K44" i="89"/>
  <c r="L44" i="89" s="1"/>
  <c r="F44" i="89"/>
  <c r="G44" i="89" s="1"/>
  <c r="K57" i="89"/>
  <c r="F57" i="89"/>
  <c r="M57" i="89"/>
  <c r="K58" i="89"/>
  <c r="F58" i="89"/>
  <c r="M58" i="89" s="1"/>
  <c r="K61" i="89"/>
  <c r="F61" i="89"/>
  <c r="M61" i="89"/>
  <c r="K63" i="89"/>
  <c r="F63" i="89"/>
  <c r="M63" i="89" s="1"/>
  <c r="L57" i="89"/>
  <c r="L58" i="89"/>
  <c r="L61" i="89"/>
  <c r="L63" i="89"/>
  <c r="J63" i="89"/>
  <c r="J62" i="89"/>
  <c r="G62" i="89"/>
  <c r="J61" i="89"/>
  <c r="G61" i="89"/>
  <c r="J60" i="89"/>
  <c r="G60" i="89"/>
  <c r="J58" i="89"/>
  <c r="J57" i="89"/>
  <c r="G57" i="89"/>
  <c r="J56" i="89"/>
  <c r="G56" i="89"/>
  <c r="J55" i="89"/>
  <c r="G55" i="89"/>
  <c r="J54" i="89"/>
  <c r="G54" i="89"/>
  <c r="J53" i="89"/>
  <c r="G53" i="89"/>
  <c r="J52" i="89"/>
  <c r="G52" i="89"/>
  <c r="J51" i="89"/>
  <c r="G51" i="89"/>
  <c r="J50" i="89"/>
  <c r="G50" i="89"/>
  <c r="J49" i="89"/>
  <c r="G49" i="89"/>
  <c r="J48" i="89"/>
  <c r="L47" i="89"/>
  <c r="G47" i="89"/>
  <c r="J46" i="89"/>
  <c r="G46" i="89"/>
  <c r="J44" i="89"/>
  <c r="J43" i="89"/>
  <c r="G43" i="89"/>
  <c r="L42" i="89"/>
  <c r="G42" i="89"/>
  <c r="J41" i="89"/>
  <c r="J40" i="89"/>
  <c r="J39" i="89"/>
  <c r="J38" i="89"/>
  <c r="J37" i="89"/>
  <c r="J36" i="89"/>
  <c r="J35" i="89"/>
  <c r="J34" i="89"/>
  <c r="L33" i="89"/>
  <c r="G33" i="89"/>
  <c r="J31" i="89"/>
  <c r="L30" i="89"/>
  <c r="G30" i="89"/>
  <c r="J29" i="89"/>
  <c r="J28" i="89"/>
  <c r="J27" i="89"/>
  <c r="J25" i="89"/>
  <c r="J24" i="89"/>
  <c r="J22" i="89"/>
  <c r="J20" i="89"/>
  <c r="G20" i="89"/>
  <c r="K17" i="89"/>
  <c r="M17" i="89" s="1"/>
  <c r="L15" i="89"/>
  <c r="F16" i="89"/>
  <c r="F18" i="89" s="1"/>
  <c r="G18" i="89" s="1"/>
  <c r="J17" i="89"/>
  <c r="J16" i="89"/>
  <c r="G15" i="89"/>
  <c r="J14" i="89"/>
  <c r="G14" i="89"/>
  <c r="J13" i="89"/>
  <c r="G13" i="89"/>
  <c r="J12" i="89"/>
  <c r="G12" i="89"/>
  <c r="J11" i="89"/>
  <c r="G11" i="89"/>
  <c r="J10" i="89"/>
  <c r="G10" i="89"/>
  <c r="J9" i="89"/>
  <c r="G9" i="89"/>
  <c r="J8" i="89"/>
  <c r="G8" i="89"/>
  <c r="J7" i="89"/>
  <c r="G7" i="89"/>
  <c r="J6" i="89"/>
  <c r="G6" i="89"/>
  <c r="J5" i="89"/>
  <c r="G5" i="89"/>
  <c r="J4" i="89"/>
  <c r="J3" i="89"/>
  <c r="G3" i="89"/>
  <c r="K91" i="88"/>
  <c r="D91" i="88"/>
  <c r="Q90" i="88"/>
  <c r="Q89" i="88"/>
  <c r="Q88" i="88"/>
  <c r="Q87" i="88"/>
  <c r="Q86" i="88"/>
  <c r="Q85" i="88"/>
  <c r="Q84" i="88"/>
  <c r="Q83" i="88"/>
  <c r="Q82" i="88"/>
  <c r="Q81" i="88"/>
  <c r="Q80" i="88"/>
  <c r="Q79" i="88"/>
  <c r="Q78" i="88"/>
  <c r="Q77" i="88"/>
  <c r="Q76" i="88"/>
  <c r="Q75" i="88"/>
  <c r="Q74" i="88"/>
  <c r="Q73" i="88"/>
  <c r="H72" i="88"/>
  <c r="Q72" i="88" s="1"/>
  <c r="D72" i="88"/>
  <c r="Q71" i="88"/>
  <c r="Q70" i="88"/>
  <c r="Q69"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O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P4" i="88"/>
  <c r="M2" i="81"/>
  <c r="M4" i="81" s="1"/>
  <c r="K2" i="80"/>
  <c r="K2" i="79"/>
  <c r="K2" i="78"/>
  <c r="L18" i="79" s="1"/>
  <c r="M3" i="81"/>
  <c r="K3" i="78"/>
  <c r="L19" i="79" s="1"/>
  <c r="K3" i="79"/>
  <c r="L17" i="79" s="1"/>
  <c r="K5" i="79"/>
  <c r="L12" i="79" s="1"/>
  <c r="K4" i="80"/>
  <c r="L14" i="79" s="1"/>
  <c r="K5" i="80"/>
  <c r="K3" i="80"/>
  <c r="L13" i="79" s="1"/>
  <c r="K4" i="79"/>
  <c r="J1220" i="84"/>
  <c r="J425" i="84"/>
  <c r="J1221" i="84"/>
  <c r="J339" i="84"/>
  <c r="K4" i="78"/>
  <c r="F779" i="78"/>
  <c r="F18" i="79"/>
  <c r="F87" i="80"/>
  <c r="F334" i="81"/>
  <c r="K6" i="79"/>
  <c r="G15" i="73"/>
  <c r="F15" i="73"/>
  <c r="E15" i="73"/>
  <c r="G16" i="73"/>
  <c r="F16" i="73"/>
  <c r="E16" i="73"/>
  <c r="G13" i="73"/>
  <c r="E13" i="73"/>
  <c r="AH5" i="71"/>
  <c r="AG5" i="71"/>
  <c r="AE5" i="71"/>
  <c r="AF5" i="71"/>
  <c r="AD5" i="71"/>
  <c r="Q5" i="71"/>
  <c r="P5" i="71"/>
  <c r="O5" i="71"/>
  <c r="N5" i="71"/>
  <c r="R43" i="77"/>
  <c r="R40" i="77"/>
  <c r="R41" i="77"/>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D12" i="77"/>
  <c r="D11" i="77"/>
  <c r="E11" i="77" s="1"/>
  <c r="E7" i="77" s="1"/>
  <c r="C27" i="77" s="1"/>
  <c r="R13" i="77"/>
  <c r="R12" i="77"/>
  <c r="R11" i="77"/>
  <c r="R10" i="77"/>
  <c r="D10" i="77"/>
  <c r="R9" i="77"/>
  <c r="D9" i="77"/>
  <c r="D7" i="77" s="1"/>
  <c r="C26" i="77" s="1"/>
  <c r="R8" i="77"/>
  <c r="R7" i="77"/>
  <c r="R14" i="77" s="1"/>
  <c r="R4" i="77"/>
  <c r="R3" i="77"/>
  <c r="R24" i="77"/>
  <c r="AH6" i="71"/>
  <c r="AG6" i="71"/>
  <c r="AE6" i="71"/>
  <c r="AF6" i="71"/>
  <c r="AD6" i="71"/>
  <c r="Q6" i="71"/>
  <c r="P6" i="71"/>
  <c r="O6" i="71"/>
  <c r="N6" i="71"/>
  <c r="R19" i="77"/>
  <c r="AH7" i="71"/>
  <c r="AG7" i="71"/>
  <c r="AE7" i="71"/>
  <c r="AF7" i="71"/>
  <c r="AD7" i="71"/>
  <c r="Q7" i="71"/>
  <c r="P7" i="71"/>
  <c r="O7" i="71"/>
  <c r="N7" i="71"/>
  <c r="E20" i="43"/>
  <c r="AH8" i="71"/>
  <c r="AG8" i="71"/>
  <c r="AE8" i="71"/>
  <c r="AF8" i="71"/>
  <c r="AD8" i="71"/>
  <c r="Q8" i="71"/>
  <c r="P8" i="71"/>
  <c r="O8" i="71"/>
  <c r="N8" i="71"/>
  <c r="AH9" i="71"/>
  <c r="AG9" i="71"/>
  <c r="AE9" i="71"/>
  <c r="AF9" i="71" s="1"/>
  <c r="AD9" i="71"/>
  <c r="Q9" i="71"/>
  <c r="P9" i="71"/>
  <c r="O9" i="71"/>
  <c r="N9" i="71"/>
  <c r="AH10" i="71"/>
  <c r="AG10" i="71"/>
  <c r="AE10" i="71"/>
  <c r="AF10" i="7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c r="AD11" i="71"/>
  <c r="Q11" i="71"/>
  <c r="P11" i="71"/>
  <c r="O11" i="71"/>
  <c r="N11" i="71"/>
  <c r="AH12" i="71"/>
  <c r="AG12" i="71"/>
  <c r="AE12" i="71"/>
  <c r="AF12" i="71" s="1"/>
  <c r="AD12" i="71"/>
  <c r="Q12" i="71"/>
  <c r="P12" i="71"/>
  <c r="O12" i="71"/>
  <c r="N12" i="71"/>
  <c r="Q14" i="7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Q22" i="71"/>
  <c r="P22" i="71"/>
  <c r="E21" i="71"/>
  <c r="E20" i="71"/>
  <c r="E19" i="71" s="1"/>
  <c r="O22" i="71"/>
  <c r="N22" i="71"/>
  <c r="A2" i="53"/>
  <c r="B19" i="72" s="1"/>
  <c r="K59" i="67"/>
  <c r="P61" i="67" s="1"/>
  <c r="K59" i="15"/>
  <c r="P74" i="15" s="1"/>
  <c r="P61" i="15"/>
  <c r="D115" i="39"/>
  <c r="E115" i="39"/>
  <c r="F115" i="39"/>
  <c r="G115" i="39"/>
  <c r="H115" i="39"/>
  <c r="I115" i="39"/>
  <c r="J115" i="39"/>
  <c r="K115" i="39"/>
  <c r="L115" i="39"/>
  <c r="M115" i="39"/>
  <c r="C115" i="39"/>
  <c r="A21" i="62"/>
  <c r="B67" i="72" s="1"/>
  <c r="A20" i="62"/>
  <c r="B66" i="72" s="1"/>
  <c r="A22" i="51"/>
  <c r="B17" i="72"/>
  <c r="A21" i="51"/>
  <c r="A20" i="51"/>
  <c r="A15" i="62"/>
  <c r="B61" i="72"/>
  <c r="A14" i="62"/>
  <c r="B60" i="72"/>
  <c r="A13" i="62"/>
  <c r="B59" i="72"/>
  <c r="A19" i="62"/>
  <c r="A12" i="62"/>
  <c r="B58" i="72" s="1"/>
  <c r="A120" i="9"/>
  <c r="A6" i="52" s="1"/>
  <c r="B57" i="72" s="1"/>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N25" i="71"/>
  <c r="N26" i="71"/>
  <c r="X21" i="71" s="1"/>
  <c r="N27" i="71"/>
  <c r="N28" i="71"/>
  <c r="N29" i="71"/>
  <c r="N30" i="71"/>
  <c r="N31" i="71"/>
  <c r="N32" i="71"/>
  <c r="N33" i="71"/>
  <c r="N34" i="71"/>
  <c r="N35" i="71"/>
  <c r="N36"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A10" i="52" s="1"/>
  <c r="B55" i="72" s="1"/>
  <c r="B44" i="72"/>
  <c r="B42" i="72"/>
  <c r="B69" i="72"/>
  <c r="B68" i="72"/>
  <c r="B63" i="72"/>
  <c r="B62" i="72"/>
  <c r="B16" i="72"/>
  <c r="B65" i="72"/>
  <c r="B10" i="72"/>
  <c r="C53" i="10"/>
  <c r="B51" i="10"/>
  <c r="A18" i="51"/>
  <c r="B13" i="72"/>
  <c r="B49" i="48"/>
  <c r="B5" i="72"/>
  <c r="I19" i="43"/>
  <c r="D86" i="71"/>
  <c r="F85" i="71"/>
  <c r="F84" i="71"/>
  <c r="F83" i="71" s="1"/>
  <c r="E85" i="71"/>
  <c r="E84" i="71" s="1"/>
  <c r="E83" i="71" s="1"/>
  <c r="C85" i="71"/>
  <c r="D85" i="71"/>
  <c r="B85" i="71"/>
  <c r="B84" i="71"/>
  <c r="B83" i="71" s="1"/>
  <c r="D82" i="71"/>
  <c r="F81" i="71"/>
  <c r="F80" i="71"/>
  <c r="F79" i="71" s="1"/>
  <c r="E81" i="71"/>
  <c r="E80" i="71" s="1"/>
  <c r="E79" i="71" s="1"/>
  <c r="C81" i="71"/>
  <c r="D81" i="71"/>
  <c r="B81" i="7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T65" i="71" s="1"/>
  <c r="B65" i="71"/>
  <c r="S65" i="71"/>
  <c r="B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c r="N38" i="71"/>
  <c r="B39" i="71"/>
  <c r="B40" i="71" s="1"/>
  <c r="B41" i="71" s="1"/>
  <c r="S41" i="71" s="1"/>
  <c r="D38" i="71"/>
  <c r="Q37" i="71"/>
  <c r="P37" i="71"/>
  <c r="O37" i="71"/>
  <c r="N37" i="71"/>
  <c r="Q36" i="71"/>
  <c r="AB36" i="71"/>
  <c r="P36" i="71"/>
  <c r="AA35" i="71"/>
  <c r="O36" i="71"/>
  <c r="X36" i="71"/>
  <c r="Q35" i="71"/>
  <c r="AB35" i="71"/>
  <c r="P35" i="71"/>
  <c r="O35" i="71"/>
  <c r="Y35" i="71" s="1"/>
  <c r="Z35" i="71" s="1"/>
  <c r="Q34" i="71"/>
  <c r="F35" i="71"/>
  <c r="F36" i="71" s="1"/>
  <c r="F37" i="71" s="1"/>
  <c r="V37" i="71" s="1"/>
  <c r="P34" i="71"/>
  <c r="E35" i="71" s="1"/>
  <c r="E36" i="71" s="1"/>
  <c r="E37" i="71" s="1"/>
  <c r="U37" i="71" s="1"/>
  <c r="O34" i="71"/>
  <c r="C35" i="71" s="1"/>
  <c r="D34" i="71"/>
  <c r="Q33" i="71"/>
  <c r="AB33" i="71" s="1"/>
  <c r="P33" i="71"/>
  <c r="O33" i="71"/>
  <c r="Y33" i="71"/>
  <c r="Z33" i="71" s="1"/>
  <c r="Q32" i="71"/>
  <c r="AB32" i="71" s="1"/>
  <c r="P32" i="71"/>
  <c r="O32" i="71"/>
  <c r="Y32" i="71"/>
  <c r="Z32" i="71" s="1"/>
  <c r="Q31" i="71"/>
  <c r="AB31" i="71" s="1"/>
  <c r="P31" i="71"/>
  <c r="AA31" i="71" s="1"/>
  <c r="O31" i="71"/>
  <c r="Y31" i="71"/>
  <c r="Z31" i="71" s="1"/>
  <c r="Q30" i="71"/>
  <c r="F31" i="71" s="1"/>
  <c r="F32" i="71" s="1"/>
  <c r="F33" i="71" s="1"/>
  <c r="V33" i="71" s="1"/>
  <c r="P30" i="71"/>
  <c r="O30" i="71"/>
  <c r="D30" i="71"/>
  <c r="Q29" i="71"/>
  <c r="AB29" i="71" s="1"/>
  <c r="P29" i="71"/>
  <c r="AA29" i="71" s="1"/>
  <c r="O29" i="71"/>
  <c r="Y29" i="71"/>
  <c r="Z29" i="71" s="1"/>
  <c r="Q28" i="71"/>
  <c r="AB28" i="71" s="1"/>
  <c r="P28" i="71"/>
  <c r="AA27" i="71" s="1"/>
  <c r="O28" i="71"/>
  <c r="Y28" i="71"/>
  <c r="Z28" i="71" s="1"/>
  <c r="X26" i="71"/>
  <c r="Q27" i="71"/>
  <c r="AB27" i="71"/>
  <c r="P27" i="71"/>
  <c r="AA26" i="71"/>
  <c r="O27" i="71"/>
  <c r="Y27" i="71"/>
  <c r="Z27" i="71" s="1"/>
  <c r="Q26" i="71"/>
  <c r="F27" i="71" s="1"/>
  <c r="F28" i="71" s="1"/>
  <c r="F29" i="71" s="1"/>
  <c r="V29" i="71" s="1"/>
  <c r="P26" i="71"/>
  <c r="O26" i="71"/>
  <c r="C27" i="71" s="1"/>
  <c r="D26" i="71"/>
  <c r="O25" i="71"/>
  <c r="C25" i="71"/>
  <c r="B27" i="71"/>
  <c r="B28" i="71"/>
  <c r="B29" i="71" s="1"/>
  <c r="S29" i="71" s="1"/>
  <c r="E27" i="71"/>
  <c r="E28" i="71"/>
  <c r="E29" i="71" s="1"/>
  <c r="U29" i="71" s="1"/>
  <c r="B31" i="71"/>
  <c r="B32" i="71"/>
  <c r="B33" i="71" s="1"/>
  <c r="S33" i="71" s="1"/>
  <c r="X30" i="71"/>
  <c r="B35" i="71"/>
  <c r="B36" i="71" s="1"/>
  <c r="B37" i="71" s="1"/>
  <c r="S37" i="71" s="1"/>
  <c r="X34" i="71"/>
  <c r="E31" i="71"/>
  <c r="E32" i="71" s="1"/>
  <c r="E33" i="71" s="1"/>
  <c r="U33" i="71" s="1"/>
  <c r="AA30" i="71"/>
  <c r="X27" i="71"/>
  <c r="X28" i="71"/>
  <c r="X29" i="71"/>
  <c r="C31" i="71"/>
  <c r="C32" i="71" s="1"/>
  <c r="X31" i="71"/>
  <c r="X32" i="71"/>
  <c r="X33" i="71"/>
  <c r="X35" i="71"/>
  <c r="B25" i="71"/>
  <c r="B24" i="71"/>
  <c r="B23" i="71" s="1"/>
  <c r="X22" i="71"/>
  <c r="X23" i="71"/>
  <c r="X24" i="71"/>
  <c r="X25" i="71"/>
  <c r="D31" i="71"/>
  <c r="P25" i="71"/>
  <c r="AA3" i="71"/>
  <c r="U65" i="71"/>
  <c r="Q25" i="71"/>
  <c r="F25" i="71" s="1"/>
  <c r="F24" i="71" s="1"/>
  <c r="F23" i="71" s="1"/>
  <c r="N64" i="71"/>
  <c r="B63" i="71"/>
  <c r="N62" i="71"/>
  <c r="O65" i="71"/>
  <c r="C64" i="71"/>
  <c r="O64" i="71" s="1"/>
  <c r="Q65" i="71"/>
  <c r="C68" i="71"/>
  <c r="D68" i="71"/>
  <c r="E68" i="71"/>
  <c r="E67" i="71"/>
  <c r="D69" i="71"/>
  <c r="C72" i="71"/>
  <c r="C71" i="71" s="1"/>
  <c r="D71" i="71" s="1"/>
  <c r="C76" i="71"/>
  <c r="C75" i="71" s="1"/>
  <c r="D75" i="71" s="1"/>
  <c r="E76" i="71"/>
  <c r="E75" i="71"/>
  <c r="D77" i="71"/>
  <c r="C80" i="71"/>
  <c r="D80" i="71" s="1"/>
  <c r="C84" i="71"/>
  <c r="C83" i="71" s="1"/>
  <c r="D83" i="71" s="1"/>
  <c r="S25" i="71"/>
  <c r="AB22" i="71"/>
  <c r="E25" i="71"/>
  <c r="E24" i="71" s="1"/>
  <c r="E23" i="71" s="1"/>
  <c r="AA24" i="71"/>
  <c r="C79" i="71"/>
  <c r="D79" i="71" s="1"/>
  <c r="D72" i="71"/>
  <c r="N63" i="71"/>
  <c r="D84" i="71"/>
  <c r="C67" i="71"/>
  <c r="D67"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AB21" i="37" s="1"/>
  <c r="F21" i="37"/>
  <c r="AA21" i="37" s="1"/>
  <c r="H21" i="34"/>
  <c r="AB21" i="34" s="1"/>
  <c r="U21" i="33"/>
  <c r="E83" i="21"/>
  <c r="F83" i="21"/>
  <c r="G83" i="21" s="1"/>
  <c r="S21" i="21"/>
  <c r="H1" i="69"/>
  <c r="W25" i="40"/>
  <c r="W18" i="36"/>
  <c r="S21" i="37"/>
  <c r="S21" i="33"/>
  <c r="AC18" i="35"/>
  <c r="W18" i="35"/>
  <c r="J21" i="37"/>
  <c r="AC21" i="37" s="1"/>
  <c r="J21" i="34"/>
  <c r="AC21" i="34" s="1"/>
  <c r="H21" i="21"/>
  <c r="AB21" i="21" s="1"/>
  <c r="F38" i="69"/>
  <c r="E37" i="69"/>
  <c r="F36" i="69"/>
  <c r="F35" i="69"/>
  <c r="F21" i="69"/>
  <c r="F40" i="69" s="1"/>
  <c r="C21" i="69"/>
  <c r="F20" i="69"/>
  <c r="F39" i="69"/>
  <c r="E10" i="69"/>
  <c r="E9" i="69"/>
  <c r="W21" i="34"/>
  <c r="W21" i="33"/>
  <c r="U21" i="21"/>
  <c r="J21" i="21"/>
  <c r="W21" i="21"/>
  <c r="F36" i="68"/>
  <c r="F39" i="68"/>
  <c r="AC21" i="21"/>
  <c r="Q72" i="67"/>
  <c r="Q59" i="67"/>
  <c r="Q58" i="67"/>
  <c r="Q51" i="67"/>
  <c r="J50" i="67"/>
  <c r="M47" i="67"/>
  <c r="D46" i="67"/>
  <c r="F33" i="67"/>
  <c r="F61" i="67"/>
  <c r="F23" i="67"/>
  <c r="D24" i="67"/>
  <c r="F21" i="67"/>
  <c r="F20" i="67"/>
  <c r="M19" i="67"/>
  <c r="F18" i="67"/>
  <c r="F17" i="67"/>
  <c r="F15" i="67"/>
  <c r="D22" i="67"/>
  <c r="S2" i="4"/>
  <c r="C51" i="10" s="1"/>
  <c r="A13" i="51"/>
  <c r="B11" i="72" s="1"/>
  <c r="S1" i="4"/>
  <c r="A4" i="51" s="1"/>
  <c r="B6" i="72" s="1"/>
  <c r="B1" i="4"/>
  <c r="D1" i="43"/>
  <c r="F113" i="43"/>
  <c r="N99" i="43"/>
  <c r="N108" i="43" s="1"/>
  <c r="D99" i="43"/>
  <c r="E99" i="43"/>
  <c r="F99" i="43"/>
  <c r="F108" i="43" s="1"/>
  <c r="G99" i="43"/>
  <c r="G108" i="43" s="1"/>
  <c r="H99" i="43"/>
  <c r="H108" i="43" s="1"/>
  <c r="I99" i="43"/>
  <c r="J99" i="43"/>
  <c r="J108" i="43"/>
  <c r="K99" i="43"/>
  <c r="K108" i="43"/>
  <c r="L99" i="43"/>
  <c r="L108" i="43"/>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13" i="1"/>
  <c r="G13" i="1" s="1"/>
  <c r="D6" i="1"/>
  <c r="D9" i="1"/>
  <c r="D10" i="1"/>
  <c r="G10" i="1" s="1"/>
  <c r="D11" i="1"/>
  <c r="G11" i="1" s="1"/>
  <c r="D12" i="1"/>
  <c r="D7" i="1"/>
  <c r="D8"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37" i="48"/>
  <c r="B2" i="72"/>
  <c r="B13" i="53"/>
  <c r="B29" i="72"/>
  <c r="R35" i="4"/>
  <c r="Q35" i="4"/>
  <c r="P35" i="4"/>
  <c r="O35" i="4"/>
  <c r="N35" i="4"/>
  <c r="M35" i="4"/>
  <c r="L35" i="4"/>
  <c r="K34" i="4"/>
  <c r="T34" i="4" s="1"/>
  <c r="I15" i="4"/>
  <c r="H15" i="4"/>
  <c r="G15" i="4"/>
  <c r="D15" i="4"/>
  <c r="F7" i="1"/>
  <c r="L21" i="4"/>
  <c r="F19" i="4"/>
  <c r="F2" i="52"/>
  <c r="B50" i="72"/>
  <c r="D2" i="52"/>
  <c r="B46" i="72"/>
  <c r="B8" i="53"/>
  <c r="B23" i="72"/>
  <c r="L4" i="9"/>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O10" i="1"/>
  <c r="G41" i="69"/>
  <c r="D78" i="9"/>
  <c r="O8" i="1"/>
  <c r="P8" i="1"/>
  <c r="D24" i="15"/>
  <c r="O13" i="1"/>
  <c r="P13" i="1"/>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J55" i="9"/>
  <c r="B31" i="1"/>
  <c r="T4" i="1"/>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E54" i="33"/>
  <c r="F54" i="33" s="1"/>
  <c r="H7" i="12"/>
  <c r="I7" i="12"/>
  <c r="J7" i="12"/>
  <c r="K7" i="12"/>
  <c r="H111" i="21"/>
  <c r="B109" i="39"/>
  <c r="B111" i="39"/>
  <c r="J30" i="36"/>
  <c r="AC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D113"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J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M107" i="40"/>
  <c r="L107" i="40"/>
  <c r="K107" i="40"/>
  <c r="J107" i="40"/>
  <c r="H107" i="40"/>
  <c r="G107" i="40"/>
  <c r="F107" i="40"/>
  <c r="E107" i="40"/>
  <c r="D107" i="40"/>
  <c r="C107" i="40"/>
  <c r="B105" i="40"/>
  <c r="J33" i="40"/>
  <c r="W33" i="40" s="1"/>
  <c r="B103" i="40"/>
  <c r="J32" i="40" s="1"/>
  <c r="AC32" i="40"/>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c r="G119" i="39" s="1"/>
  <c r="H119" i="39" s="1"/>
  <c r="I119" i="39" s="1"/>
  <c r="J119" i="39" s="1"/>
  <c r="K119" i="39" s="1"/>
  <c r="L119" i="39" s="1"/>
  <c r="M119" i="39" s="1"/>
  <c r="B113" i="39"/>
  <c r="J37" i="39" s="1"/>
  <c r="D108" i="39"/>
  <c r="F34" i="39"/>
  <c r="AA34" i="39"/>
  <c r="D106" i="39"/>
  <c r="E106" i="39"/>
  <c r="D104" i="39"/>
  <c r="E104" i="39"/>
  <c r="F104" i="39" s="1"/>
  <c r="G104" i="39"/>
  <c r="H104" i="39" s="1"/>
  <c r="I104" i="39" s="1"/>
  <c r="J104" i="39" s="1"/>
  <c r="K104" i="39" s="1"/>
  <c r="L104" i="39" s="1"/>
  <c r="M104" i="39" s="1"/>
  <c r="D100" i="39"/>
  <c r="D98" i="39"/>
  <c r="E98" i="39" s="1"/>
  <c r="F98" i="39"/>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G94" i="39" s="1"/>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AB33" i="36" s="1"/>
  <c r="B91" i="36"/>
  <c r="F32" i="36" s="1"/>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c r="AC24" i="35" s="1"/>
  <c r="B73" i="35"/>
  <c r="H23" i="35" s="1"/>
  <c r="B57" i="35"/>
  <c r="B61" i="35"/>
  <c r="B59" i="35"/>
  <c r="J12" i="35"/>
  <c r="W12" i="35" s="1"/>
  <c r="B131" i="34"/>
  <c r="B129" i="34"/>
  <c r="B127" i="34"/>
  <c r="B99" i="34"/>
  <c r="B97" i="34"/>
  <c r="B95" i="34"/>
  <c r="B93" i="34"/>
  <c r="B75" i="34"/>
  <c r="B73" i="34"/>
  <c r="B71" i="34"/>
  <c r="F12" i="34"/>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D87" i="33"/>
  <c r="E87" i="33" s="1"/>
  <c r="F87" i="33" s="1"/>
  <c r="G87" i="33" s="1"/>
  <c r="H87" i="33" s="1"/>
  <c r="I87" i="33" s="1"/>
  <c r="J87" i="33" s="1"/>
  <c r="K87" i="33" s="1"/>
  <c r="L87" i="33" s="1"/>
  <c r="M87" i="33" s="1"/>
  <c r="E85" i="33"/>
  <c r="E81" i="33"/>
  <c r="E79" i="33"/>
  <c r="E77" i="33"/>
  <c r="F77" i="33"/>
  <c r="G77" i="33" s="1"/>
  <c r="G69" i="33"/>
  <c r="H69" i="33" s="1"/>
  <c r="I69" i="33" s="1"/>
  <c r="J69" i="33" s="1"/>
  <c r="K69" i="33" s="1"/>
  <c r="L69" i="33" s="1"/>
  <c r="M69" i="33" s="1"/>
  <c r="M67" i="33"/>
  <c r="L67" i="33"/>
  <c r="K67" i="33"/>
  <c r="J67" i="33"/>
  <c r="I67" i="33"/>
  <c r="H67" i="33"/>
  <c r="G67" i="33"/>
  <c r="F67" i="33"/>
  <c r="E67" i="33"/>
  <c r="D67" i="33"/>
  <c r="C67" i="33"/>
  <c r="H66" i="33"/>
  <c r="P49" i="33"/>
  <c r="P48" i="33"/>
  <c r="P47" i="33"/>
  <c r="Q46" i="33"/>
  <c r="Z46" i="33" s="1"/>
  <c r="Q45" i="33"/>
  <c r="Z45" i="33" s="1"/>
  <c r="Q44" i="33"/>
  <c r="Z44" i="33" s="1"/>
  <c r="Q43" i="33"/>
  <c r="Z43" i="33" s="1"/>
  <c r="Q42" i="33"/>
  <c r="Z42" i="33" s="1"/>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s="1"/>
  <c r="Q10" i="33"/>
  <c r="Z10" i="33" s="1"/>
  <c r="Q9" i="33"/>
  <c r="Z9"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B94" i="21"/>
  <c r="J29" i="21" s="1"/>
  <c r="B92" i="21"/>
  <c r="B90" i="21"/>
  <c r="J27" i="21" s="1"/>
  <c r="B74" i="21"/>
  <c r="B72" i="21"/>
  <c r="H13" i="2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J33" i="36"/>
  <c r="W33" i="36" s="1"/>
  <c r="H22" i="35"/>
  <c r="AB22" i="35" s="1"/>
  <c r="AC27" i="35"/>
  <c r="W28" i="35"/>
  <c r="U31" i="35"/>
  <c r="W22" i="35"/>
  <c r="S31" i="35"/>
  <c r="F36" i="34"/>
  <c r="J35" i="34"/>
  <c r="S34" i="34"/>
  <c r="S9" i="33"/>
  <c r="U33" i="33"/>
  <c r="U35" i="33"/>
  <c r="W33" i="33"/>
  <c r="W39" i="33"/>
  <c r="H39" i="37"/>
  <c r="AB39" i="37"/>
  <c r="S27" i="35"/>
  <c r="F11" i="40"/>
  <c r="AA11" i="40" s="1"/>
  <c r="H11" i="40"/>
  <c r="AB11" i="40" s="1"/>
  <c r="W8" i="40"/>
  <c r="AB39" i="40"/>
  <c r="AA9" i="40"/>
  <c r="AC9" i="40"/>
  <c r="U9" i="40"/>
  <c r="S34" i="40"/>
  <c r="U38"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S34" i="21"/>
  <c r="H11" i="39"/>
  <c r="S40" i="39"/>
  <c r="C15" i="39"/>
  <c r="H11" i="21"/>
  <c r="U11" i="21"/>
  <c r="J11" i="21"/>
  <c r="W11" i="21"/>
  <c r="H37" i="40"/>
  <c r="U37" i="40"/>
  <c r="H36" i="40"/>
  <c r="AB36" i="40"/>
  <c r="F35" i="40"/>
  <c r="AA35" i="40"/>
  <c r="H23" i="40"/>
  <c r="AB23" i="40"/>
  <c r="H17" i="40"/>
  <c r="U17" i="40"/>
  <c r="J15" i="40"/>
  <c r="W15" i="40"/>
  <c r="J11" i="40"/>
  <c r="W11" i="40"/>
  <c r="AB8" i="39"/>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AC15" i="34" s="1"/>
  <c r="H15" i="34"/>
  <c r="AB15" i="34" s="1"/>
  <c r="S9" i="34"/>
  <c r="W8" i="34"/>
  <c r="J28" i="34"/>
  <c r="W28" i="34" s="1"/>
  <c r="S38" i="33"/>
  <c r="E113" i="33"/>
  <c r="F113" i="33"/>
  <c r="G113" i="33" s="1"/>
  <c r="H113" i="33" s="1"/>
  <c r="I113" i="33" s="1"/>
  <c r="J113" i="33" s="1"/>
  <c r="K113" i="33" s="1"/>
  <c r="L113" i="33" s="1"/>
  <c r="M113" i="33" s="1"/>
  <c r="S26" i="33"/>
  <c r="U8" i="33"/>
  <c r="S8" i="33"/>
  <c r="F37" i="40"/>
  <c r="AA37" i="40"/>
  <c r="F36" i="40"/>
  <c r="AA36" i="40"/>
  <c r="H28" i="40"/>
  <c r="U28" i="40"/>
  <c r="F23" i="40"/>
  <c r="AA23" i="40"/>
  <c r="F17" i="40"/>
  <c r="AA17" i="40"/>
  <c r="J17" i="40"/>
  <c r="W17" i="40"/>
  <c r="F15" i="40"/>
  <c r="S15" i="40"/>
  <c r="H15" i="40"/>
  <c r="AB15" i="40"/>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F28" i="40"/>
  <c r="AA28" i="40" s="1"/>
  <c r="AA29" i="35"/>
  <c r="AA42" i="34"/>
  <c r="S42" i="34"/>
  <c r="AC38" i="34"/>
  <c r="AA38" i="34"/>
  <c r="J37" i="34"/>
  <c r="AC37"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U26" i="33"/>
  <c r="U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U29"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U14" i="33"/>
  <c r="S14" i="33"/>
  <c r="S44"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U46" i="33"/>
  <c r="J36" i="37"/>
  <c r="AC36" i="37" s="1"/>
  <c r="AB11" i="35"/>
  <c r="J10" i="36"/>
  <c r="AC10" i="36"/>
  <c r="AC13" i="36"/>
  <c r="S11" i="36"/>
  <c r="W11" i="35"/>
  <c r="AC30" i="34"/>
  <c r="U31" i="33"/>
  <c r="U13" i="33"/>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S22" i="31" s="1"/>
  <c r="R22" i="31" s="1"/>
  <c r="Q26" i="31"/>
  <c r="K26" i="31"/>
  <c r="I27" i="31"/>
  <c r="Q27" i="31"/>
  <c r="K27" i="31"/>
  <c r="I28" i="31"/>
  <c r="Q28" i="31"/>
  <c r="K28" i="31"/>
  <c r="S21" i="40"/>
  <c r="H25" i="21"/>
  <c r="U25" i="21"/>
  <c r="F25" i="21"/>
  <c r="S25" i="21"/>
  <c r="J25" i="21"/>
  <c r="AC25" i="21"/>
  <c r="E125" i="33"/>
  <c r="F125" i="33"/>
  <c r="G125" i="33" s="1"/>
  <c r="H17" i="37"/>
  <c r="U17" i="37" s="1"/>
  <c r="U32" i="33"/>
  <c r="AA36" i="39"/>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U43" i="33"/>
  <c r="S28" i="31"/>
  <c r="S27" i="31"/>
  <c r="S26" i="31"/>
  <c r="AC33" i="36"/>
  <c r="W14" i="37"/>
  <c r="U33" i="37"/>
  <c r="U39" i="37"/>
  <c r="W26" i="37"/>
  <c r="AC8" i="37"/>
  <c r="U26" i="37"/>
  <c r="AB13" i="34"/>
  <c r="U11" i="33"/>
  <c r="U19" i="21"/>
  <c r="W44" i="21"/>
  <c r="U26" i="21"/>
  <c r="AC46" i="21"/>
  <c r="AB38" i="21"/>
  <c r="W16" i="35"/>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c r="F88" i="40"/>
  <c r="G88" i="40"/>
  <c r="F19" i="40"/>
  <c r="S19" i="40"/>
  <c r="AB33" i="40"/>
  <c r="W23" i="39"/>
  <c r="G100" i="39"/>
  <c r="H37" i="39"/>
  <c r="AB37" i="39"/>
  <c r="H25" i="39"/>
  <c r="AB25" i="39"/>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59" i="34"/>
  <c r="C7" i="36"/>
  <c r="W35" i="40"/>
  <c r="A4" i="52"/>
  <c r="B41" i="72"/>
  <c r="J11" i="39"/>
  <c r="W11" i="39"/>
  <c r="F11" i="39"/>
  <c r="AA11" i="39"/>
  <c r="A12" i="52"/>
  <c r="B56" i="72"/>
  <c r="S11" i="39"/>
  <c r="G4" i="4"/>
  <c r="I4" i="4"/>
  <c r="K5" i="4"/>
  <c r="B47" i="48" s="1"/>
  <c r="F59" i="43"/>
  <c r="BO5" i="3"/>
  <c r="BM5" i="3"/>
  <c r="F29" i="6" s="1"/>
  <c r="F30" i="6" s="1"/>
  <c r="AC5" i="3"/>
  <c r="BP5" i="3"/>
  <c r="BN5" i="3"/>
  <c r="U36" i="40"/>
  <c r="F36" i="43"/>
  <c r="F81" i="43"/>
  <c r="H81" i="43" s="1"/>
  <c r="H113" i="43"/>
  <c r="F48" i="43"/>
  <c r="H52" i="43" s="1"/>
  <c r="F70" i="43"/>
  <c r="H73" i="43" s="1"/>
  <c r="M11" i="43"/>
  <c r="D17" i="43"/>
  <c r="F39" i="43"/>
  <c r="I17" i="43"/>
  <c r="F35" i="43"/>
  <c r="J17" i="43"/>
  <c r="U17" i="39"/>
  <c r="S14" i="35"/>
  <c r="U43" i="21"/>
  <c r="U35" i="21"/>
  <c r="AC35" i="21"/>
  <c r="U10" i="21"/>
  <c r="G8" i="1"/>
  <c r="G9" i="1"/>
  <c r="AC11" i="39"/>
  <c r="AC44" i="34"/>
  <c r="S15" i="37"/>
  <c r="U13" i="37"/>
  <c r="W37" i="33"/>
  <c r="AC17" i="34"/>
  <c r="W34" i="33"/>
  <c r="F33" i="34"/>
  <c r="S33" i="34" s="1"/>
  <c r="W12" i="36"/>
  <c r="AC12" i="36"/>
  <c r="H20" i="36"/>
  <c r="J20" i="36"/>
  <c r="W24" i="36"/>
  <c r="J27" i="36"/>
  <c r="W27" i="36"/>
  <c r="AC33" i="40"/>
  <c r="G111" i="40"/>
  <c r="H111" i="40" s="1"/>
  <c r="I111" i="40" s="1"/>
  <c r="J111" i="40" s="1"/>
  <c r="K111" i="40" s="1"/>
  <c r="L111" i="40" s="1"/>
  <c r="M111" i="40" s="1"/>
  <c r="H35" i="40"/>
  <c r="AB35" i="40"/>
  <c r="AC29" i="35"/>
  <c r="W29" i="35"/>
  <c r="H35" i="37"/>
  <c r="U35" i="37"/>
  <c r="AC14" i="35"/>
  <c r="H20" i="35"/>
  <c r="F20" i="35"/>
  <c r="AB29" i="36"/>
  <c r="U29" i="36"/>
  <c r="H32" i="37"/>
  <c r="AB32" i="37"/>
  <c r="H27" i="40"/>
  <c r="U27" i="40" s="1"/>
  <c r="J27" i="40"/>
  <c r="AC27" i="40" s="1"/>
  <c r="F27" i="40"/>
  <c r="J30" i="40"/>
  <c r="F30" i="40"/>
  <c r="AA30" i="40" s="1"/>
  <c r="AC21" i="40"/>
  <c r="S31" i="39"/>
  <c r="S11" i="40"/>
  <c r="E98" i="40"/>
  <c r="F98" i="40"/>
  <c r="G98" i="40" s="1"/>
  <c r="H98" i="40" s="1"/>
  <c r="I98" i="40" s="1"/>
  <c r="J98" i="40" s="1"/>
  <c r="K98" i="40" s="1"/>
  <c r="L98" i="40" s="1"/>
  <c r="M98" i="40" s="1"/>
  <c r="S10" i="33"/>
  <c r="S34" i="33"/>
  <c r="U34" i="33"/>
  <c r="S35" i="33"/>
  <c r="F39" i="34"/>
  <c r="S39" i="34" s="1"/>
  <c r="J39" i="34"/>
  <c r="F40" i="34"/>
  <c r="S40" i="34"/>
  <c r="F43" i="34"/>
  <c r="AA43" i="34"/>
  <c r="H44" i="34"/>
  <c r="AC38" i="39"/>
  <c r="F39" i="39"/>
  <c r="S39" i="39"/>
  <c r="J39" i="39"/>
  <c r="AC39" i="39"/>
  <c r="E96" i="39"/>
  <c r="F96" i="39"/>
  <c r="G96" i="39" s="1"/>
  <c r="C40" i="11"/>
  <c r="H50" i="43"/>
  <c r="I20" i="43"/>
  <c r="F23" i="39"/>
  <c r="AA23" i="39" s="1"/>
  <c r="H27" i="36"/>
  <c r="F27" i="36"/>
  <c r="AA27" i="36"/>
  <c r="H33" i="34"/>
  <c r="U33" i="34"/>
  <c r="F32" i="37"/>
  <c r="AA32" i="37"/>
  <c r="F20" i="36"/>
  <c r="AA20" i="36" s="1"/>
  <c r="J33" i="34"/>
  <c r="AC33" i="34" s="1"/>
  <c r="H23" i="39"/>
  <c r="U23" i="39" s="1"/>
  <c r="D48" i="9"/>
  <c r="M52" i="9" s="1"/>
  <c r="H82" i="43"/>
  <c r="AE9" i="1"/>
  <c r="D93" i="9"/>
  <c r="E15" i="6"/>
  <c r="E60" i="40"/>
  <c r="E13" i="6"/>
  <c r="E58" i="40"/>
  <c r="W26" i="33"/>
  <c r="U34" i="36"/>
  <c r="U33" i="36"/>
  <c r="AC12" i="39"/>
  <c r="W12" i="39"/>
  <c r="AC39" i="40"/>
  <c r="W39" i="40"/>
  <c r="W12" i="33"/>
  <c r="U30" i="33"/>
  <c r="AC13" i="34"/>
  <c r="S19" i="39"/>
  <c r="H12" i="39"/>
  <c r="AB12" i="39"/>
  <c r="F39" i="40"/>
  <c r="S12" i="1"/>
  <c r="AQ12" i="1" s="1"/>
  <c r="R12" i="1"/>
  <c r="B12" i="1"/>
  <c r="E12" i="1" s="1"/>
  <c r="S10" i="1"/>
  <c r="R10" i="1"/>
  <c r="B10" i="1"/>
  <c r="E10" i="1" s="1"/>
  <c r="O12" i="1"/>
  <c r="P12" i="1"/>
  <c r="S13" i="1"/>
  <c r="AR13" i="1" s="1"/>
  <c r="R13" i="1"/>
  <c r="S11" i="1"/>
  <c r="AQ11" i="1"/>
  <c r="R11" i="1"/>
  <c r="S9" i="1"/>
  <c r="AR9" i="1" s="1"/>
  <c r="R9" i="1"/>
  <c r="J51" i="67"/>
  <c r="H100" i="43"/>
  <c r="F48" i="9"/>
  <c r="O52" i="9"/>
  <c r="J100" i="43"/>
  <c r="AB37" i="40"/>
  <c r="S35" i="40"/>
  <c r="U35" i="40"/>
  <c r="W38" i="40"/>
  <c r="S17" i="40"/>
  <c r="S23" i="40"/>
  <c r="AC17" i="40"/>
  <c r="AC15" i="40"/>
  <c r="AB27" i="40"/>
  <c r="U21" i="40"/>
  <c r="U37" i="39"/>
  <c r="S37" i="39"/>
  <c r="U35" i="39"/>
  <c r="F32" i="39"/>
  <c r="AA32" i="39" s="1"/>
  <c r="F106" i="39"/>
  <c r="G106" i="39" s="1"/>
  <c r="H106" i="39" s="1"/>
  <c r="I106" i="39" s="1"/>
  <c r="J106" i="39" s="1"/>
  <c r="K106" i="39" s="1"/>
  <c r="L106" i="39" s="1"/>
  <c r="M106" i="39" s="1"/>
  <c r="U25" i="39"/>
  <c r="AB27" i="39"/>
  <c r="U31" i="39"/>
  <c r="J21" i="39"/>
  <c r="W21" i="39"/>
  <c r="F21" i="39"/>
  <c r="AA21" i="39"/>
  <c r="H21" i="39"/>
  <c r="AB21" i="39"/>
  <c r="W19" i="39"/>
  <c r="U19" i="39"/>
  <c r="S17" i="39"/>
  <c r="S15" i="39"/>
  <c r="S9" i="39"/>
  <c r="AC13" i="39"/>
  <c r="U12" i="39"/>
  <c r="U13" i="36"/>
  <c r="AC27" i="36"/>
  <c r="U26" i="36"/>
  <c r="S33" i="36"/>
  <c r="AA34" i="36"/>
  <c r="S29" i="36"/>
  <c r="AC26" i="36"/>
  <c r="W14" i="36"/>
  <c r="AB14" i="36"/>
  <c r="U22" i="36"/>
  <c r="S16" i="36"/>
  <c r="S24" i="36"/>
  <c r="U24" i="36"/>
  <c r="U16" i="36"/>
  <c r="U10" i="36"/>
  <c r="W10" i="36"/>
  <c r="AA25" i="35"/>
  <c r="S23" i="35"/>
  <c r="W24" i="35"/>
  <c r="U29" i="35"/>
  <c r="U28" i="35"/>
  <c r="AB27" i="35"/>
  <c r="U32" i="35"/>
  <c r="AC30" i="35"/>
  <c r="S32" i="35"/>
  <c r="AA36" i="35"/>
  <c r="W32" i="35"/>
  <c r="S28" i="35"/>
  <c r="AB16" i="35"/>
  <c r="U22" i="35"/>
  <c r="AC20" i="35"/>
  <c r="S22" i="35"/>
  <c r="U14" i="35"/>
  <c r="AC10" i="35"/>
  <c r="AB10" i="35"/>
  <c r="AA11" i="35"/>
  <c r="S8" i="35"/>
  <c r="AC9" i="35"/>
  <c r="AC12" i="35"/>
  <c r="F9" i="35"/>
  <c r="S9" i="35"/>
  <c r="H9" i="35"/>
  <c r="F26" i="35"/>
  <c r="J26" i="35"/>
  <c r="W26" i="35"/>
  <c r="H26" i="35"/>
  <c r="AB40" i="37"/>
  <c r="W27" i="37"/>
  <c r="S26" i="37"/>
  <c r="AC9" i="37"/>
  <c r="U29" i="37"/>
  <c r="AB31" i="37"/>
  <c r="W30" i="37"/>
  <c r="U32" i="37"/>
  <c r="AC35" i="37"/>
  <c r="S30" i="37"/>
  <c r="AC15" i="37"/>
  <c r="J17" i="37"/>
  <c r="W17" i="37"/>
  <c r="F17" i="37"/>
  <c r="AA17" i="37" s="1"/>
  <c r="F19" i="37"/>
  <c r="F23" i="37"/>
  <c r="S23" i="37" s="1"/>
  <c r="U15" i="37"/>
  <c r="U9" i="37"/>
  <c r="AA12" i="37"/>
  <c r="H10" i="37"/>
  <c r="AB10" i="37"/>
  <c r="F63" i="37"/>
  <c r="G63" i="37" s="1"/>
  <c r="H63" i="37" s="1"/>
  <c r="I63" i="37" s="1"/>
  <c r="J63" i="37" s="1"/>
  <c r="K63" i="37" s="1"/>
  <c r="L63" i="37" s="1"/>
  <c r="M63" i="37" s="1"/>
  <c r="F11" i="37"/>
  <c r="S11" i="37"/>
  <c r="S27" i="34"/>
  <c r="W25" i="34"/>
  <c r="AB8" i="34"/>
  <c r="AA33" i="34"/>
  <c r="U43" i="34"/>
  <c r="W41" i="34"/>
  <c r="AC42" i="34"/>
  <c r="AB35" i="34"/>
  <c r="U39" i="34"/>
  <c r="AB41" i="34"/>
  <c r="W34" i="34"/>
  <c r="AA25" i="34"/>
  <c r="U28" i="34"/>
  <c r="S17" i="34"/>
  <c r="AA29" i="34"/>
  <c r="S23" i="34"/>
  <c r="U15" i="34"/>
  <c r="S10" i="34"/>
  <c r="S13" i="34"/>
  <c r="H10" i="34"/>
  <c r="F11" i="34"/>
  <c r="F70" i="34"/>
  <c r="G70" i="34" s="1"/>
  <c r="H70" i="34" s="1"/>
  <c r="I70" i="34" s="1"/>
  <c r="J70" i="34" s="1"/>
  <c r="K70" i="34" s="1"/>
  <c r="L70" i="34" s="1"/>
  <c r="M70" i="34" s="1"/>
  <c r="W42" i="33"/>
  <c r="S32" i="33"/>
  <c r="W38" i="33"/>
  <c r="U42" i="33"/>
  <c r="S42" i="33"/>
  <c r="G111" i="33"/>
  <c r="S37" i="33"/>
  <c r="S39" i="33"/>
  <c r="S46" i="33"/>
  <c r="W43" i="33"/>
  <c r="S43" i="33"/>
  <c r="F85" i="33"/>
  <c r="G85" i="33"/>
  <c r="F81" i="33"/>
  <c r="S19" i="33"/>
  <c r="W19" i="33"/>
  <c r="F79" i="33"/>
  <c r="U9" i="33"/>
  <c r="I66" i="33"/>
  <c r="W43" i="21"/>
  <c r="W36" i="21"/>
  <c r="W41" i="21"/>
  <c r="AB39" i="21"/>
  <c r="AA43" i="21"/>
  <c r="S39" i="21"/>
  <c r="AA38" i="21"/>
  <c r="AA36" i="21"/>
  <c r="AC40" i="21"/>
  <c r="J15" i="21"/>
  <c r="W15" i="21" s="1"/>
  <c r="F23" i="21"/>
  <c r="E85" i="21"/>
  <c r="AC11" i="21"/>
  <c r="AB8" i="21"/>
  <c r="S8" i="21"/>
  <c r="M3" i="43"/>
  <c r="M1" i="43"/>
  <c r="N8" i="43"/>
  <c r="F34" i="67"/>
  <c r="F62" i="67" s="1"/>
  <c r="M20" i="67"/>
  <c r="E10" i="6"/>
  <c r="E64" i="39"/>
  <c r="J56" i="9"/>
  <c r="J57" i="9"/>
  <c r="J59" i="9" s="1"/>
  <c r="J61" i="9" s="1"/>
  <c r="A24" i="51"/>
  <c r="B18" i="72"/>
  <c r="E14" i="6"/>
  <c r="E5" i="6"/>
  <c r="D9" i="11"/>
  <c r="C9" i="11" s="1"/>
  <c r="P10" i="1"/>
  <c r="E32" i="6"/>
  <c r="K1" i="12"/>
  <c r="AR10" i="1"/>
  <c r="E19" i="69"/>
  <c r="E19" i="68"/>
  <c r="E19" i="11"/>
  <c r="G22" i="69"/>
  <c r="G22" i="68"/>
  <c r="G26" i="12"/>
  <c r="G22" i="11"/>
  <c r="C100" i="43"/>
  <c r="E81" i="43"/>
  <c r="B79" i="43"/>
  <c r="E48" i="43"/>
  <c r="B46" i="43"/>
  <c r="E70" i="43"/>
  <c r="B68" i="43"/>
  <c r="F100" i="43"/>
  <c r="H17" i="43"/>
  <c r="H88" i="43"/>
  <c r="H78" i="43"/>
  <c r="C17" i="43"/>
  <c r="F33" i="43"/>
  <c r="K17" i="43"/>
  <c r="F34" i="43"/>
  <c r="N6" i="43"/>
  <c r="C6" i="43"/>
  <c r="N3" i="43"/>
  <c r="F38" i="43"/>
  <c r="F37" i="43"/>
  <c r="M9" i="43"/>
  <c r="N5" i="43"/>
  <c r="M12" i="43"/>
  <c r="B19" i="53"/>
  <c r="B37" i="72" s="1"/>
  <c r="C7" i="39"/>
  <c r="C67" i="39" s="1"/>
  <c r="C7" i="35"/>
  <c r="C7" i="21"/>
  <c r="C58" i="21" s="1"/>
  <c r="C7" i="40"/>
  <c r="C63" i="40" s="1"/>
  <c r="M47" i="9"/>
  <c r="G19" i="43"/>
  <c r="O19" i="43"/>
  <c r="C19" i="43" s="1"/>
  <c r="T35" i="4"/>
  <c r="A19" i="51" s="1"/>
  <c r="B14" i="72" s="1"/>
  <c r="C46" i="36"/>
  <c r="D46" i="36"/>
  <c r="D59" i="34"/>
  <c r="E59" i="34"/>
  <c r="F59" i="34" s="1"/>
  <c r="G59" i="34" s="1"/>
  <c r="H59" i="34" s="1"/>
  <c r="I59" i="34" s="1"/>
  <c r="C52" i="37"/>
  <c r="D52" i="37" s="1"/>
  <c r="C48" i="35"/>
  <c r="D48" i="35" s="1"/>
  <c r="C4" i="12"/>
  <c r="H66" i="43"/>
  <c r="H64" i="43"/>
  <c r="H55" i="43"/>
  <c r="H56" i="43"/>
  <c r="H72" i="43"/>
  <c r="L20" i="6"/>
  <c r="L27" i="6" s="1"/>
  <c r="B6" i="1"/>
  <c r="E6" i="1" s="1"/>
  <c r="S8" i="1"/>
  <c r="AR8" i="1" s="1"/>
  <c r="O11" i="1"/>
  <c r="P11" i="1"/>
  <c r="AP6" i="1"/>
  <c r="B9" i="1"/>
  <c r="E9" i="1"/>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22" i="36"/>
  <c r="AC25" i="35"/>
  <c r="U25" i="35"/>
  <c r="S24" i="35"/>
  <c r="W33" i="35"/>
  <c r="AA30" i="35"/>
  <c r="S35" i="35"/>
  <c r="W35" i="35"/>
  <c r="AA16" i="35"/>
  <c r="AA35" i="37"/>
  <c r="W36" i="37"/>
  <c r="S27" i="37"/>
  <c r="S28" i="37"/>
  <c r="U36" i="37"/>
  <c r="S40" i="37"/>
  <c r="U38" i="37"/>
  <c r="AB37" i="37"/>
  <c r="S33" i="37"/>
  <c r="AC34" i="37"/>
  <c r="AB35"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W46" i="33"/>
  <c r="U39" i="33"/>
  <c r="U38" i="33"/>
  <c r="S33" i="33"/>
  <c r="S30" i="33"/>
  <c r="W14" i="33"/>
  <c r="W30" i="33"/>
  <c r="U15" i="33"/>
  <c r="U37" i="33"/>
  <c r="S28" i="33"/>
  <c r="W8" i="33"/>
  <c r="S44" i="21"/>
  <c r="AB42" i="21"/>
  <c r="U28" i="21"/>
  <c r="AA11" i="21"/>
  <c r="S45" i="21"/>
  <c r="F33" i="21"/>
  <c r="S33" i="21"/>
  <c r="J33" i="21"/>
  <c r="H33" i="21"/>
  <c r="F37" i="21"/>
  <c r="AA37" i="21"/>
  <c r="AA26" i="21"/>
  <c r="AB14" i="21"/>
  <c r="AB46" i="21"/>
  <c r="U40" i="21"/>
  <c r="U13" i="21"/>
  <c r="W8" i="21"/>
  <c r="S35" i="21"/>
  <c r="AB37" i="21"/>
  <c r="J37" i="21"/>
  <c r="W37" i="21" s="1"/>
  <c r="H15" i="21"/>
  <c r="U15" i="21" s="1"/>
  <c r="J17" i="21"/>
  <c r="AC19" i="21"/>
  <c r="W39" i="21"/>
  <c r="AC14" i="21"/>
  <c r="W30" i="21"/>
  <c r="S46" i="21"/>
  <c r="H45" i="21"/>
  <c r="U45" i="21" s="1"/>
  <c r="F29" i="21"/>
  <c r="S29" i="21" s="1"/>
  <c r="F13" i="21"/>
  <c r="AA13" i="21" s="1"/>
  <c r="AC38" i="21"/>
  <c r="H32" i="21"/>
  <c r="AB32" i="21"/>
  <c r="H9" i="21"/>
  <c r="J9" i="21"/>
  <c r="W9" i="21" s="1"/>
  <c r="J32" i="21"/>
  <c r="F32" i="21"/>
  <c r="AA32" i="21"/>
  <c r="AA31" i="21"/>
  <c r="U17" i="21"/>
  <c r="S19" i="21"/>
  <c r="AA9" i="21"/>
  <c r="K141" i="21"/>
  <c r="K144" i="21"/>
  <c r="K143" i="21"/>
  <c r="U27" i="21"/>
  <c r="AB25" i="21"/>
  <c r="AB44" i="21"/>
  <c r="AA30" i="21"/>
  <c r="W13" i="21"/>
  <c r="W42" i="21"/>
  <c r="F10" i="21"/>
  <c r="K145" i="21"/>
  <c r="W25" i="21"/>
  <c r="W31" i="21"/>
  <c r="S27" i="21"/>
  <c r="S17" i="21"/>
  <c r="AA15" i="21"/>
  <c r="AC26" i="21"/>
  <c r="AB29" i="21"/>
  <c r="S28" i="21"/>
  <c r="AC34" i="21"/>
  <c r="W10" i="21"/>
  <c r="AB36" i="21"/>
  <c r="C19" i="39"/>
  <c r="C15" i="40"/>
  <c r="C17" i="40"/>
  <c r="C23" i="40"/>
  <c r="C21" i="40"/>
  <c r="U30" i="40"/>
  <c r="B54" i="43"/>
  <c r="B65" i="43"/>
  <c r="B49" i="43"/>
  <c r="B52" i="43"/>
  <c r="B56" i="43"/>
  <c r="B60" i="43"/>
  <c r="B63" i="43"/>
  <c r="B67" i="43"/>
  <c r="D23" i="15"/>
  <c r="D22" i="15"/>
  <c r="AQ13" i="1"/>
  <c r="O6" i="1"/>
  <c r="P6" i="1"/>
  <c r="F48" i="68"/>
  <c r="F30" i="11"/>
  <c r="F28" i="67"/>
  <c r="C28" i="67" s="1"/>
  <c r="F31" i="12"/>
  <c r="F52" i="9"/>
  <c r="M18" i="67"/>
  <c r="F32" i="67"/>
  <c r="F60" i="67"/>
  <c r="F30" i="69"/>
  <c r="C30" i="69"/>
  <c r="E62" i="39"/>
  <c r="AQ9" i="1"/>
  <c r="T13" i="1"/>
  <c r="S7" i="1"/>
  <c r="AR7" i="1" s="1"/>
  <c r="E7" i="70"/>
  <c r="AA39" i="40"/>
  <c r="S39" i="40"/>
  <c r="S12" i="33"/>
  <c r="D68" i="9"/>
  <c r="F54" i="9"/>
  <c r="J32" i="39"/>
  <c r="AC32" i="39" s="1"/>
  <c r="H32" i="39"/>
  <c r="AB32" i="39" s="1"/>
  <c r="S32" i="39"/>
  <c r="U21" i="39"/>
  <c r="S21" i="39"/>
  <c r="U9" i="35"/>
  <c r="AB9" i="35"/>
  <c r="AA9" i="35"/>
  <c r="AC26" i="35"/>
  <c r="AB26" i="35"/>
  <c r="U26" i="35"/>
  <c r="AC17" i="37"/>
  <c r="S17" i="37"/>
  <c r="J19" i="37"/>
  <c r="W19" i="37"/>
  <c r="S19" i="37"/>
  <c r="AA19" i="37"/>
  <c r="AA23" i="37"/>
  <c r="J23" i="37"/>
  <c r="W23" i="37" s="1"/>
  <c r="J10" i="37"/>
  <c r="AC10" i="37" s="1"/>
  <c r="H11" i="37"/>
  <c r="AB11" i="37" s="1"/>
  <c r="U10" i="37"/>
  <c r="H11" i="34"/>
  <c r="AB11" i="34"/>
  <c r="AB10" i="34"/>
  <c r="U10" i="34"/>
  <c r="J10" i="34"/>
  <c r="U41" i="33"/>
  <c r="W35" i="33"/>
  <c r="H111" i="33"/>
  <c r="I111" i="33"/>
  <c r="J111" i="33" s="1"/>
  <c r="K111" i="33" s="1"/>
  <c r="L111" i="33" s="1"/>
  <c r="M111" i="33" s="1"/>
  <c r="W32" i="33"/>
  <c r="U27" i="33"/>
  <c r="U25" i="33"/>
  <c r="S25" i="33"/>
  <c r="U23" i="33"/>
  <c r="G81" i="33"/>
  <c r="G79" i="33"/>
  <c r="W17" i="33"/>
  <c r="U10" i="33"/>
  <c r="W10" i="33"/>
  <c r="S37" i="21"/>
  <c r="AB15" i="21"/>
  <c r="J23" i="21"/>
  <c r="F85" i="21"/>
  <c r="G85" i="21" s="1"/>
  <c r="H23" i="21"/>
  <c r="AB23" i="21" s="1"/>
  <c r="S13" i="21"/>
  <c r="AP7" i="1"/>
  <c r="O7" i="1"/>
  <c r="P7" i="1"/>
  <c r="AB45" i="21"/>
  <c r="AC33" i="21"/>
  <c r="W33" i="21"/>
  <c r="AA33" i="21"/>
  <c r="W32" i="21"/>
  <c r="AC32" i="21"/>
  <c r="AB9" i="21"/>
  <c r="U9" i="21"/>
  <c r="S32" i="21"/>
  <c r="AC9" i="21"/>
  <c r="U32" i="21"/>
  <c r="AA10" i="21"/>
  <c r="S10" i="21"/>
  <c r="A18" i="62"/>
  <c r="B64" i="72" s="1"/>
  <c r="U32" i="39"/>
  <c r="AC19" i="37"/>
  <c r="AC23" i="37"/>
  <c r="J11" i="37"/>
  <c r="W10" i="37"/>
  <c r="U11" i="34"/>
  <c r="AC10" i="34"/>
  <c r="W10" i="34"/>
  <c r="J11" i="34"/>
  <c r="W11" i="34"/>
  <c r="W25" i="33"/>
  <c r="U19" i="33"/>
  <c r="S17" i="33"/>
  <c r="U17" i="33"/>
  <c r="AC23" i="21"/>
  <c r="W23" i="21"/>
  <c r="AC11" i="37"/>
  <c r="W11" i="37"/>
  <c r="AC11" i="34"/>
  <c r="R7" i="1"/>
  <c r="F34" i="11"/>
  <c r="C36" i="11"/>
  <c r="F11" i="12"/>
  <c r="R8" i="1"/>
  <c r="AE7" i="1"/>
  <c r="AE8" i="1"/>
  <c r="H109" i="9"/>
  <c r="H110" i="9"/>
  <c r="D18" i="53" s="1"/>
  <c r="B35" i="72" s="1"/>
  <c r="H112" i="9"/>
  <c r="D21" i="53"/>
  <c r="B39" i="72" s="1"/>
  <c r="H111" i="9"/>
  <c r="D126" i="9" s="1"/>
  <c r="D19" i="53"/>
  <c r="B38" i="72" s="1"/>
  <c r="AD3" i="71"/>
  <c r="C13" i="12"/>
  <c r="C77" i="9"/>
  <c r="C74" i="9" s="1"/>
  <c r="H77" i="43"/>
  <c r="H76" i="43"/>
  <c r="H51" i="43"/>
  <c r="H67" i="43"/>
  <c r="H60"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E46" i="36"/>
  <c r="F46" i="36"/>
  <c r="G46" i="36" s="1"/>
  <c r="C24" i="12"/>
  <c r="AB19" i="71"/>
  <c r="X17" i="71"/>
  <c r="X16" i="71"/>
  <c r="AA17" i="71"/>
  <c r="AA16" i="71"/>
  <c r="X20" i="71"/>
  <c r="Y16" i="71"/>
  <c r="Z16" i="71"/>
  <c r="AB17" i="71"/>
  <c r="AB16" i="71"/>
  <c r="C94" i="9"/>
  <c r="C92" i="9"/>
  <c r="Y17" i="71"/>
  <c r="Z17" i="71"/>
  <c r="X3" i="71"/>
  <c r="E18" i="71"/>
  <c r="E17" i="71" s="1"/>
  <c r="E16" i="71" s="1"/>
  <c r="E15" i="71" s="1"/>
  <c r="E14" i="71" s="1"/>
  <c r="E13" i="71" s="1"/>
  <c r="G20" i="43"/>
  <c r="C20" i="43" s="1"/>
  <c r="G6" i="1"/>
  <c r="G12" i="1"/>
  <c r="G7" i="1"/>
  <c r="A2" i="9"/>
  <c r="A118" i="9"/>
  <c r="O9" i="1"/>
  <c r="P9" i="1"/>
  <c r="D124" i="9"/>
  <c r="F48" i="69"/>
  <c r="C48" i="69"/>
  <c r="AC15" i="21"/>
  <c r="AA11" i="37"/>
  <c r="S43" i="34"/>
  <c r="S32" i="37"/>
  <c r="S27" i="36"/>
  <c r="S30" i="40"/>
  <c r="F53" i="9"/>
  <c r="C31" i="12"/>
  <c r="AA39" i="34"/>
  <c r="W31" i="34"/>
  <c r="AB30" i="21"/>
  <c r="AA13" i="35"/>
  <c r="S41" i="33"/>
  <c r="J9" i="34"/>
  <c r="H9" i="34"/>
  <c r="AB9" i="34" s="1"/>
  <c r="F34" i="35"/>
  <c r="S34" i="35" s="1"/>
  <c r="H34" i="35"/>
  <c r="U34" i="35"/>
  <c r="J36" i="35"/>
  <c r="M108" i="43"/>
  <c r="M100" i="43"/>
  <c r="I108" i="43"/>
  <c r="I100" i="43"/>
  <c r="E108" i="43"/>
  <c r="E100" i="43"/>
  <c r="F40" i="68"/>
  <c r="C40" i="71"/>
  <c r="D40" i="71"/>
  <c r="D39" i="71"/>
  <c r="C44" i="71"/>
  <c r="D44" i="71" s="1"/>
  <c r="D43" i="71"/>
  <c r="D47" i="71"/>
  <c r="C48" i="71"/>
  <c r="C49" i="71" s="1"/>
  <c r="D51" i="71"/>
  <c r="C52" i="71"/>
  <c r="C53" i="71"/>
  <c r="T53" i="71" s="1"/>
  <c r="D55" i="71"/>
  <c r="C56" i="71"/>
  <c r="C57" i="71" s="1"/>
  <c r="D108" i="43"/>
  <c r="D100" i="43"/>
  <c r="Y5" i="71"/>
  <c r="Z5" i="71" s="1"/>
  <c r="X5" i="71"/>
  <c r="AB5" i="71"/>
  <c r="AA5" i="71"/>
  <c r="D32" i="71"/>
  <c r="C33" i="71"/>
  <c r="T33" i="71" s="1"/>
  <c r="Y6" i="71"/>
  <c r="Z6" i="71"/>
  <c r="Y7" i="71"/>
  <c r="Z7" i="71"/>
  <c r="AA6" i="71"/>
  <c r="AA7" i="71"/>
  <c r="AF10" i="43"/>
  <c r="AC12" i="43"/>
  <c r="AC10" i="43"/>
  <c r="AG12" i="43"/>
  <c r="AG10" i="43"/>
  <c r="Y19" i="71"/>
  <c r="Z19" i="71" s="1"/>
  <c r="Y20" i="71"/>
  <c r="Z20" i="71" s="1"/>
  <c r="C21" i="71"/>
  <c r="C20" i="71" s="1"/>
  <c r="Y18" i="71"/>
  <c r="Z18" i="71"/>
  <c r="AB20" i="71"/>
  <c r="AB21" i="71"/>
  <c r="AB18" i="71"/>
  <c r="AA18" i="71"/>
  <c r="Y15" i="71"/>
  <c r="Z15" i="71"/>
  <c r="AB15" i="71"/>
  <c r="X14" i="71"/>
  <c r="AA14" i="71"/>
  <c r="U18" i="36"/>
  <c r="X6" i="71"/>
  <c r="X7" i="71"/>
  <c r="Y36" i="71"/>
  <c r="Z36" i="71"/>
  <c r="AA36" i="71"/>
  <c r="AB6" i="71"/>
  <c r="F64" i="71"/>
  <c r="F63" i="71"/>
  <c r="Q63" i="71" s="1"/>
  <c r="Z12" i="43"/>
  <c r="Z10" i="43"/>
  <c r="AD12" i="43"/>
  <c r="AD10" i="43"/>
  <c r="AH12" i="43"/>
  <c r="AH10" i="43"/>
  <c r="Y21" i="71"/>
  <c r="Z21" i="71"/>
  <c r="F21" i="71"/>
  <c r="F20" i="71"/>
  <c r="F19" i="71" s="1"/>
  <c r="F18" i="71" s="1"/>
  <c r="F17" i="71" s="1"/>
  <c r="F16" i="71" s="1"/>
  <c r="F15" i="71" s="1"/>
  <c r="F14" i="71" s="1"/>
  <c r="F13" i="71" s="1"/>
  <c r="F12" i="71" s="1"/>
  <c r="F11" i="71" s="1"/>
  <c r="F10" i="71" s="1"/>
  <c r="F9" i="71" s="1"/>
  <c r="F8" i="71" s="1"/>
  <c r="F7" i="71" s="1"/>
  <c r="F6" i="71" s="1"/>
  <c r="F5" i="71" s="1"/>
  <c r="AA20" i="71"/>
  <c r="AA21" i="71"/>
  <c r="AA19" i="71"/>
  <c r="X19" i="71"/>
  <c r="B21" i="71"/>
  <c r="X18" i="71"/>
  <c r="X15" i="71"/>
  <c r="Y11" i="71"/>
  <c r="Z11" i="71"/>
  <c r="Y14" i="71"/>
  <c r="Z14" i="71"/>
  <c r="AB14" i="71"/>
  <c r="AA15" i="71"/>
  <c r="X12" i="71"/>
  <c r="AA12" i="71"/>
  <c r="AB8" i="71"/>
  <c r="AB10" i="71"/>
  <c r="AB7" i="71"/>
  <c r="Y8" i="71"/>
  <c r="Z8" i="71" s="1"/>
  <c r="Y10" i="71"/>
  <c r="Z10" i="71" s="1"/>
  <c r="AA10" i="71"/>
  <c r="AA11" i="71"/>
  <c r="X9" i="71"/>
  <c r="X10" i="71"/>
  <c r="AB12" i="71"/>
  <c r="AB9" i="71"/>
  <c r="AB11" i="71"/>
  <c r="Y9" i="71"/>
  <c r="Z9" i="71"/>
  <c r="AA8" i="71"/>
  <c r="AA9" i="71"/>
  <c r="X8" i="71"/>
  <c r="X11" i="71"/>
  <c r="AC21" i="39"/>
  <c r="AB23" i="39"/>
  <c r="AB15" i="39"/>
  <c r="AC15" i="39"/>
  <c r="S25" i="39"/>
  <c r="W39" i="39"/>
  <c r="W42" i="39"/>
  <c r="W14" i="39"/>
  <c r="S29" i="39"/>
  <c r="E11" i="43"/>
  <c r="E9" i="43"/>
  <c r="E10" i="43"/>
  <c r="E8" i="43"/>
  <c r="C7" i="43" s="1"/>
  <c r="D23" i="67"/>
  <c r="G25" i="12"/>
  <c r="G41" i="11"/>
  <c r="G27" i="12"/>
  <c r="G41" i="68"/>
  <c r="F31" i="67"/>
  <c r="F31" i="15"/>
  <c r="Y13" i="71"/>
  <c r="Z13" i="71" s="1"/>
  <c r="Y12" i="71"/>
  <c r="Z12" i="71" s="1"/>
  <c r="AA13" i="71"/>
  <c r="AB3" i="71"/>
  <c r="X13" i="71"/>
  <c r="AB13" i="71"/>
  <c r="Y3" i="71"/>
  <c r="Z3" i="71" s="1"/>
  <c r="AF3" i="71"/>
  <c r="P22" i="43" s="1"/>
  <c r="D56" i="71"/>
  <c r="D52" i="71"/>
  <c r="D48" i="71"/>
  <c r="AB34" i="35"/>
  <c r="U9" i="34"/>
  <c r="D10" i="52"/>
  <c r="Q64" i="71"/>
  <c r="T21" i="71"/>
  <c r="D33" i="71"/>
  <c r="C41" i="71"/>
  <c r="AC36" i="35"/>
  <c r="W36" i="35"/>
  <c r="AA34" i="35"/>
  <c r="AC9" i="34"/>
  <c r="W9" i="34"/>
  <c r="F59" i="67"/>
  <c r="M17" i="67"/>
  <c r="M17" i="15"/>
  <c r="F59" i="15"/>
  <c r="P25" i="43"/>
  <c r="M28" i="43"/>
  <c r="N28" i="43"/>
  <c r="O28" i="43"/>
  <c r="P28" i="43"/>
  <c r="T41" i="71"/>
  <c r="D41" i="71"/>
  <c r="Q62" i="71"/>
  <c r="D3" i="33"/>
  <c r="M18" i="9"/>
  <c r="B118" i="9" s="1"/>
  <c r="D53" i="71"/>
  <c r="O14" i="1"/>
  <c r="P14" i="1"/>
  <c r="C19" i="69"/>
  <c r="C23" i="12"/>
  <c r="Q51" i="15"/>
  <c r="N101" i="43"/>
  <c r="N107" i="43" s="1"/>
  <c r="D101" i="43"/>
  <c r="D102" i="43" s="1"/>
  <c r="AH11" i="43"/>
  <c r="AH13" i="43" s="1"/>
  <c r="Z11" i="43"/>
  <c r="Z13" i="43" s="1"/>
  <c r="AG11" i="43"/>
  <c r="AG13" i="43" s="1"/>
  <c r="Y11" i="43"/>
  <c r="Y13" i="43" s="1"/>
  <c r="S6" i="43"/>
  <c r="F22" i="43"/>
  <c r="E22" i="43"/>
  <c r="L101" i="43"/>
  <c r="AD11" i="43"/>
  <c r="AD13" i="43" s="1"/>
  <c r="AC11" i="43"/>
  <c r="AC13" i="43" s="1"/>
  <c r="S4" i="43"/>
  <c r="T9" i="1"/>
  <c r="D109" i="43"/>
  <c r="D19" i="12"/>
  <c r="C19" i="12" s="1"/>
  <c r="AQ8" i="1"/>
  <c r="J22" i="43"/>
  <c r="C23" i="43"/>
  <c r="C21" i="43" s="1"/>
  <c r="AR11" i="1"/>
  <c r="T11" i="1"/>
  <c r="AB11" i="43"/>
  <c r="AB13" i="43" s="1"/>
  <c r="AF11" i="43"/>
  <c r="AF13" i="43" s="1"/>
  <c r="AJ11" i="43"/>
  <c r="AJ13" i="43" s="1"/>
  <c r="N103" i="43"/>
  <c r="M101" i="43"/>
  <c r="H101" i="43"/>
  <c r="J101" i="43"/>
  <c r="G54" i="33"/>
  <c r="H54" i="33"/>
  <c r="I54" i="33"/>
  <c r="J54" i="33"/>
  <c r="K6" i="1"/>
  <c r="AH6" i="1"/>
  <c r="P16" i="1"/>
  <c r="C11" i="12"/>
  <c r="C15" i="12" s="1"/>
  <c r="AE14" i="89"/>
  <c r="AJ14" i="89" s="1"/>
  <c r="T7" i="1"/>
  <c r="AQ7" i="1"/>
  <c r="T8" i="1"/>
  <c r="O16" i="1"/>
  <c r="E8" i="6"/>
  <c r="F4" i="49"/>
  <c r="H4" i="49" s="1"/>
  <c r="B6" i="49"/>
  <c r="D6" i="49" s="1"/>
  <c r="F10" i="49"/>
  <c r="H10" i="49" s="1"/>
  <c r="B12" i="49"/>
  <c r="D12" i="49" s="1"/>
  <c r="B20" i="71"/>
  <c r="B19" i="71"/>
  <c r="B18" i="71" s="1"/>
  <c r="B17" i="71" s="1"/>
  <c r="S21" i="71"/>
  <c r="D125" i="9"/>
  <c r="D11" i="52" s="1"/>
  <c r="H14" i="74"/>
  <c r="B7" i="74" s="1"/>
  <c r="E12" i="71"/>
  <c r="E11" i="71" s="1"/>
  <c r="E10" i="71"/>
  <c r="E9" i="71" s="1"/>
  <c r="V13" i="71"/>
  <c r="AC17" i="21"/>
  <c r="W17" i="21"/>
  <c r="M103" i="43"/>
  <c r="H103" i="43"/>
  <c r="S23" i="21"/>
  <c r="AA23" i="21"/>
  <c r="AA26" i="35"/>
  <c r="S26" i="35"/>
  <c r="AR12" i="1"/>
  <c r="T12" i="1"/>
  <c r="U27" i="36"/>
  <c r="AB27" i="36"/>
  <c r="W39" i="34"/>
  <c r="AC39" i="34"/>
  <c r="S27" i="40"/>
  <c r="AA27" i="40"/>
  <c r="U20" i="35"/>
  <c r="AB20" i="35"/>
  <c r="W20" i="36"/>
  <c r="AC20" i="36"/>
  <c r="G29" i="6"/>
  <c r="E11" i="6"/>
  <c r="S12" i="34"/>
  <c r="AA12" i="34"/>
  <c r="AC43" i="39"/>
  <c r="W43" i="39"/>
  <c r="U45" i="39"/>
  <c r="AB45" i="39"/>
  <c r="W37" i="39"/>
  <c r="AC37" i="39"/>
  <c r="AC31" i="40"/>
  <c r="W31" i="40"/>
  <c r="V17" i="71"/>
  <c r="D20" i="53"/>
  <c r="B40" i="72" s="1"/>
  <c r="I14" i="74"/>
  <c r="B8" i="74" s="1"/>
  <c r="D127" i="9"/>
  <c r="D13" i="52" s="1"/>
  <c r="D12" i="52"/>
  <c r="M49" i="9"/>
  <c r="D16" i="53"/>
  <c r="U23" i="21"/>
  <c r="AC37" i="21"/>
  <c r="C48" i="11"/>
  <c r="C30" i="11"/>
  <c r="AB33" i="21"/>
  <c r="U33" i="21"/>
  <c r="L102" i="43"/>
  <c r="L104" i="43"/>
  <c r="E63" i="39"/>
  <c r="E59" i="40"/>
  <c r="S11" i="34"/>
  <c r="AA11" i="34"/>
  <c r="AQ10" i="1"/>
  <c r="T10" i="1"/>
  <c r="J104" i="43"/>
  <c r="J105" i="43"/>
  <c r="J103" i="43"/>
  <c r="J106" i="43"/>
  <c r="AB44" i="34"/>
  <c r="U44" i="34"/>
  <c r="AC30" i="40"/>
  <c r="W30" i="40"/>
  <c r="AA20" i="35"/>
  <c r="S20" i="35"/>
  <c r="U20" i="36"/>
  <c r="AB20" i="36"/>
  <c r="H83" i="43"/>
  <c r="H86" i="43"/>
  <c r="H87" i="43"/>
  <c r="H85" i="43"/>
  <c r="H84" i="43"/>
  <c r="H62" i="43"/>
  <c r="H65" i="43"/>
  <c r="H63" i="43"/>
  <c r="H59" i="43"/>
  <c r="H61" i="43"/>
  <c r="AB41" i="39"/>
  <c r="U41" i="39"/>
  <c r="AC34" i="35"/>
  <c r="W34" i="35"/>
  <c r="AB36" i="35"/>
  <c r="U36" i="35"/>
  <c r="U25" i="37"/>
  <c r="AB25" i="37"/>
  <c r="AB44" i="39"/>
  <c r="U44" i="39"/>
  <c r="AA31" i="37"/>
  <c r="W32" i="37"/>
  <c r="U24" i="35"/>
  <c r="U32" i="40"/>
  <c r="U27" i="34"/>
  <c r="AA9" i="37"/>
  <c r="U23" i="37"/>
  <c r="AB17" i="37"/>
  <c r="S36" i="37"/>
  <c r="W13" i="35"/>
  <c r="AB13" i="35"/>
  <c r="S14" i="36"/>
  <c r="AA25" i="36"/>
  <c r="U14" i="39"/>
  <c r="AA12" i="39"/>
  <c r="S43" i="39"/>
  <c r="AB19" i="40"/>
  <c r="AA19" i="40"/>
  <c r="AA32" i="40"/>
  <c r="AC36" i="40"/>
  <c r="W28" i="37"/>
  <c r="U12" i="40"/>
  <c r="AC13" i="40"/>
  <c r="U12" i="37"/>
  <c r="W40" i="37"/>
  <c r="AC36" i="34"/>
  <c r="W37" i="34"/>
  <c r="W47" i="34"/>
  <c r="AB28" i="37"/>
  <c r="U35" i="35"/>
  <c r="AC32" i="36"/>
  <c r="AA14" i="34"/>
  <c r="AB46" i="34"/>
  <c r="W11" i="36"/>
  <c r="AA14" i="37"/>
  <c r="AB11" i="36"/>
  <c r="S28" i="34"/>
  <c r="AB17" i="34"/>
  <c r="C21" i="39"/>
  <c r="C25" i="39"/>
  <c r="U34" i="34"/>
  <c r="H12" i="34"/>
  <c r="J12" i="34"/>
  <c r="F12" i="35"/>
  <c r="H12" i="35"/>
  <c r="R25" i="77"/>
  <c r="R5" i="77"/>
  <c r="U5" i="77" s="1"/>
  <c r="D38" i="77"/>
  <c r="D39" i="77" s="1"/>
  <c r="D29" i="77"/>
  <c r="D32" i="77" s="1"/>
  <c r="D26" i="77"/>
  <c r="E23" i="77"/>
  <c r="L20" i="79"/>
  <c r="N20" i="79" s="1"/>
  <c r="T25" i="71"/>
  <c r="D25" i="71"/>
  <c r="U25" i="71"/>
  <c r="C24" i="71"/>
  <c r="D27" i="71"/>
  <c r="C28" i="71"/>
  <c r="R3" i="89"/>
  <c r="C40" i="69"/>
  <c r="W29" i="39"/>
  <c r="U25" i="40"/>
  <c r="V25" i="71"/>
  <c r="AA25" i="71"/>
  <c r="AA23" i="71"/>
  <c r="AB25" i="71"/>
  <c r="AB23" i="71"/>
  <c r="AB34" i="71"/>
  <c r="Y34" i="71"/>
  <c r="Z34" i="71" s="1"/>
  <c r="AA33" i="71"/>
  <c r="AA32" i="71"/>
  <c r="AB30" i="71"/>
  <c r="Y30" i="71"/>
  <c r="Z30" i="71"/>
  <c r="N65" i="71"/>
  <c r="P74" i="67"/>
  <c r="V21" i="71"/>
  <c r="C29" i="77"/>
  <c r="C32" i="77" s="1"/>
  <c r="C38" i="77" s="1"/>
  <c r="C39" i="77" s="1"/>
  <c r="K6" i="80"/>
  <c r="L15" i="79"/>
  <c r="L16" i="79"/>
  <c r="N16" i="79" s="1"/>
  <c r="N22" i="79" s="1"/>
  <c r="G25" i="89"/>
  <c r="M41" i="89"/>
  <c r="M40" i="89"/>
  <c r="M29" i="89"/>
  <c r="M22" i="89"/>
  <c r="S4" i="89"/>
  <c r="AG12" i="89"/>
  <c r="AK14" i="89"/>
  <c r="L18" i="89"/>
  <c r="R5" i="89" s="1"/>
  <c r="T5" i="89" s="1"/>
  <c r="R18" i="89" s="1"/>
  <c r="O8" i="95" s="1"/>
  <c r="G5" i="3"/>
  <c r="B3" i="3" s="1"/>
  <c r="C18" i="9"/>
  <c r="D18" i="9"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147" i="3"/>
  <c r="AZ147" i="3" s="1"/>
  <c r="BL144" i="3"/>
  <c r="BA143" i="3"/>
  <c r="AZ143" i="3" s="1"/>
  <c r="BL140" i="3"/>
  <c r="BA139" i="3"/>
  <c r="AZ139" i="3" s="1"/>
  <c r="BL136" i="3"/>
  <c r="BA135" i="3"/>
  <c r="AZ135" i="3" s="1"/>
  <c r="BL132" i="3"/>
  <c r="BA131" i="3"/>
  <c r="AZ131" i="3" s="1"/>
  <c r="BL128" i="3"/>
  <c r="BA127" i="3"/>
  <c r="AZ127" i="3" s="1"/>
  <c r="BL124" i="3"/>
  <c r="BA123" i="3"/>
  <c r="AZ123" i="3" s="1"/>
  <c r="BL120" i="3"/>
  <c r="BA119" i="3"/>
  <c r="AZ119" i="3" s="1"/>
  <c r="BL116" i="3"/>
  <c r="BA115" i="3"/>
  <c r="AZ115" i="3" s="1"/>
  <c r="BL146" i="3"/>
  <c r="BA145" i="3"/>
  <c r="AZ145" i="3" s="1"/>
  <c r="BL142" i="3"/>
  <c r="BA141" i="3"/>
  <c r="AZ141" i="3"/>
  <c r="BL138" i="3"/>
  <c r="BA137" i="3"/>
  <c r="AZ137" i="3"/>
  <c r="BL134" i="3"/>
  <c r="BA133" i="3"/>
  <c r="AZ133" i="3" s="1"/>
  <c r="BL130" i="3"/>
  <c r="BA129" i="3"/>
  <c r="AZ129" i="3" s="1"/>
  <c r="BL126" i="3"/>
  <c r="BA125" i="3"/>
  <c r="AZ125" i="3"/>
  <c r="BL122" i="3"/>
  <c r="BA121" i="3"/>
  <c r="AZ121" i="3"/>
  <c r="BL118" i="3"/>
  <c r="BA117" i="3"/>
  <c r="AZ117" i="3" s="1"/>
  <c r="BL114" i="3"/>
  <c r="BL56" i="3"/>
  <c r="BA55" i="3"/>
  <c r="AZ55" i="3" s="1"/>
  <c r="BL52" i="3"/>
  <c r="BA51" i="3"/>
  <c r="AZ51" i="3" s="1"/>
  <c r="BL48" i="3"/>
  <c r="BA47" i="3"/>
  <c r="AZ47" i="3" s="1"/>
  <c r="BL44" i="3"/>
  <c r="BA43" i="3"/>
  <c r="AZ43" i="3" s="1"/>
  <c r="BL40" i="3"/>
  <c r="BA39" i="3"/>
  <c r="AZ39" i="3" s="1"/>
  <c r="BL36" i="3"/>
  <c r="BA35" i="3"/>
  <c r="AZ35" i="3" s="1"/>
  <c r="BL32" i="3"/>
  <c r="BA31" i="3"/>
  <c r="AZ31" i="3" s="1"/>
  <c r="BL28" i="3"/>
  <c r="BA27" i="3"/>
  <c r="AZ27" i="3" s="1"/>
  <c r="BL24" i="3"/>
  <c r="BA23" i="3"/>
  <c r="AZ23" i="3" s="1"/>
  <c r="BL20" i="3"/>
  <c r="BA19" i="3"/>
  <c r="AZ19" i="3" s="1"/>
  <c r="BL16" i="3"/>
  <c r="BA15" i="3"/>
  <c r="AZ15" i="3" s="1"/>
  <c r="F40" i="33"/>
  <c r="H40" i="33"/>
  <c r="J40" i="33"/>
  <c r="F36" i="33"/>
  <c r="J36" i="33"/>
  <c r="BL54" i="3"/>
  <c r="BA53" i="3"/>
  <c r="AZ53" i="3"/>
  <c r="BL50" i="3"/>
  <c r="BA49" i="3"/>
  <c r="AZ49" i="3"/>
  <c r="BL46" i="3"/>
  <c r="BA45" i="3"/>
  <c r="AZ45" i="3"/>
  <c r="BL42" i="3"/>
  <c r="BA41" i="3"/>
  <c r="AZ41" i="3"/>
  <c r="BL38" i="3"/>
  <c r="BA37" i="3"/>
  <c r="AZ37" i="3"/>
  <c r="BL34" i="3"/>
  <c r="BA33" i="3"/>
  <c r="AZ33" i="3"/>
  <c r="BL30" i="3"/>
  <c r="BA29" i="3"/>
  <c r="AZ29" i="3"/>
  <c r="BL26" i="3"/>
  <c r="BA25" i="3"/>
  <c r="AZ25" i="3"/>
  <c r="BL22" i="3"/>
  <c r="BA21" i="3"/>
  <c r="AZ21" i="3"/>
  <c r="BL18" i="3"/>
  <c r="BA17" i="3"/>
  <c r="AZ17" i="3"/>
  <c r="BL14" i="3"/>
  <c r="BA13" i="3"/>
  <c r="F45" i="33"/>
  <c r="H45" i="33"/>
  <c r="F31" i="33"/>
  <c r="J31" i="33"/>
  <c r="F29" i="33"/>
  <c r="J29" i="33"/>
  <c r="F27" i="33"/>
  <c r="J27" i="33"/>
  <c r="F23" i="33"/>
  <c r="J23" i="33"/>
  <c r="F15" i="33"/>
  <c r="J15" i="33"/>
  <c r="F13" i="33"/>
  <c r="J13" i="33"/>
  <c r="F11" i="33"/>
  <c r="J11" i="33"/>
  <c r="C58" i="33"/>
  <c r="D58" i="33" s="1"/>
  <c r="G7" i="33"/>
  <c r="E7" i="33"/>
  <c r="H36" i="33"/>
  <c r="J9" i="33"/>
  <c r="F9" i="49"/>
  <c r="H9" i="49" s="1"/>
  <c r="B10" i="49"/>
  <c r="D10" i="49" s="1"/>
  <c r="B4" i="49"/>
  <c r="D4" i="49" s="1"/>
  <c r="L107" i="43"/>
  <c r="L103" i="43"/>
  <c r="L106" i="43"/>
  <c r="D105" i="43"/>
  <c r="D103" i="43"/>
  <c r="D107" i="43"/>
  <c r="D104" i="43"/>
  <c r="N102" i="43"/>
  <c r="N104" i="43"/>
  <c r="N105" i="43"/>
  <c r="L105" i="43"/>
  <c r="L109" i="43"/>
  <c r="M106" i="43"/>
  <c r="N106" i="43"/>
  <c r="N109" i="43"/>
  <c r="D106" i="43"/>
  <c r="C12" i="12"/>
  <c r="M6" i="1"/>
  <c r="G16" i="1"/>
  <c r="Q16" i="1"/>
  <c r="H16" i="1"/>
  <c r="J107" i="43"/>
  <c r="J102" i="43"/>
  <c r="J109" i="43"/>
  <c r="H107" i="43"/>
  <c r="H105" i="43"/>
  <c r="H106" i="43"/>
  <c r="H109" i="43"/>
  <c r="M107" i="43"/>
  <c r="M104" i="43"/>
  <c r="M105" i="43"/>
  <c r="F27" i="6"/>
  <c r="F31" i="6"/>
  <c r="E51" i="40"/>
  <c r="E56" i="39"/>
  <c r="AB36" i="33"/>
  <c r="U36" i="33"/>
  <c r="AA11" i="33"/>
  <c r="S11" i="33"/>
  <c r="AA13" i="33"/>
  <c r="S13" i="33"/>
  <c r="AA15" i="33"/>
  <c r="S15" i="33"/>
  <c r="AA23" i="33"/>
  <c r="S23" i="33"/>
  <c r="AA27" i="33"/>
  <c r="S27" i="33"/>
  <c r="AA29" i="33"/>
  <c r="S29" i="33"/>
  <c r="AA31" i="33"/>
  <c r="S31" i="33"/>
  <c r="AA45" i="33"/>
  <c r="S45" i="33"/>
  <c r="AZ13" i="3"/>
  <c r="AC36" i="33"/>
  <c r="W36" i="33"/>
  <c r="AC40" i="33"/>
  <c r="W40" i="33"/>
  <c r="AA40" i="33"/>
  <c r="S40" i="33"/>
  <c r="T6" i="89"/>
  <c r="R20" i="89"/>
  <c r="O9" i="95" s="1"/>
  <c r="C29" i="71"/>
  <c r="D28" i="71"/>
  <c r="C23" i="71"/>
  <c r="D23" i="71" s="1"/>
  <c r="D24" i="71"/>
  <c r="E26" i="77"/>
  <c r="E32" i="77" s="1"/>
  <c r="E29" i="77"/>
  <c r="E38" i="77"/>
  <c r="E39" i="77" s="1"/>
  <c r="S12" i="35"/>
  <c r="AA12" i="35"/>
  <c r="AB12" i="34"/>
  <c r="U12" i="34"/>
  <c r="B34" i="72"/>
  <c r="D17" i="53"/>
  <c r="B36" i="72"/>
  <c r="E60" i="39"/>
  <c r="E56" i="40"/>
  <c r="J59" i="34"/>
  <c r="K59" i="34" s="1"/>
  <c r="E8" i="71"/>
  <c r="E7" i="71"/>
  <c r="E6" i="71" s="1"/>
  <c r="E5" i="71" s="1"/>
  <c r="V9" i="71"/>
  <c r="AC9" i="33"/>
  <c r="W9" i="33"/>
  <c r="AC11" i="33"/>
  <c r="W11" i="33"/>
  <c r="AC13" i="33"/>
  <c r="W13" i="33"/>
  <c r="AC15" i="33"/>
  <c r="W15" i="33"/>
  <c r="AC23" i="33"/>
  <c r="W23" i="33"/>
  <c r="AC27" i="33"/>
  <c r="W27" i="33"/>
  <c r="AC29" i="33"/>
  <c r="W29" i="33"/>
  <c r="AC31" i="33"/>
  <c r="W31" i="33"/>
  <c r="AB45" i="33"/>
  <c r="U45" i="33"/>
  <c r="AA36" i="33"/>
  <c r="S36" i="33"/>
  <c r="AB40" i="33"/>
  <c r="U40" i="33"/>
  <c r="U12" i="35"/>
  <c r="AB12" i="35"/>
  <c r="W12" i="34"/>
  <c r="AC12" i="34"/>
  <c r="L65" i="9"/>
  <c r="M65" i="9"/>
  <c r="L68" i="9"/>
  <c r="M68" i="9"/>
  <c r="L66" i="9"/>
  <c r="M66" i="9"/>
  <c r="L64" i="9"/>
  <c r="M64" i="9"/>
  <c r="L63" i="9"/>
  <c r="M63" i="9"/>
  <c r="M69" i="9" s="1"/>
  <c r="N69" i="9" s="1"/>
  <c r="L67" i="9"/>
  <c r="M67" i="9"/>
  <c r="E29" i="6"/>
  <c r="G30" i="6"/>
  <c r="G31" i="6" s="1"/>
  <c r="F27" i="11"/>
  <c r="F28" i="12"/>
  <c r="C29" i="12" s="1"/>
  <c r="D28" i="12" s="1"/>
  <c r="H10" i="39"/>
  <c r="H10" i="40"/>
  <c r="J10" i="40"/>
  <c r="F10" i="40"/>
  <c r="J10" i="39"/>
  <c r="F10" i="39"/>
  <c r="K15" i="1"/>
  <c r="D29" i="71"/>
  <c r="T29" i="71"/>
  <c r="AA10" i="39"/>
  <c r="S10" i="39"/>
  <c r="AA10" i="40"/>
  <c r="S10" i="40"/>
  <c r="U10" i="40"/>
  <c r="AB10" i="40"/>
  <c r="W10" i="39"/>
  <c r="AC10" i="39"/>
  <c r="AC10" i="40"/>
  <c r="W10" i="40"/>
  <c r="AB10" i="39"/>
  <c r="U10" i="39"/>
  <c r="C29" i="11"/>
  <c r="D27" i="11" s="1"/>
  <c r="C47" i="11"/>
  <c r="D45" i="11" s="1"/>
  <c r="C7" i="68"/>
  <c r="Q26" i="89"/>
  <c r="O65" i="89"/>
  <c r="Q25" i="89"/>
  <c r="P65" i="89"/>
  <c r="P66" i="89"/>
  <c r="F59" i="95"/>
  <c r="F60" i="95"/>
  <c r="B14" i="74" s="1"/>
  <c r="B1" i="74" s="1"/>
  <c r="C7" i="74" s="1"/>
  <c r="K59" i="95"/>
  <c r="F27" i="68"/>
  <c r="E13" i="76"/>
  <c r="C36" i="69"/>
  <c r="D5" i="73"/>
  <c r="AO11" i="1"/>
  <c r="M22" i="67"/>
  <c r="F9" i="15"/>
  <c r="M26" i="15"/>
  <c r="D9" i="68"/>
  <c r="D2" i="33"/>
  <c r="F26" i="15"/>
  <c r="D34" i="9"/>
  <c r="B9" i="76"/>
  <c r="F4" i="73"/>
  <c r="F37" i="67"/>
  <c r="L47" i="67"/>
  <c r="E2" i="69"/>
  <c r="F26" i="67"/>
  <c r="M27" i="15"/>
  <c r="E12" i="76"/>
  <c r="F41" i="15"/>
  <c r="F5" i="73"/>
  <c r="AO7" i="1"/>
  <c r="M9" i="67"/>
  <c r="M8" i="67"/>
  <c r="L48" i="67"/>
  <c r="F16" i="67"/>
  <c r="B7" i="76"/>
  <c r="F7" i="73"/>
  <c r="C76" i="67"/>
  <c r="F40" i="67"/>
  <c r="F37" i="15"/>
  <c r="B13" i="76"/>
  <c r="E7" i="76"/>
  <c r="F3" i="73"/>
  <c r="D3" i="73"/>
  <c r="M23" i="67"/>
  <c r="B11" i="76"/>
  <c r="F8" i="67"/>
  <c r="F41" i="67"/>
  <c r="F40" i="15"/>
  <c r="F36" i="15"/>
  <c r="J15" i="15"/>
  <c r="F36" i="67"/>
  <c r="D2" i="34"/>
  <c r="M9" i="15"/>
  <c r="F8" i="15"/>
  <c r="D2" i="37"/>
  <c r="D2" i="35"/>
  <c r="E8" i="76"/>
  <c r="C76" i="15"/>
  <c r="M8" i="15"/>
  <c r="F38" i="67"/>
  <c r="C36" i="68"/>
  <c r="M22" i="15"/>
  <c r="M28" i="67"/>
  <c r="F20" i="31"/>
  <c r="D2" i="36"/>
  <c r="J15" i="67"/>
  <c r="B8" i="76"/>
  <c r="D4" i="73"/>
  <c r="B12" i="76"/>
  <c r="AO9" i="1"/>
  <c r="E11" i="76"/>
  <c r="D2" i="21"/>
  <c r="M28" i="15"/>
  <c r="F27" i="69"/>
  <c r="D6" i="73"/>
  <c r="F42" i="67"/>
  <c r="L47" i="15"/>
  <c r="E10" i="76"/>
  <c r="F7" i="15"/>
  <c r="M29" i="67"/>
  <c r="G1" i="73"/>
  <c r="D9" i="69"/>
  <c r="F42" i="15"/>
  <c r="AO12" i="1"/>
  <c r="D7" i="73"/>
  <c r="AO13" i="1"/>
  <c r="F9" i="67"/>
  <c r="D35" i="9"/>
  <c r="F13" i="15"/>
  <c r="M6" i="67"/>
  <c r="F38" i="15"/>
  <c r="F16" i="15"/>
  <c r="M23" i="15"/>
  <c r="M24" i="15"/>
  <c r="B10" i="76"/>
  <c r="M27" i="67"/>
  <c r="AO10" i="1"/>
  <c r="M26" i="67"/>
  <c r="M24" i="67"/>
  <c r="L48" i="15"/>
  <c r="AO8" i="1"/>
  <c r="F6" i="73"/>
  <c r="M6" i="15"/>
  <c r="E9" i="76"/>
  <c r="F13" i="67"/>
  <c r="F43" i="15"/>
  <c r="M29" i="15"/>
  <c r="F43" i="67"/>
  <c r="F7" i="67"/>
  <c r="B7" i="49" l="1"/>
  <c r="D7" i="49" s="1"/>
  <c r="B5" i="49"/>
  <c r="D5" i="49" s="1"/>
  <c r="F5" i="49"/>
  <c r="H5" i="49" s="1"/>
  <c r="F13" i="49"/>
  <c r="H13" i="49" s="1"/>
  <c r="B9" i="49"/>
  <c r="F6" i="49"/>
  <c r="H6" i="49" s="1"/>
  <c r="F14" i="49"/>
  <c r="H14" i="49" s="1"/>
  <c r="F8" i="49"/>
  <c r="H8" i="49" s="1"/>
  <c r="F12" i="49"/>
  <c r="H12" i="49" s="1"/>
  <c r="C4" i="4"/>
  <c r="B11" i="49"/>
  <c r="D11" i="49" s="1"/>
  <c r="B8" i="49"/>
  <c r="D8" i="49" s="1"/>
  <c r="B13" i="49"/>
  <c r="D13" i="49" s="1"/>
  <c r="B14" i="49"/>
  <c r="D14" i="49" s="1"/>
  <c r="F7" i="49"/>
  <c r="H7" i="49" s="1"/>
  <c r="F11" i="49"/>
  <c r="H11" i="49" s="1"/>
  <c r="F50" i="67"/>
  <c r="M7" i="67"/>
  <c r="F71" i="67"/>
  <c r="F71" i="15"/>
  <c r="B8" i="70"/>
  <c r="L56" i="15"/>
  <c r="L57" i="15"/>
  <c r="J57" i="15"/>
  <c r="J55" i="15" s="1"/>
  <c r="J58" i="15" s="1"/>
  <c r="Q50" i="15" s="1"/>
  <c r="J53" i="15"/>
  <c r="I54" i="15"/>
  <c r="L60" i="15"/>
  <c r="B10" i="70"/>
  <c r="F66" i="15"/>
  <c r="J6" i="67"/>
  <c r="B13" i="70"/>
  <c r="B12" i="70"/>
  <c r="C9" i="69"/>
  <c r="B40" i="1"/>
  <c r="M7" i="15"/>
  <c r="J6" i="15" s="1"/>
  <c r="F50" i="15"/>
  <c r="L59" i="15"/>
  <c r="L58" i="15"/>
  <c r="M59" i="15"/>
  <c r="N59" i="15"/>
  <c r="F70" i="67"/>
  <c r="C47" i="69"/>
  <c r="D45" i="69" s="1"/>
  <c r="C29" i="69"/>
  <c r="D27" i="69" s="1"/>
  <c r="F45" i="69"/>
  <c r="B9" i="70"/>
  <c r="B20" i="31"/>
  <c r="B21" i="31" s="1"/>
  <c r="F66" i="67"/>
  <c r="Q71" i="15"/>
  <c r="F51" i="15"/>
  <c r="C49" i="15" s="1"/>
  <c r="F64" i="67"/>
  <c r="F64" i="15"/>
  <c r="F68" i="15"/>
  <c r="F69" i="67"/>
  <c r="F51" i="67"/>
  <c r="F65" i="15"/>
  <c r="F68" i="67"/>
  <c r="Q71" i="67"/>
  <c r="J57" i="67"/>
  <c r="J55" i="67" s="1"/>
  <c r="J58" i="67" s="1"/>
  <c r="Q50" i="67" s="1"/>
  <c r="L56" i="67"/>
  <c r="J60" i="67"/>
  <c r="Q48" i="67" s="1"/>
  <c r="L57" i="67"/>
  <c r="L60" i="67"/>
  <c r="I54" i="67"/>
  <c r="J53" i="67"/>
  <c r="J59" i="67"/>
  <c r="B7" i="70"/>
  <c r="F69" i="15"/>
  <c r="C27" i="67"/>
  <c r="L58" i="67"/>
  <c r="M59" i="67"/>
  <c r="N59" i="67"/>
  <c r="L59" i="67"/>
  <c r="F65" i="67"/>
  <c r="I1" i="73"/>
  <c r="B39" i="1" s="1"/>
  <c r="C27" i="15"/>
  <c r="C9" i="68"/>
  <c r="B11" i="70"/>
  <c r="C29" i="68"/>
  <c r="D27" i="68" s="1"/>
  <c r="C47" i="68"/>
  <c r="D45" i="68" s="1"/>
  <c r="F45" i="68"/>
  <c r="E53" i="3"/>
  <c r="E319" i="3"/>
  <c r="E501" i="3"/>
  <c r="E153" i="3"/>
  <c r="E426" i="3"/>
  <c r="E328" i="3"/>
  <c r="E583" i="3"/>
  <c r="X6" i="3"/>
  <c r="E336" i="3"/>
  <c r="E246" i="3"/>
  <c r="E293" i="3"/>
  <c r="E358" i="3"/>
  <c r="E559" i="3"/>
  <c r="E551" i="3"/>
  <c r="V6" i="3"/>
  <c r="E407" i="3"/>
  <c r="E320" i="3"/>
  <c r="E294" i="3"/>
  <c r="E230" i="3"/>
  <c r="E130" i="3"/>
  <c r="E254" i="3"/>
  <c r="E22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282" i="3"/>
  <c r="E329" i="3"/>
  <c r="E510" i="3"/>
  <c r="E205" i="3"/>
  <c r="E390" i="3"/>
  <c r="E523" i="3"/>
  <c r="E418" i="3"/>
  <c r="E321" i="3"/>
  <c r="E169" i="3"/>
  <c r="E290"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237" i="3"/>
  <c r="E304" i="3"/>
  <c r="E565" i="3"/>
  <c r="E213" i="3"/>
  <c r="E17" i="3"/>
  <c r="E302" i="3"/>
  <c r="O6" i="3"/>
  <c r="E574" i="3"/>
  <c r="E359" i="3"/>
  <c r="E285" i="3"/>
  <c r="E97" i="3"/>
  <c r="E314" i="3"/>
  <c r="E511" i="3"/>
  <c r="AI6" i="3"/>
  <c r="E549" i="3"/>
  <c r="E453" i="3"/>
  <c r="E368" i="3"/>
  <c r="E244" i="3"/>
  <c r="E196" i="3"/>
  <c r="E156" i="3"/>
  <c r="E148" i="3"/>
  <c r="E122" i="3"/>
  <c r="E586" i="3"/>
  <c r="E526" i="3"/>
  <c r="E322" i="3"/>
  <c r="E539" i="3"/>
  <c r="E461" i="3"/>
  <c r="E165" i="3"/>
  <c r="E533" i="3"/>
  <c r="E561" i="3"/>
  <c r="E439" i="3"/>
  <c r="E231" i="3"/>
  <c r="E18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69" i="3"/>
  <c r="E278" i="3"/>
  <c r="E563" i="3"/>
  <c r="E172" i="3"/>
  <c r="E445" i="3"/>
  <c r="E535" i="3"/>
  <c r="E509" i="3"/>
  <c r="E579" i="3"/>
  <c r="E431" i="3"/>
  <c r="E247" i="3"/>
  <c r="E201" i="3"/>
  <c r="E353" i="3"/>
  <c r="E495" i="3"/>
  <c r="E16" i="3"/>
  <c r="E578" i="3"/>
  <c r="E423" i="3"/>
  <c r="E382" i="3"/>
  <c r="E263" i="3"/>
  <c r="E245" i="3"/>
  <c r="E191" i="3"/>
  <c r="E188" i="3"/>
  <c r="E181" i="3"/>
  <c r="E175" i="3"/>
  <c r="E530" i="3"/>
  <c r="E343" i="3"/>
  <c r="E305" i="3"/>
  <c r="E508" i="3"/>
  <c r="E347" i="3"/>
  <c r="AA6" i="3"/>
  <c r="E399" i="3"/>
  <c r="E280" i="3"/>
  <c r="E124" i="3"/>
  <c r="E311" i="3"/>
  <c r="E514" i="3"/>
  <c r="E570" i="3"/>
  <c r="M6" i="3"/>
  <c r="AB6" i="3"/>
  <c r="E387" i="3"/>
  <c r="E335" i="3"/>
  <c r="E215" i="3"/>
  <c r="E189" i="3"/>
  <c r="E134" i="3"/>
  <c r="E9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553" i="3"/>
  <c r="N6" i="3"/>
  <c r="E545" i="3"/>
  <c r="E352" i="3"/>
  <c r="E128" i="3"/>
  <c r="S6" i="3"/>
  <c r="E506" i="3"/>
  <c r="E338" i="3"/>
  <c r="E298" i="3"/>
  <c r="E61" i="3"/>
  <c r="E11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261" i="3"/>
  <c r="E528" i="3"/>
  <c r="E183" i="3"/>
  <c r="E361" i="3"/>
  <c r="E503" i="3"/>
  <c r="E388" i="3"/>
  <c r="E555" i="3"/>
  <c r="E410" i="3"/>
  <c r="E337" i="3"/>
  <c r="E143" i="3"/>
  <c r="E397" i="3"/>
  <c r="E568" i="3"/>
  <c r="I6" i="3"/>
  <c r="AK6" i="3"/>
  <c r="E434" i="3"/>
  <c r="E306" i="3"/>
  <c r="E296" i="3"/>
  <c r="E262" i="3"/>
  <c r="E136" i="3"/>
  <c r="E236" i="3"/>
  <c r="E269" i="3"/>
  <c r="E89" i="3"/>
  <c r="E217" i="3"/>
  <c r="E268" i="3"/>
  <c r="AJ6" i="3"/>
  <c r="E567" i="3"/>
  <c r="E227" i="3"/>
  <c r="E270" i="3"/>
  <c r="AR6" i="3"/>
  <c r="E538" i="3"/>
  <c r="E380" i="3"/>
  <c r="E216" i="3"/>
  <c r="E135"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AN6" i="3"/>
  <c r="E114" i="3"/>
  <c r="E415" i="3"/>
  <c r="E395" i="3"/>
  <c r="E260" i="3"/>
  <c r="E550" i="3"/>
  <c r="E239" i="3"/>
  <c r="E516" i="3"/>
  <c r="E569" i="3"/>
  <c r="E396" i="3"/>
  <c r="E229" i="3"/>
  <c r="E151" i="3"/>
  <c r="E385" i="3"/>
  <c r="E518" i="3"/>
  <c r="E536" i="3"/>
  <c r="E402" i="3"/>
  <c r="E350" i="3"/>
  <c r="E303" i="3"/>
  <c r="E301" i="3"/>
  <c r="E159" i="3"/>
  <c r="E99" i="3"/>
  <c r="E228" i="3"/>
  <c r="E157" i="3"/>
  <c r="B16" i="71"/>
  <c r="B15" i="71" s="1"/>
  <c r="B14" i="71" s="1"/>
  <c r="B13" i="71" s="1"/>
  <c r="S17" i="71"/>
  <c r="L59" i="34"/>
  <c r="M59" i="34" s="1"/>
  <c r="N59" i="34" s="1"/>
  <c r="O59" i="34" s="1"/>
  <c r="F7" i="34"/>
  <c r="H7" i="34"/>
  <c r="J7" i="34"/>
  <c r="E58" i="33"/>
  <c r="F58" i="33" s="1"/>
  <c r="G58" i="33" s="1"/>
  <c r="H58" i="33" s="1"/>
  <c r="I58" i="33" s="1"/>
  <c r="J58" i="33" s="1"/>
  <c r="K58" i="33" s="1"/>
  <c r="L58" i="33" s="1"/>
  <c r="M58" i="33" s="1"/>
  <c r="N58" i="33" s="1"/>
  <c r="O58" i="33" s="1"/>
  <c r="F7" i="33"/>
  <c r="C40" i="77"/>
  <c r="C8" i="74"/>
  <c r="M109" i="43"/>
  <c r="M102" i="43"/>
  <c r="T49" i="71"/>
  <c r="D49" i="71"/>
  <c r="E52" i="37"/>
  <c r="D58" i="21"/>
  <c r="D67" i="39"/>
  <c r="C69" i="39"/>
  <c r="B113" i="43"/>
  <c r="K101" i="43"/>
  <c r="C101" i="43"/>
  <c r="G22" i="43"/>
  <c r="D22" i="43" s="1"/>
  <c r="S7" i="43"/>
  <c r="F101" i="43"/>
  <c r="N104" i="46"/>
  <c r="I101" i="43"/>
  <c r="S5" i="43"/>
  <c r="S3" i="43"/>
  <c r="AA11" i="43"/>
  <c r="AA13" i="43" s="1"/>
  <c r="AE11" i="43"/>
  <c r="AE13" i="43" s="1"/>
  <c r="AI11" i="43"/>
  <c r="AI13" i="43" s="1"/>
  <c r="Z7" i="43"/>
  <c r="S2" i="43"/>
  <c r="E101" i="43"/>
  <c r="H22" i="43"/>
  <c r="G101" i="43"/>
  <c r="U27" i="37"/>
  <c r="AB27" i="37"/>
  <c r="W39" i="37"/>
  <c r="AC39" i="37"/>
  <c r="J7" i="33"/>
  <c r="H102" i="43"/>
  <c r="H104" i="43"/>
  <c r="C19" i="71"/>
  <c r="D20" i="71"/>
  <c r="T57" i="71"/>
  <c r="D57" i="71"/>
  <c r="H46" i="36"/>
  <c r="C5" i="43"/>
  <c r="D5" i="43"/>
  <c r="E48" i="35"/>
  <c r="C65" i="40"/>
  <c r="D63" i="40"/>
  <c r="D9" i="53"/>
  <c r="B25" i="72" s="1"/>
  <c r="B24" i="72"/>
  <c r="AA12" i="21"/>
  <c r="S12" i="21"/>
  <c r="W27" i="21"/>
  <c r="AC27" i="21"/>
  <c r="W29" i="21"/>
  <c r="AC29" i="21"/>
  <c r="AB31" i="21"/>
  <c r="U31" i="21"/>
  <c r="AC45" i="21"/>
  <c r="W45" i="21"/>
  <c r="W27" i="34"/>
  <c r="AC27" i="34"/>
  <c r="U23" i="35"/>
  <c r="AB23" i="35"/>
  <c r="AC9" i="36"/>
  <c r="W9" i="36"/>
  <c r="AC23" i="36"/>
  <c r="W23" i="36"/>
  <c r="S32" i="36"/>
  <c r="AA32" i="36"/>
  <c r="AB14" i="37"/>
  <c r="U14" i="37"/>
  <c r="W40" i="40"/>
  <c r="AC40" i="40"/>
  <c r="D59" i="71"/>
  <c r="C60" i="71"/>
  <c r="E12" i="6"/>
  <c r="F34" i="15"/>
  <c r="M20" i="15"/>
  <c r="P23" i="43"/>
  <c r="B70" i="39" s="1"/>
  <c r="P21" i="43"/>
  <c r="P24" i="43"/>
  <c r="B66" i="40" s="1"/>
  <c r="D21" i="71"/>
  <c r="U21" i="71" s="1"/>
  <c r="E41" i="43"/>
  <c r="C41" i="43" s="1"/>
  <c r="U11" i="37"/>
  <c r="W32" i="39"/>
  <c r="AA29" i="21"/>
  <c r="H71" i="43"/>
  <c r="H53" i="43"/>
  <c r="U29" i="34"/>
  <c r="D120" i="9"/>
  <c r="AA14" i="21"/>
  <c r="AA45" i="34"/>
  <c r="AA13" i="37"/>
  <c r="AC13" i="37"/>
  <c r="S37" i="37"/>
  <c r="W38" i="37"/>
  <c r="AA38" i="37"/>
  <c r="AC29" i="37"/>
  <c r="AA10" i="35"/>
  <c r="AA33" i="35"/>
  <c r="AA22" i="36"/>
  <c r="AA26" i="36"/>
  <c r="S28" i="40"/>
  <c r="AA47" i="34"/>
  <c r="H75" i="43"/>
  <c r="AA12" i="40"/>
  <c r="W37" i="37"/>
  <c r="S14" i="40"/>
  <c r="W15" i="34"/>
  <c r="AB37" i="34"/>
  <c r="U14" i="40"/>
  <c r="AC28" i="34"/>
  <c r="AC28" i="21"/>
  <c r="S15" i="34"/>
  <c r="U30" i="35"/>
  <c r="AA39" i="37"/>
  <c r="C27" i="39"/>
  <c r="U34" i="21"/>
  <c r="U31" i="36"/>
  <c r="H12" i="21"/>
  <c r="J12" i="21"/>
  <c r="J23" i="35"/>
  <c r="F9" i="36"/>
  <c r="H9" i="36"/>
  <c r="F23" i="36"/>
  <c r="H23" i="36"/>
  <c r="F25" i="37"/>
  <c r="J25" i="37"/>
  <c r="F40" i="40"/>
  <c r="C36" i="71"/>
  <c r="D35" i="71"/>
  <c r="V27" i="89"/>
  <c r="W27" i="89" s="1"/>
  <c r="E28" i="6"/>
  <c r="G27" i="89"/>
  <c r="AZ557" i="3"/>
  <c r="AZ484" i="3"/>
  <c r="AZ480" i="3"/>
  <c r="AZ476" i="3"/>
  <c r="AZ472" i="3"/>
  <c r="AZ468" i="3"/>
  <c r="AZ464" i="3"/>
  <c r="AZ460" i="3"/>
  <c r="AZ456" i="3"/>
  <c r="AZ452" i="3"/>
  <c r="AZ448" i="3"/>
  <c r="AZ444" i="3"/>
  <c r="AZ440" i="3"/>
  <c r="AZ436" i="3"/>
  <c r="AZ432" i="3"/>
  <c r="AZ428" i="3"/>
  <c r="AZ424" i="3"/>
  <c r="AZ420" i="3"/>
  <c r="AZ416" i="3"/>
  <c r="AZ412" i="3"/>
  <c r="AZ408" i="3"/>
  <c r="W21" i="37"/>
  <c r="U18" i="35"/>
  <c r="U21" i="34"/>
  <c r="U21" i="37"/>
  <c r="U29" i="39"/>
  <c r="S25" i="40"/>
  <c r="D76" i="71"/>
  <c r="D64" i="71"/>
  <c r="C63" i="71"/>
  <c r="AA22" i="71"/>
  <c r="AB24" i="71"/>
  <c r="D73" i="71"/>
  <c r="E72" i="71"/>
  <c r="E71" i="71" s="1"/>
  <c r="D65" i="71"/>
  <c r="E64" i="71"/>
  <c r="Y25" i="71"/>
  <c r="Z25" i="71" s="1"/>
  <c r="Y24" i="71"/>
  <c r="Z24" i="71" s="1"/>
  <c r="Y23" i="71"/>
  <c r="Z23" i="71" s="1"/>
  <c r="Y22" i="71"/>
  <c r="Z22" i="71" s="1"/>
  <c r="AA28" i="71"/>
  <c r="AB26" i="71"/>
  <c r="Y26" i="71"/>
  <c r="Z26" i="71" s="1"/>
  <c r="AA34" i="71"/>
  <c r="G16" i="89"/>
  <c r="L17" i="89"/>
  <c r="G22" i="89"/>
  <c r="G48" i="89"/>
  <c r="G58" i="89"/>
  <c r="G63" i="89"/>
  <c r="M44" i="89"/>
  <c r="M18" i="89"/>
  <c r="S5" i="89" s="1"/>
  <c r="X15" i="89"/>
  <c r="M35" i="89"/>
  <c r="M34" i="89"/>
  <c r="M31" i="89"/>
  <c r="M25" i="89"/>
  <c r="M20" i="89"/>
  <c r="L36" i="89"/>
  <c r="R4" i="89" s="1"/>
  <c r="AZ587" i="3"/>
  <c r="AZ575" i="3"/>
  <c r="AZ571" i="3"/>
  <c r="AZ539" i="3"/>
  <c r="AZ535" i="3"/>
  <c r="AZ531" i="3"/>
  <c r="AZ527" i="3"/>
  <c r="AZ523" i="3"/>
  <c r="AZ519" i="3"/>
  <c r="AZ515" i="3"/>
  <c r="AZ511" i="3"/>
  <c r="AZ482" i="3"/>
  <c r="AZ478" i="3"/>
  <c r="AZ474" i="3"/>
  <c r="AZ470" i="3"/>
  <c r="AZ466" i="3"/>
  <c r="AZ462" i="3"/>
  <c r="AZ458" i="3"/>
  <c r="AZ454" i="3"/>
  <c r="AZ450" i="3"/>
  <c r="AZ446" i="3"/>
  <c r="AZ442" i="3"/>
  <c r="AZ438" i="3"/>
  <c r="AZ434" i="3"/>
  <c r="AZ430" i="3"/>
  <c r="AZ426" i="3"/>
  <c r="AZ422" i="3"/>
  <c r="AZ418" i="3"/>
  <c r="AZ414" i="3"/>
  <c r="AZ410" i="3"/>
  <c r="AZ305" i="3"/>
  <c r="AZ289" i="3"/>
  <c r="AZ285" i="3"/>
  <c r="AZ281" i="3"/>
  <c r="AZ277" i="3"/>
  <c r="AZ273" i="3"/>
  <c r="AZ269" i="3"/>
  <c r="BL407" i="3"/>
  <c r="AZ407" i="3" s="1"/>
  <c r="AZ403" i="3"/>
  <c r="AZ399" i="3"/>
  <c r="AZ395" i="3"/>
  <c r="AZ389" i="3"/>
  <c r="AZ373" i="3"/>
  <c r="AZ367" i="3"/>
  <c r="AZ363" i="3"/>
  <c r="AZ359" i="3"/>
  <c r="AZ330" i="3"/>
  <c r="AZ322" i="3"/>
  <c r="AZ291" i="3"/>
  <c r="AZ287" i="3"/>
  <c r="AZ283" i="3"/>
  <c r="AZ279" i="3"/>
  <c r="AZ275" i="3"/>
  <c r="AZ271" i="3"/>
  <c r="AZ267" i="3"/>
  <c r="BA265" i="3"/>
  <c r="AZ265" i="3" s="1"/>
  <c r="BL263" i="3"/>
  <c r="AZ263" i="3" s="1"/>
  <c r="BL262" i="3"/>
  <c r="AZ262" i="3" s="1"/>
  <c r="BA261" i="3"/>
  <c r="BL259" i="3"/>
  <c r="AZ259" i="3" s="1"/>
  <c r="BL258" i="3"/>
  <c r="AZ258" i="3" s="1"/>
  <c r="BA257" i="3"/>
  <c r="AZ257" i="3" s="1"/>
  <c r="BL255" i="3"/>
  <c r="AZ255" i="3" s="1"/>
  <c r="BL254" i="3"/>
  <c r="AZ254" i="3" s="1"/>
  <c r="BA253" i="3"/>
  <c r="BL251" i="3"/>
  <c r="AZ251" i="3" s="1"/>
  <c r="BL250" i="3"/>
  <c r="AZ250" i="3" s="1"/>
  <c r="BA249" i="3"/>
  <c r="AZ249" i="3" s="1"/>
  <c r="BL247" i="3"/>
  <c r="AZ247" i="3" s="1"/>
  <c r="BL246" i="3"/>
  <c r="AZ246" i="3" s="1"/>
  <c r="BA245" i="3"/>
  <c r="BL243" i="3"/>
  <c r="AZ243" i="3" s="1"/>
  <c r="BL242" i="3"/>
  <c r="AZ242" i="3" s="1"/>
  <c r="BA241" i="3"/>
  <c r="AZ241" i="3" s="1"/>
  <c r="BL239" i="3"/>
  <c r="AZ239" i="3" s="1"/>
  <c r="BL238" i="3"/>
  <c r="AZ238" i="3" s="1"/>
  <c r="BA237" i="3"/>
  <c r="BL235" i="3"/>
  <c r="AZ235" i="3" s="1"/>
  <c r="BL234" i="3"/>
  <c r="AZ234" i="3" s="1"/>
  <c r="BA233" i="3"/>
  <c r="AZ233" i="3" s="1"/>
  <c r="BL231" i="3"/>
  <c r="AZ231" i="3" s="1"/>
  <c r="BL230" i="3"/>
  <c r="AZ230" i="3" s="1"/>
  <c r="BA229" i="3"/>
  <c r="BL227" i="3"/>
  <c r="AZ227" i="3" s="1"/>
  <c r="BL226" i="3"/>
  <c r="AZ226" i="3" s="1"/>
  <c r="BA225" i="3"/>
  <c r="AZ225" i="3" s="1"/>
  <c r="BL223" i="3"/>
  <c r="AZ223" i="3" s="1"/>
  <c r="BL222" i="3"/>
  <c r="AZ222" i="3" s="1"/>
  <c r="BA221" i="3"/>
  <c r="BL220" i="3"/>
  <c r="AZ217" i="3"/>
  <c r="AZ213" i="3"/>
  <c r="AZ209" i="3"/>
  <c r="AZ205" i="3"/>
  <c r="AZ201" i="3"/>
  <c r="AZ197" i="3"/>
  <c r="AZ193" i="3"/>
  <c r="AZ189" i="3"/>
  <c r="AZ185" i="3"/>
  <c r="AZ181" i="3"/>
  <c r="AZ177" i="3"/>
  <c r="BL261" i="3"/>
  <c r="BL257" i="3"/>
  <c r="BL253" i="3"/>
  <c r="BL249" i="3"/>
  <c r="BL245" i="3"/>
  <c r="BL241" i="3"/>
  <c r="BL237" i="3"/>
  <c r="BL233" i="3"/>
  <c r="BL229" i="3"/>
  <c r="BL225" i="3"/>
  <c r="BL221" i="3"/>
  <c r="AZ219" i="3"/>
  <c r="AZ215" i="3"/>
  <c r="AZ211" i="3"/>
  <c r="AZ207" i="3"/>
  <c r="AZ203" i="3"/>
  <c r="AZ199" i="3"/>
  <c r="AZ195" i="3"/>
  <c r="AZ191" i="3"/>
  <c r="AZ187" i="3"/>
  <c r="AZ183" i="3"/>
  <c r="AZ179" i="3"/>
  <c r="BA174" i="3"/>
  <c r="AZ174" i="3" s="1"/>
  <c r="BA170" i="3"/>
  <c r="AZ170" i="3" s="1"/>
  <c r="BA166" i="3"/>
  <c r="AZ166" i="3" s="1"/>
  <c r="BA162" i="3"/>
  <c r="AZ162" i="3" s="1"/>
  <c r="BA158" i="3"/>
  <c r="AZ158" i="3" s="1"/>
  <c r="BA154" i="3"/>
  <c r="AZ154" i="3" s="1"/>
  <c r="BA150" i="3"/>
  <c r="AZ150" i="3" s="1"/>
  <c r="BA146" i="3"/>
  <c r="AZ146" i="3" s="1"/>
  <c r="BA142" i="3"/>
  <c r="AZ142" i="3" s="1"/>
  <c r="BA138" i="3"/>
  <c r="AZ138" i="3" s="1"/>
  <c r="BA134" i="3"/>
  <c r="AZ134" i="3" s="1"/>
  <c r="BA130" i="3"/>
  <c r="AZ130" i="3" s="1"/>
  <c r="BA126" i="3"/>
  <c r="AZ126" i="3" s="1"/>
  <c r="BA122" i="3"/>
  <c r="AZ122" i="3" s="1"/>
  <c r="BA118" i="3"/>
  <c r="AZ118" i="3" s="1"/>
  <c r="BA114" i="3"/>
  <c r="AZ114" i="3" s="1"/>
  <c r="BA110" i="3"/>
  <c r="AZ110" i="3" s="1"/>
  <c r="BA106" i="3"/>
  <c r="AZ106" i="3" s="1"/>
  <c r="BA102" i="3"/>
  <c r="AZ102" i="3" s="1"/>
  <c r="BA98" i="3"/>
  <c r="AZ98" i="3" s="1"/>
  <c r="BA94" i="3"/>
  <c r="AZ94" i="3" s="1"/>
  <c r="BA90" i="3"/>
  <c r="AZ90" i="3" s="1"/>
  <c r="BA86" i="3"/>
  <c r="AZ86" i="3" s="1"/>
  <c r="BA82" i="3"/>
  <c r="AZ82" i="3" s="1"/>
  <c r="BA78" i="3"/>
  <c r="AZ78" i="3" s="1"/>
  <c r="BA74" i="3"/>
  <c r="AZ74" i="3" s="1"/>
  <c r="BA70" i="3"/>
  <c r="AZ70" i="3" s="1"/>
  <c r="BA66" i="3"/>
  <c r="AZ66" i="3" s="1"/>
  <c r="BA62" i="3"/>
  <c r="AZ62" i="3" s="1"/>
  <c r="BA58" i="3"/>
  <c r="AZ58" i="3" s="1"/>
  <c r="BA56" i="3"/>
  <c r="AZ56" i="3" s="1"/>
  <c r="BA52" i="3"/>
  <c r="AZ52" i="3" s="1"/>
  <c r="BA48" i="3"/>
  <c r="AZ48" i="3" s="1"/>
  <c r="BA44" i="3"/>
  <c r="AZ44" i="3" s="1"/>
  <c r="BA40" i="3"/>
  <c r="AZ40" i="3" s="1"/>
  <c r="BA36" i="3"/>
  <c r="AZ36" i="3" s="1"/>
  <c r="BA32" i="3"/>
  <c r="AZ32" i="3" s="1"/>
  <c r="BA28" i="3"/>
  <c r="AZ28" i="3" s="1"/>
  <c r="BA24" i="3"/>
  <c r="AZ24" i="3" s="1"/>
  <c r="BA20" i="3"/>
  <c r="AZ20" i="3" s="1"/>
  <c r="BA16" i="3"/>
  <c r="AZ16" i="3" s="1"/>
  <c r="BA176" i="3"/>
  <c r="AZ176" i="3" s="1"/>
  <c r="BA172" i="3"/>
  <c r="AZ172" i="3" s="1"/>
  <c r="BA168" i="3"/>
  <c r="AZ168" i="3" s="1"/>
  <c r="BA164" i="3"/>
  <c r="AZ164" i="3" s="1"/>
  <c r="BA160" i="3"/>
  <c r="AZ160" i="3" s="1"/>
  <c r="BA156" i="3"/>
  <c r="AZ156" i="3" s="1"/>
  <c r="BA152" i="3"/>
  <c r="AZ152" i="3" s="1"/>
  <c r="BA148" i="3"/>
  <c r="AZ148" i="3" s="1"/>
  <c r="BA144" i="3"/>
  <c r="AZ144" i="3" s="1"/>
  <c r="BA140" i="3"/>
  <c r="AZ140" i="3" s="1"/>
  <c r="BA136" i="3"/>
  <c r="AZ136" i="3" s="1"/>
  <c r="BA132" i="3"/>
  <c r="AZ132" i="3" s="1"/>
  <c r="BA128" i="3"/>
  <c r="AZ128" i="3" s="1"/>
  <c r="BA124" i="3"/>
  <c r="AZ124" i="3" s="1"/>
  <c r="BA120" i="3"/>
  <c r="AZ120" i="3" s="1"/>
  <c r="BA116" i="3"/>
  <c r="AZ116" i="3" s="1"/>
  <c r="BA112" i="3"/>
  <c r="AZ112" i="3" s="1"/>
  <c r="BA108" i="3"/>
  <c r="AZ108" i="3" s="1"/>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4" i="3"/>
  <c r="AZ54" i="3" s="1"/>
  <c r="BA50" i="3"/>
  <c r="AZ50" i="3" s="1"/>
  <c r="BA46" i="3"/>
  <c r="AZ46" i="3" s="1"/>
  <c r="BA42" i="3"/>
  <c r="AZ42" i="3" s="1"/>
  <c r="BA38" i="3"/>
  <c r="AZ38" i="3" s="1"/>
  <c r="BA34" i="3"/>
  <c r="AZ34" i="3" s="1"/>
  <c r="BA30" i="3"/>
  <c r="AZ30" i="3" s="1"/>
  <c r="BA26" i="3"/>
  <c r="AZ26" i="3" s="1"/>
  <c r="BA22" i="3"/>
  <c r="AZ22" i="3" s="1"/>
  <c r="BA18" i="3"/>
  <c r="AZ18" i="3" s="1"/>
  <c r="BA14" i="3"/>
  <c r="H44" i="33"/>
  <c r="J44" i="33"/>
  <c r="I8" i="95"/>
  <c r="I12" i="95"/>
  <c r="I16" i="95"/>
  <c r="I20" i="95"/>
  <c r="I23" i="95"/>
  <c r="I27" i="95"/>
  <c r="I29" i="95"/>
  <c r="I31" i="95"/>
  <c r="I33" i="95"/>
  <c r="I35" i="95"/>
  <c r="I37" i="95"/>
  <c r="I39" i="95"/>
  <c r="I41" i="95"/>
  <c r="I46" i="95"/>
  <c r="I48" i="95"/>
  <c r="I50" i="95"/>
  <c r="I52" i="95"/>
  <c r="C16" i="15"/>
  <c r="C16" i="67"/>
  <c r="E4" i="4" l="1"/>
  <c r="B5" i="62" s="1"/>
  <c r="B73" i="72" s="1"/>
  <c r="D9" i="49"/>
  <c r="C49" i="67"/>
  <c r="B4" i="62"/>
  <c r="B71" i="72" s="1"/>
  <c r="Q17" i="89"/>
  <c r="T4" i="89"/>
  <c r="R17" i="89" s="1"/>
  <c r="O7" i="95" s="1"/>
  <c r="J18" i="15"/>
  <c r="J19" i="15"/>
  <c r="AZ220" i="3"/>
  <c r="BL5" i="3"/>
  <c r="S9" i="36"/>
  <c r="AA9" i="36"/>
  <c r="AC44" i="33"/>
  <c r="W44" i="33"/>
  <c r="BA5" i="3"/>
  <c r="E27" i="6" s="1"/>
  <c r="AZ14" i="3"/>
  <c r="AZ221" i="3"/>
  <c r="AZ229" i="3"/>
  <c r="AZ237" i="3"/>
  <c r="AZ245" i="3"/>
  <c r="AZ253" i="3"/>
  <c r="AZ261" i="3"/>
  <c r="S3" i="89"/>
  <c r="U5" i="89"/>
  <c r="E63" i="71"/>
  <c r="P64" i="71"/>
  <c r="O62" i="71"/>
  <c r="D63" i="71"/>
  <c r="O63" i="71"/>
  <c r="D36" i="71"/>
  <c r="C37" i="71"/>
  <c r="AC25" i="37"/>
  <c r="W25" i="37"/>
  <c r="AB23" i="36"/>
  <c r="U23" i="36"/>
  <c r="AB9" i="36"/>
  <c r="U9" i="36"/>
  <c r="W23" i="35"/>
  <c r="AC23" i="35"/>
  <c r="U12" i="21"/>
  <c r="AB12" i="21"/>
  <c r="D6" i="52"/>
  <c r="K120" i="9"/>
  <c r="D121" i="9"/>
  <c r="D7" i="52" s="1"/>
  <c r="D60" i="71"/>
  <c r="C61" i="71"/>
  <c r="E63" i="40"/>
  <c r="D65" i="40"/>
  <c r="C39" i="43"/>
  <c r="C35" i="43"/>
  <c r="C37" i="43"/>
  <c r="C33" i="43"/>
  <c r="C38" i="43"/>
  <c r="C36" i="43"/>
  <c r="C34" i="43"/>
  <c r="I46" i="36"/>
  <c r="C18" i="71"/>
  <c r="D19" i="71"/>
  <c r="G105" i="43"/>
  <c r="G102" i="43"/>
  <c r="G107" i="43"/>
  <c r="G104" i="43"/>
  <c r="G109" i="43"/>
  <c r="G103" i="43"/>
  <c r="G106" i="43"/>
  <c r="E106" i="43"/>
  <c r="E102" i="43"/>
  <c r="E105" i="43"/>
  <c r="E103" i="43"/>
  <c r="E104" i="43"/>
  <c r="E107" i="43"/>
  <c r="E109" i="43"/>
  <c r="I109" i="43"/>
  <c r="I107" i="43"/>
  <c r="I102" i="43"/>
  <c r="I103" i="43"/>
  <c r="I105" i="43"/>
  <c r="I104" i="43"/>
  <c r="I106" i="43"/>
  <c r="F102" i="43"/>
  <c r="F107" i="43"/>
  <c r="F103" i="43"/>
  <c r="F105" i="43"/>
  <c r="F104" i="43"/>
  <c r="F106" i="43"/>
  <c r="F109" i="43"/>
  <c r="K104" i="43"/>
  <c r="K109" i="43"/>
  <c r="K106" i="43"/>
  <c r="K105" i="43"/>
  <c r="K107" i="43"/>
  <c r="K103" i="43"/>
  <c r="K102" i="43"/>
  <c r="E58" i="21"/>
  <c r="F52" i="37"/>
  <c r="B2" i="77"/>
  <c r="B3" i="77" s="1"/>
  <c r="C41" i="77"/>
  <c r="H7" i="33"/>
  <c r="U7" i="34"/>
  <c r="AB7" i="34"/>
  <c r="T49" i="34" s="1"/>
  <c r="G49" i="34" s="1"/>
  <c r="B12" i="71"/>
  <c r="B11" i="71" s="1"/>
  <c r="B10" i="71" s="1"/>
  <c r="B9" i="71" s="1"/>
  <c r="S13" i="71"/>
  <c r="AC6" i="3"/>
  <c r="Q73" i="67"/>
  <c r="Q60" i="67"/>
  <c r="Q57" i="67"/>
  <c r="Q66" i="67"/>
  <c r="Q60" i="15"/>
  <c r="Q73" i="15"/>
  <c r="F22" i="69"/>
  <c r="F22" i="11"/>
  <c r="F22" i="68"/>
  <c r="F24" i="15"/>
  <c r="C24" i="15" s="1"/>
  <c r="F24" i="67"/>
  <c r="C24" i="67" s="1"/>
  <c r="F25" i="12"/>
  <c r="C26" i="12" s="1"/>
  <c r="D25" i="12" s="1"/>
  <c r="Q66" i="15"/>
  <c r="Q57" i="15"/>
  <c r="F1" i="15"/>
  <c r="Q52" i="15"/>
  <c r="AB44" i="33"/>
  <c r="U44" i="33"/>
  <c r="K14" i="1"/>
  <c r="E30" i="6"/>
  <c r="K21" i="6"/>
  <c r="M21" i="6" s="1"/>
  <c r="I21" i="6" s="1"/>
  <c r="S21" i="6" s="1"/>
  <c r="K22" i="6"/>
  <c r="M22" i="6" s="1"/>
  <c r="I22" i="6" s="1"/>
  <c r="S22" i="6" s="1"/>
  <c r="K25" i="6"/>
  <c r="M25" i="6" s="1"/>
  <c r="I25" i="6" s="1"/>
  <c r="S25" i="6" s="1"/>
  <c r="K23" i="6"/>
  <c r="M23" i="6" s="1"/>
  <c r="I23" i="6" s="1"/>
  <c r="S23" i="6" s="1"/>
  <c r="K24" i="6"/>
  <c r="M24" i="6" s="1"/>
  <c r="I24" i="6" s="1"/>
  <c r="S24" i="6" s="1"/>
  <c r="K20" i="6"/>
  <c r="M20" i="6" s="1"/>
  <c r="I20" i="6" s="1"/>
  <c r="S20" i="6" s="1"/>
  <c r="K26" i="6"/>
  <c r="M26" i="6" s="1"/>
  <c r="I26" i="6" s="1"/>
  <c r="S26" i="6" s="1"/>
  <c r="K19" i="6"/>
  <c r="AA40" i="40"/>
  <c r="S40" i="40"/>
  <c r="S25" i="37"/>
  <c r="AA25" i="37"/>
  <c r="AA23" i="36"/>
  <c r="S23" i="36"/>
  <c r="W12" i="21"/>
  <c r="AC12" i="21"/>
  <c r="F62" i="15"/>
  <c r="E61" i="39"/>
  <c r="E65" i="39" s="1"/>
  <c r="E16" i="6"/>
  <c r="E57" i="40"/>
  <c r="F48" i="35"/>
  <c r="G48" i="35" s="1"/>
  <c r="H48" i="35" s="1"/>
  <c r="I48" i="35" s="1"/>
  <c r="J48" i="35" s="1"/>
  <c r="K48" i="35" s="1"/>
  <c r="L48" i="35" s="1"/>
  <c r="M48" i="35" s="1"/>
  <c r="N48" i="35" s="1"/>
  <c r="O48" i="35" s="1"/>
  <c r="F7" i="35"/>
  <c r="J7" i="35"/>
  <c r="T6" i="43"/>
  <c r="V6" i="43" s="1"/>
  <c r="T4" i="43"/>
  <c r="V4" i="43" s="1"/>
  <c r="T15" i="43"/>
  <c r="V15" i="43" s="1"/>
  <c r="T11" i="43"/>
  <c r="V11" i="43" s="1"/>
  <c r="T12" i="43"/>
  <c r="V12" i="43" s="1"/>
  <c r="T9" i="43"/>
  <c r="V9" i="43" s="1"/>
  <c r="T10" i="43"/>
  <c r="V10" i="43" s="1"/>
  <c r="T13" i="43"/>
  <c r="V13" i="43" s="1"/>
  <c r="T14" i="43"/>
  <c r="V14" i="43" s="1"/>
  <c r="T8" i="43"/>
  <c r="V8" i="43" s="1"/>
  <c r="T16" i="43"/>
  <c r="V16" i="43" s="1"/>
  <c r="T7" i="43"/>
  <c r="V7" i="43" s="1"/>
  <c r="T2" i="43"/>
  <c r="V2" i="43" s="1"/>
  <c r="T5" i="43"/>
  <c r="V5" i="43" s="1"/>
  <c r="T3" i="43"/>
  <c r="V3" i="43" s="1"/>
  <c r="C29" i="43"/>
  <c r="W7" i="33"/>
  <c r="AC7" i="33"/>
  <c r="V48" i="33" s="1"/>
  <c r="I48" i="33" s="1"/>
  <c r="C106" i="43"/>
  <c r="C102" i="43"/>
  <c r="C104" i="43"/>
  <c r="C109" i="43"/>
  <c r="C103" i="43"/>
  <c r="C105" i="43"/>
  <c r="C107" i="43"/>
  <c r="B116" i="43"/>
  <c r="C116" i="43" s="1"/>
  <c r="I116" i="43"/>
  <c r="J116" i="43" s="1"/>
  <c r="K116" i="43" s="1"/>
  <c r="L116" i="43" s="1"/>
  <c r="M116" i="43" s="1"/>
  <c r="I118" i="43"/>
  <c r="J118" i="43" s="1"/>
  <c r="K118" i="43" s="1"/>
  <c r="L118" i="43" s="1"/>
  <c r="M118" i="43" s="1"/>
  <c r="B117" i="43"/>
  <c r="C117" i="43" s="1"/>
  <c r="D118" i="43"/>
  <c r="E118" i="43" s="1"/>
  <c r="F118" i="43" s="1"/>
  <c r="D117" i="43"/>
  <c r="E117" i="43" s="1"/>
  <c r="F117" i="43" s="1"/>
  <c r="G117" i="43" s="1"/>
  <c r="H117" i="43" s="1"/>
  <c r="I117" i="43"/>
  <c r="J117" i="43" s="1"/>
  <c r="K117" i="43" s="1"/>
  <c r="L117" i="43" s="1"/>
  <c r="M117" i="43" s="1"/>
  <c r="D116" i="43"/>
  <c r="E116" i="43" s="1"/>
  <c r="F116" i="43" s="1"/>
  <c r="G116" i="43" s="1"/>
  <c r="H116" i="43" s="1"/>
  <c r="G118" i="43"/>
  <c r="H118" i="43" s="1"/>
  <c r="D115" i="43"/>
  <c r="E115" i="43" s="1"/>
  <c r="F115" i="43" s="1"/>
  <c r="G115" i="43" s="1"/>
  <c r="H115" i="43" s="1"/>
  <c r="B115" i="43"/>
  <c r="B118" i="43"/>
  <c r="C118" i="43" s="1"/>
  <c r="I115" i="43"/>
  <c r="J115" i="43" s="1"/>
  <c r="K115" i="43" s="1"/>
  <c r="L115" i="43" s="1"/>
  <c r="M115" i="43" s="1"/>
  <c r="E67" i="39"/>
  <c r="D69" i="39"/>
  <c r="AA7" i="33"/>
  <c r="R48" i="33" s="1"/>
  <c r="S7" i="33"/>
  <c r="AC7" i="34"/>
  <c r="V49" i="34" s="1"/>
  <c r="I49" i="34" s="1"/>
  <c r="W7" i="34"/>
  <c r="AA7" i="34"/>
  <c r="R49" i="34" s="1"/>
  <c r="S7" i="34"/>
  <c r="H6" i="3"/>
  <c r="E6" i="3" s="1"/>
  <c r="M11" i="15"/>
  <c r="J10" i="15" s="1"/>
  <c r="J5" i="15" s="1"/>
  <c r="F11" i="67"/>
  <c r="C53" i="67" s="1"/>
  <c r="F11" i="15"/>
  <c r="C53" i="15" s="1"/>
  <c r="C48" i="15" s="1"/>
  <c r="M11" i="67"/>
  <c r="J10" i="67" s="1"/>
  <c r="J5" i="67" s="1"/>
  <c r="Q74" i="67"/>
  <c r="Q61" i="67"/>
  <c r="F1" i="67"/>
  <c r="Q52" i="67"/>
  <c r="L46" i="67"/>
  <c r="Q74" i="15"/>
  <c r="Q61" i="15"/>
  <c r="J19" i="67"/>
  <c r="J18" i="67"/>
  <c r="K4" i="4" l="1"/>
  <c r="B46" i="48" s="1"/>
  <c r="B4" i="72" s="1"/>
  <c r="C48" i="67"/>
  <c r="C60" i="67" s="1"/>
  <c r="J26" i="15"/>
  <c r="J29" i="15" s="1"/>
  <c r="J24" i="15"/>
  <c r="J24" i="67"/>
  <c r="J26" i="67"/>
  <c r="J29" i="67" s="1"/>
  <c r="C60" i="15"/>
  <c r="C66" i="15"/>
  <c r="C66" i="67"/>
  <c r="E49" i="34"/>
  <c r="R50" i="34"/>
  <c r="I53" i="34"/>
  <c r="J53" i="34" s="1"/>
  <c r="I54" i="34"/>
  <c r="J54" i="34" s="1"/>
  <c r="E48" i="33"/>
  <c r="E69" i="39"/>
  <c r="F67" i="39"/>
  <c r="AA7" i="35"/>
  <c r="R38" i="35" s="1"/>
  <c r="S7" i="35"/>
  <c r="M19" i="6"/>
  <c r="K27" i="6"/>
  <c r="S6" i="1"/>
  <c r="C44" i="68"/>
  <c r="D41" i="68" s="1"/>
  <c r="F41" i="68"/>
  <c r="C26" i="68"/>
  <c r="D22" i="68" s="1"/>
  <c r="C24" i="68"/>
  <c r="C26" i="69"/>
  <c r="D22" i="69" s="1"/>
  <c r="C44" i="69"/>
  <c r="D41" i="69" s="1"/>
  <c r="F41" i="69"/>
  <c r="C24" i="69"/>
  <c r="B8" i="71"/>
  <c r="B7" i="71" s="1"/>
  <c r="B6" i="71" s="1"/>
  <c r="B5" i="71" s="1"/>
  <c r="S9" i="71"/>
  <c r="G52" i="37"/>
  <c r="J46" i="36"/>
  <c r="E36" i="43"/>
  <c r="G36" i="43"/>
  <c r="I36" i="43" s="1"/>
  <c r="G33" i="43"/>
  <c r="I33" i="43" s="1"/>
  <c r="E33" i="43"/>
  <c r="C26" i="43" s="1"/>
  <c r="E35" i="43"/>
  <c r="G35" i="43"/>
  <c r="I35" i="43" s="1"/>
  <c r="T61" i="71"/>
  <c r="D61" i="71"/>
  <c r="T37" i="71"/>
  <c r="D37" i="71"/>
  <c r="P63" i="71"/>
  <c r="P62" i="71"/>
  <c r="U6" i="89"/>
  <c r="U4" i="89"/>
  <c r="E31" i="6"/>
  <c r="D113" i="43"/>
  <c r="C115" i="43"/>
  <c r="I53" i="33"/>
  <c r="J53" i="33" s="1"/>
  <c r="I52" i="33"/>
  <c r="J52" i="33" s="1"/>
  <c r="E29" i="43"/>
  <c r="C30" i="43"/>
  <c r="E30" i="43" s="1"/>
  <c r="C27" i="43" s="1"/>
  <c r="W7" i="35"/>
  <c r="AC7" i="35"/>
  <c r="V38" i="35" s="1"/>
  <c r="I38" i="35" s="1"/>
  <c r="M14" i="1"/>
  <c r="K16" i="1"/>
  <c r="C26" i="11"/>
  <c r="D22" i="11" s="1"/>
  <c r="C23" i="11"/>
  <c r="C44" i="11"/>
  <c r="D41" i="11" s="1"/>
  <c r="G53" i="34"/>
  <c r="H53" i="34" s="1"/>
  <c r="G54" i="34"/>
  <c r="H54" i="34" s="1"/>
  <c r="U7" i="33"/>
  <c r="AB7" i="33"/>
  <c r="T48" i="33" s="1"/>
  <c r="G48" i="33" s="1"/>
  <c r="F58" i="21"/>
  <c r="C17" i="71"/>
  <c r="D18" i="71"/>
  <c r="G34" i="43"/>
  <c r="I34" i="43" s="1"/>
  <c r="E34" i="43"/>
  <c r="E38" i="43"/>
  <c r="G38" i="43"/>
  <c r="I38" i="43" s="1"/>
  <c r="G37" i="43"/>
  <c r="I37" i="43" s="1"/>
  <c r="E37" i="43"/>
  <c r="G39" i="43"/>
  <c r="I39" i="43" s="1"/>
  <c r="E39" i="43"/>
  <c r="E65" i="40"/>
  <c r="F63" i="40"/>
  <c r="AZ5" i="3"/>
  <c r="H7" i="35"/>
  <c r="C17" i="15"/>
  <c r="C17" i="67"/>
  <c r="C14" i="67"/>
  <c r="D10" i="68"/>
  <c r="D10" i="69"/>
  <c r="C34" i="69"/>
  <c r="E6" i="76"/>
  <c r="E2" i="76" l="1"/>
  <c r="C35" i="69"/>
  <c r="C38" i="69"/>
  <c r="C10" i="69"/>
  <c r="C8" i="69" s="1"/>
  <c r="C6" i="69"/>
  <c r="D19" i="69"/>
  <c r="D37" i="69" s="1"/>
  <c r="C37" i="69" s="1"/>
  <c r="C10" i="68"/>
  <c r="D19" i="68"/>
  <c r="C18" i="67"/>
  <c r="C15" i="67"/>
  <c r="B2" i="43"/>
  <c r="E3" i="6"/>
  <c r="AY6" i="3"/>
  <c r="AB7" i="35"/>
  <c r="T38" i="35" s="1"/>
  <c r="G38" i="35" s="1"/>
  <c r="U7" i="35"/>
  <c r="F65" i="40"/>
  <c r="G63" i="40"/>
  <c r="G52" i="33"/>
  <c r="H52" i="33" s="1"/>
  <c r="G53" i="33"/>
  <c r="H53" i="33" s="1"/>
  <c r="M16" i="1"/>
  <c r="I42" i="35"/>
  <c r="J42" i="35" s="1"/>
  <c r="K46" i="36"/>
  <c r="H52" i="37"/>
  <c r="R49" i="33"/>
  <c r="E54" i="34"/>
  <c r="F54" i="34" s="1"/>
  <c r="E53" i="34"/>
  <c r="F53" i="34" s="1"/>
  <c r="T17" i="71"/>
  <c r="D17" i="71"/>
  <c r="U17" i="71" s="1"/>
  <c r="C16" i="71"/>
  <c r="G58" i="21"/>
  <c r="H58" i="21" s="1"/>
  <c r="I58" i="21" s="1"/>
  <c r="J58" i="21" s="1"/>
  <c r="K58" i="21" s="1"/>
  <c r="L58" i="21" s="1"/>
  <c r="M58" i="21" s="1"/>
  <c r="N58" i="21" s="1"/>
  <c r="O58" i="21" s="1"/>
  <c r="H7" i="21"/>
  <c r="J7" i="21"/>
  <c r="T6" i="1"/>
  <c r="T16" i="1" s="1"/>
  <c r="S16" i="1"/>
  <c r="E6" i="70"/>
  <c r="E2" i="70" s="1"/>
  <c r="AQ6" i="1"/>
  <c r="AR6" i="1"/>
  <c r="I19" i="6"/>
  <c r="M27" i="6"/>
  <c r="E38" i="35"/>
  <c r="R39" i="35"/>
  <c r="G67" i="39"/>
  <c r="F69" i="39"/>
  <c r="E53" i="33"/>
  <c r="F53" i="33" s="1"/>
  <c r="E52" i="33"/>
  <c r="F52" i="33" s="1"/>
  <c r="C49" i="34"/>
  <c r="C50" i="34"/>
  <c r="B6" i="76"/>
  <c r="C14" i="15"/>
  <c r="C34" i="68"/>
  <c r="C19" i="67" l="1"/>
  <c r="C33" i="69"/>
  <c r="C42" i="69" s="1"/>
  <c r="C35" i="68"/>
  <c r="C38" i="68"/>
  <c r="C15" i="15"/>
  <c r="C18" i="15"/>
  <c r="C19" i="15" s="1"/>
  <c r="B2" i="76"/>
  <c r="B3" i="76" s="1"/>
  <c r="C20" i="67"/>
  <c r="C26" i="67" s="1"/>
  <c r="C39" i="69"/>
  <c r="C43" i="69" s="1"/>
  <c r="C46" i="69"/>
  <c r="C45" i="69" s="1"/>
  <c r="H67" i="39"/>
  <c r="G69" i="39"/>
  <c r="E43" i="35"/>
  <c r="F43" i="35" s="1"/>
  <c r="E42" i="35"/>
  <c r="F42" i="35" s="1"/>
  <c r="S19" i="6"/>
  <c r="I27" i="6"/>
  <c r="L18" i="9"/>
  <c r="U7" i="21"/>
  <c r="AB7" i="21"/>
  <c r="T48" i="21" s="1"/>
  <c r="G48" i="21" s="1"/>
  <c r="C15" i="71"/>
  <c r="D16" i="71"/>
  <c r="L46" i="36"/>
  <c r="I43" i="35"/>
  <c r="J43" i="35" s="1"/>
  <c r="H63" i="40"/>
  <c r="G65" i="40"/>
  <c r="D3" i="6"/>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580" i="3"/>
  <c r="AY552" i="3"/>
  <c r="AY523" i="3"/>
  <c r="AY174" i="3"/>
  <c r="AY250" i="3"/>
  <c r="AY305" i="3"/>
  <c r="AY445" i="3"/>
  <c r="AY505" i="3"/>
  <c r="AY551" i="3"/>
  <c r="AY79" i="3"/>
  <c r="AY151" i="3"/>
  <c r="AY394" i="3"/>
  <c r="AY451" i="3"/>
  <c r="AY568" i="3"/>
  <c r="AY200" i="3"/>
  <c r="AY257" i="3"/>
  <c r="AY307" i="3"/>
  <c r="AY521"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251" i="3"/>
  <c r="AY329" i="3"/>
  <c r="AY468" i="3"/>
  <c r="AY407" i="3"/>
  <c r="AY509" i="3"/>
  <c r="AY94" i="3"/>
  <c r="AY167" i="3"/>
  <c r="AY221" i="3"/>
  <c r="AY466" i="3"/>
  <c r="AY512" i="3"/>
  <c r="AY27" i="3"/>
  <c r="AY273" i="3"/>
  <c r="AY323" i="3"/>
  <c r="AY550"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76" i="3"/>
  <c r="AY188" i="3"/>
  <c r="AY297" i="3"/>
  <c r="AY335" i="3"/>
  <c r="AY409" i="3"/>
  <c r="AY228" i="3"/>
  <c r="AY465" i="3"/>
  <c r="BK6" i="3"/>
  <c r="AY108" i="3"/>
  <c r="AY28" i="3"/>
  <c r="AY138" i="3"/>
  <c r="AY294" i="3"/>
  <c r="AY214" i="3"/>
  <c r="AY554" i="3"/>
  <c r="AY24" i="3"/>
  <c r="AY290" i="3"/>
  <c r="AY349" i="3"/>
  <c r="AY488" i="3"/>
  <c r="AY427" i="3"/>
  <c r="BF6" i="3"/>
  <c r="AY584" i="3"/>
  <c r="AY80" i="3"/>
  <c r="AY129" i="3"/>
  <c r="AY369" i="3"/>
  <c r="AY487" i="3"/>
  <c r="AY410" i="3"/>
  <c r="AY524" i="3"/>
  <c r="AY578" i="3"/>
  <c r="AY192" i="3"/>
  <c r="AY249" i="3"/>
  <c r="AY346" i="3"/>
  <c r="AY558" i="3"/>
  <c r="AY55" i="3"/>
  <c r="AY128" i="3"/>
  <c r="AY391" i="3"/>
  <c r="AY448" i="3"/>
  <c r="AY586" i="3"/>
  <c r="AY419" i="3"/>
  <c r="AY536" i="3"/>
  <c r="AY532" i="3"/>
  <c r="AY64" i="3"/>
  <c r="AY113" i="3"/>
  <c r="AY361" i="3"/>
  <c r="AY479" i="3"/>
  <c r="AY402" i="3"/>
  <c r="AY522" i="3"/>
  <c r="BP6" i="3"/>
  <c r="AY19" i="3"/>
  <c r="AY265" i="3"/>
  <c r="AY315" i="3"/>
  <c r="AY500" i="3"/>
  <c r="AY71" i="3"/>
  <c r="AY143" i="3"/>
  <c r="AY386" i="3"/>
  <c r="AY443" i="3"/>
  <c r="BT6" i="3"/>
  <c r="AY207" i="3"/>
  <c r="AY42" i="3"/>
  <c r="AY168" i="3"/>
  <c r="AY366" i="3"/>
  <c r="AY441" i="3"/>
  <c r="AY260" i="3"/>
  <c r="AY310" i="3"/>
  <c r="AY549" i="3"/>
  <c r="AY97" i="3"/>
  <c r="AY44" i="3"/>
  <c r="AY154" i="3"/>
  <c r="AY283" i="3"/>
  <c r="AY230" i="3"/>
  <c r="AY360" i="3"/>
  <c r="AY56" i="3"/>
  <c r="AY295" i="3"/>
  <c r="AY353" i="3"/>
  <c r="AY475" i="3"/>
  <c r="AY398" i="3"/>
  <c r="AY534" i="3"/>
  <c r="AY501" i="3"/>
  <c r="AY65" i="3"/>
  <c r="AY137" i="3"/>
  <c r="AY380" i="3"/>
  <c r="AY312" i="3"/>
  <c r="AY426" i="3"/>
  <c r="AY14" i="3"/>
  <c r="AY531" i="3"/>
  <c r="AY35" i="3"/>
  <c r="AY280" i="3"/>
  <c r="AY331" i="3"/>
  <c r="AY405" i="3"/>
  <c r="AY86" i="3"/>
  <c r="AY159" i="3"/>
  <c r="AY213" i="3"/>
  <c r="AY459" i="3"/>
  <c r="AY504"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66" i="3"/>
  <c r="AY115"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F7" i="21"/>
  <c r="B29" i="1"/>
  <c r="C8" i="68"/>
  <c r="C5" i="68" s="1"/>
  <c r="C7" i="69"/>
  <c r="C5" i="69" s="1"/>
  <c r="C38" i="35"/>
  <c r="C39" i="35"/>
  <c r="B2" i="35" s="1"/>
  <c r="B3" i="35" s="1"/>
  <c r="AC7" i="21"/>
  <c r="V48" i="21" s="1"/>
  <c r="I48" i="21" s="1"/>
  <c r="W7" i="21"/>
  <c r="C49" i="33"/>
  <c r="C48" i="33"/>
  <c r="U6" i="1" s="1"/>
  <c r="I52" i="37"/>
  <c r="N16" i="1"/>
  <c r="C34" i="11"/>
  <c r="L16" i="1"/>
  <c r="G42" i="35"/>
  <c r="H42" i="35" s="1"/>
  <c r="G43" i="35"/>
  <c r="H43" i="35" s="1"/>
  <c r="D3" i="34"/>
  <c r="B2" i="34" s="1"/>
  <c r="B3" i="34" s="1"/>
  <c r="D3" i="37"/>
  <c r="D3" i="21"/>
  <c r="D19" i="11"/>
  <c r="C19" i="11" s="1"/>
  <c r="E6" i="6"/>
  <c r="D37" i="11"/>
  <c r="C37" i="11" s="1"/>
  <c r="C17" i="4"/>
  <c r="B4" i="52" s="1"/>
  <c r="B43" i="72" s="1"/>
  <c r="D14" i="12"/>
  <c r="S27" i="6"/>
  <c r="B3" i="43"/>
  <c r="I21" i="68"/>
  <c r="D37" i="68"/>
  <c r="C37" i="68" s="1"/>
  <c r="I20" i="68"/>
  <c r="F6" i="67"/>
  <c r="F6" i="15"/>
  <c r="C23" i="67" l="1"/>
  <c r="C33" i="68"/>
  <c r="C42" i="68" s="1"/>
  <c r="C41" i="69"/>
  <c r="C49" i="69" s="1"/>
  <c r="C51" i="69" s="1"/>
  <c r="C6" i="15"/>
  <c r="C6" i="67"/>
  <c r="C39" i="68"/>
  <c r="C43" i="68" s="1"/>
  <c r="C29" i="67"/>
  <c r="D10" i="11"/>
  <c r="C10" i="11" s="1"/>
  <c r="D20" i="12"/>
  <c r="C20" i="12" s="1"/>
  <c r="C18" i="12" s="1"/>
  <c r="C35" i="11"/>
  <c r="C33" i="11"/>
  <c r="C38" i="11"/>
  <c r="C20" i="69"/>
  <c r="C25" i="69" s="1"/>
  <c r="C23" i="69"/>
  <c r="C22" i="69" s="1"/>
  <c r="C28" i="69"/>
  <c r="C27" i="69" s="1"/>
  <c r="C20" i="68"/>
  <c r="C25" i="68" s="1"/>
  <c r="C23" i="68"/>
  <c r="AA7" i="21"/>
  <c r="R48" i="21" s="1"/>
  <c r="S7" i="21"/>
  <c r="H19" i="6"/>
  <c r="C18" i="4"/>
  <c r="D11" i="6"/>
  <c r="D15" i="6"/>
  <c r="D28" i="6"/>
  <c r="D30" i="6" s="1"/>
  <c r="D25" i="6"/>
  <c r="D20" i="6"/>
  <c r="H25" i="6"/>
  <c r="D26" i="6"/>
  <c r="D10" i="6"/>
  <c r="D14" i="6"/>
  <c r="D29" i="6"/>
  <c r="H26" i="6"/>
  <c r="D24" i="6"/>
  <c r="H24" i="6"/>
  <c r="D19" i="6"/>
  <c r="H20" i="6"/>
  <c r="D9" i="6"/>
  <c r="D13" i="6"/>
  <c r="D23" i="6"/>
  <c r="H23" i="6"/>
  <c r="D21" i="6"/>
  <c r="D6" i="6"/>
  <c r="H21" i="6"/>
  <c r="D8" i="6"/>
  <c r="D16" i="6" s="1"/>
  <c r="D12" i="6"/>
  <c r="D5" i="6"/>
  <c r="E61" i="40"/>
  <c r="D22" i="6"/>
  <c r="R22" i="6" s="1"/>
  <c r="H22" i="6"/>
  <c r="I63" i="40"/>
  <c r="H65" i="40"/>
  <c r="G52" i="21"/>
  <c r="H52" i="21" s="1"/>
  <c r="G53" i="21"/>
  <c r="H53" i="21" s="1"/>
  <c r="H69" i="39"/>
  <c r="I67" i="39"/>
  <c r="C20" i="15"/>
  <c r="C23" i="15" s="1"/>
  <c r="D17" i="12"/>
  <c r="C17" i="12" s="1"/>
  <c r="C14" i="12"/>
  <c r="C16" i="12" s="1"/>
  <c r="C20" i="11"/>
  <c r="C25" i="11" s="1"/>
  <c r="C24" i="11"/>
  <c r="F50" i="68"/>
  <c r="F50" i="11"/>
  <c r="F50" i="69"/>
  <c r="J52" i="37"/>
  <c r="B3" i="33"/>
  <c r="Q15" i="89"/>
  <c r="B2" i="33"/>
  <c r="I52" i="21"/>
  <c r="J52" i="21" s="1"/>
  <c r="M46" i="36"/>
  <c r="C14" i="71"/>
  <c r="D15" i="71"/>
  <c r="C41" i="68" l="1"/>
  <c r="C26" i="15"/>
  <c r="C29" i="15" s="1"/>
  <c r="C22" i="11"/>
  <c r="C21" i="12"/>
  <c r="C31" i="69"/>
  <c r="C52" i="69" s="1"/>
  <c r="B2" i="69" s="1"/>
  <c r="N46" i="36"/>
  <c r="C28" i="11"/>
  <c r="C27" i="11" s="1"/>
  <c r="C31" i="11" s="1"/>
  <c r="I65" i="40"/>
  <c r="J63" i="40"/>
  <c r="R21" i="6"/>
  <c r="R23" i="6"/>
  <c r="R19" i="6"/>
  <c r="D27" i="6"/>
  <c r="D31" i="6" s="1"/>
  <c r="M19" i="9"/>
  <c r="C118" i="9" s="1"/>
  <c r="C14" i="74" s="1"/>
  <c r="B2" i="74" s="1"/>
  <c r="L19" i="9"/>
  <c r="R24" i="6"/>
  <c r="R25" i="6"/>
  <c r="A7" i="51"/>
  <c r="B7" i="72" s="1"/>
  <c r="C4" i="52"/>
  <c r="B45" i="72" s="1"/>
  <c r="A10" i="51"/>
  <c r="B9" i="72" s="1"/>
  <c r="C22" i="68"/>
  <c r="C46" i="68"/>
  <c r="C45" i="68" s="1"/>
  <c r="C49" i="68" s="1"/>
  <c r="C33" i="67"/>
  <c r="C10" i="67"/>
  <c r="C32" i="67"/>
  <c r="C5" i="67"/>
  <c r="C57" i="69"/>
  <c r="C56" i="69" s="1"/>
  <c r="D14" i="71"/>
  <c r="C13" i="71"/>
  <c r="K52" i="37"/>
  <c r="C22" i="12"/>
  <c r="C27" i="12" s="1"/>
  <c r="C25" i="12" s="1"/>
  <c r="J67" i="39"/>
  <c r="I69" i="39"/>
  <c r="R26" i="6"/>
  <c r="R20" i="6"/>
  <c r="H27" i="6"/>
  <c r="E48" i="21"/>
  <c r="R49" i="21"/>
  <c r="C28" i="68"/>
  <c r="C27" i="68" s="1"/>
  <c r="C39" i="11"/>
  <c r="C43" i="11" s="1"/>
  <c r="C46" i="11"/>
  <c r="C45" i="11" s="1"/>
  <c r="C49" i="11" s="1"/>
  <c r="C51" i="11" s="1"/>
  <c r="C42" i="11"/>
  <c r="C41" i="11" s="1"/>
  <c r="Q49" i="67"/>
  <c r="J14" i="67"/>
  <c r="C13" i="67"/>
  <c r="C36" i="67"/>
  <c r="C57" i="67"/>
  <c r="C33" i="15"/>
  <c r="C10" i="15"/>
  <c r="C32" i="15"/>
  <c r="C5" i="15"/>
  <c r="B3" i="69"/>
  <c r="C36" i="15" l="1"/>
  <c r="C13" i="15"/>
  <c r="C56" i="15" s="1"/>
  <c r="C65" i="15" s="1"/>
  <c r="J14" i="15"/>
  <c r="C57" i="15"/>
  <c r="C64" i="15" s="1"/>
  <c r="Q49" i="15"/>
  <c r="J59" i="15"/>
  <c r="J60" i="15" s="1"/>
  <c r="Q48" i="15" s="1"/>
  <c r="C30" i="12"/>
  <c r="C28" i="12" s="1"/>
  <c r="C32" i="12" s="1"/>
  <c r="B2" i="12" s="1"/>
  <c r="B3" i="12" s="1"/>
  <c r="C31" i="68"/>
  <c r="H31" i="68" s="1"/>
  <c r="C52" i="11"/>
  <c r="B2" i="11" s="1"/>
  <c r="B3" i="11" s="1"/>
  <c r="J13" i="67"/>
  <c r="J23" i="67" s="1"/>
  <c r="J22" i="67"/>
  <c r="E52" i="21"/>
  <c r="F52" i="21" s="1"/>
  <c r="E53" i="21"/>
  <c r="F53" i="21" s="1"/>
  <c r="I53" i="21"/>
  <c r="J53" i="21" s="1"/>
  <c r="L46" i="15"/>
  <c r="C61" i="15"/>
  <c r="C12" i="71"/>
  <c r="D13" i="71"/>
  <c r="U13" i="71" s="1"/>
  <c r="T13" i="71"/>
  <c r="D7" i="74"/>
  <c r="D8" i="74"/>
  <c r="D6" i="74"/>
  <c r="R6" i="1"/>
  <c r="R27" i="6"/>
  <c r="O46" i="36"/>
  <c r="J7" i="36" s="1"/>
  <c r="F7" i="36"/>
  <c r="H7" i="36"/>
  <c r="C38" i="15"/>
  <c r="C64" i="67"/>
  <c r="C61" i="67"/>
  <c r="C37" i="67"/>
  <c r="C56" i="67"/>
  <c r="C65" i="67" s="1"/>
  <c r="C75" i="67"/>
  <c r="Q70" i="67"/>
  <c r="C48" i="21"/>
  <c r="C49" i="21"/>
  <c r="B2" i="21" s="1"/>
  <c r="B3" i="21" s="1"/>
  <c r="J69" i="39"/>
  <c r="K67" i="39"/>
  <c r="J13" i="15"/>
  <c r="J23" i="15" s="1"/>
  <c r="J22" i="15"/>
  <c r="C75" i="15"/>
  <c r="Q70" i="15"/>
  <c r="L52" i="37"/>
  <c r="M52" i="37" s="1"/>
  <c r="N52" i="37" s="1"/>
  <c r="O52" i="37" s="1"/>
  <c r="H7" i="37" s="1"/>
  <c r="F7" i="37"/>
  <c r="C38" i="67"/>
  <c r="C51" i="68"/>
  <c r="C52" i="68" s="1"/>
  <c r="H49" i="68"/>
  <c r="I6" i="6"/>
  <c r="I5" i="6"/>
  <c r="J65" i="40"/>
  <c r="K63" i="40"/>
  <c r="F35" i="15"/>
  <c r="M21" i="67"/>
  <c r="M21" i="15"/>
  <c r="F35" i="67"/>
  <c r="C37" i="15" l="1"/>
  <c r="C56" i="11"/>
  <c r="C57" i="11" s="1"/>
  <c r="F63" i="67"/>
  <c r="C62" i="67" s="1"/>
  <c r="C34" i="67"/>
  <c r="C31" i="67" s="1"/>
  <c r="C30" i="67" s="1"/>
  <c r="C39" i="67" s="1"/>
  <c r="C80" i="67" s="1"/>
  <c r="C79" i="67" s="1"/>
  <c r="J20" i="15"/>
  <c r="J17" i="15" s="1"/>
  <c r="J16" i="15" s="1"/>
  <c r="J25" i="15" s="1"/>
  <c r="J20" i="67"/>
  <c r="J17" i="67" s="1"/>
  <c r="J16" i="67" s="1"/>
  <c r="J25" i="67" s="1"/>
  <c r="F63" i="15"/>
  <c r="C62" i="15" s="1"/>
  <c r="C34" i="15"/>
  <c r="C31" i="15" s="1"/>
  <c r="C30" i="15" s="1"/>
  <c r="C39" i="15" s="1"/>
  <c r="C80" i="15" s="1"/>
  <c r="C79" i="15" s="1"/>
  <c r="H52" i="68"/>
  <c r="J52" i="68" s="1"/>
  <c r="B2" i="68"/>
  <c r="U7" i="37"/>
  <c r="AB7" i="37"/>
  <c r="T42" i="37" s="1"/>
  <c r="G42" i="37" s="1"/>
  <c r="L63" i="40"/>
  <c r="K65" i="40"/>
  <c r="AA7" i="37"/>
  <c r="R42" i="37" s="1"/>
  <c r="S7" i="37"/>
  <c r="K69" i="39"/>
  <c r="L67" i="39"/>
  <c r="S7" i="36"/>
  <c r="AA7" i="36"/>
  <c r="R36" i="36" s="1"/>
  <c r="R16" i="1"/>
  <c r="C59" i="15"/>
  <c r="C58" i="15" s="1"/>
  <c r="C67" i="15" s="1"/>
  <c r="C68" i="15" s="1"/>
  <c r="J7" i="37"/>
  <c r="C57" i="68"/>
  <c r="C56" i="68" s="1"/>
  <c r="H51" i="68"/>
  <c r="C59" i="67"/>
  <c r="C58" i="67" s="1"/>
  <c r="C67" i="67" s="1"/>
  <c r="C68" i="67" s="1"/>
  <c r="AB7" i="36"/>
  <c r="T36" i="36" s="1"/>
  <c r="G36" i="36" s="1"/>
  <c r="U7" i="36"/>
  <c r="W7" i="36"/>
  <c r="AC7" i="36"/>
  <c r="V36" i="36" s="1"/>
  <c r="I36" i="36" s="1"/>
  <c r="C11" i="71"/>
  <c r="D12" i="71"/>
  <c r="D19" i="9"/>
  <c r="D102" i="9" l="1"/>
  <c r="D21" i="9"/>
  <c r="C10" i="71"/>
  <c r="D11" i="71"/>
  <c r="G40" i="36"/>
  <c r="H40" i="36" s="1"/>
  <c r="G41" i="36"/>
  <c r="H41" i="36" s="1"/>
  <c r="AC7" i="37"/>
  <c r="V42" i="37" s="1"/>
  <c r="I42" i="37" s="1"/>
  <c r="W7" i="37"/>
  <c r="M67" i="39"/>
  <c r="L69" i="39"/>
  <c r="E42" i="37"/>
  <c r="R43" i="37"/>
  <c r="L65" i="40"/>
  <c r="M63" i="40"/>
  <c r="Q69" i="15"/>
  <c r="Q68" i="15" s="1"/>
  <c r="C40" i="15"/>
  <c r="C46" i="15" s="1"/>
  <c r="Q69" i="67"/>
  <c r="Q68" i="67" s="1"/>
  <c r="C40" i="67"/>
  <c r="C45" i="67" s="1"/>
  <c r="C46" i="67" s="1"/>
  <c r="I40" i="36"/>
  <c r="J40" i="36" s="1"/>
  <c r="I41" i="36"/>
  <c r="J41" i="36" s="1"/>
  <c r="C71" i="67"/>
  <c r="C71" i="15"/>
  <c r="E36" i="36"/>
  <c r="R37" i="36"/>
  <c r="G46" i="37"/>
  <c r="H46" i="37" s="1"/>
  <c r="G47" i="37"/>
  <c r="H47" i="37" s="1"/>
  <c r="L51" i="15"/>
  <c r="B3" i="68"/>
  <c r="D20" i="9" s="1"/>
  <c r="L51" i="67"/>
  <c r="E2" i="68"/>
  <c r="Q67" i="67" l="1"/>
  <c r="D103" i="9"/>
  <c r="Q67" i="15"/>
  <c r="C36" i="36"/>
  <c r="C37" i="36"/>
  <c r="B2" i="36" s="1"/>
  <c r="B3" i="36" s="1"/>
  <c r="Q56" i="15"/>
  <c r="Q62" i="15" s="1"/>
  <c r="B2" i="15"/>
  <c r="C43" i="15"/>
  <c r="Q47" i="15"/>
  <c r="Q53" i="15" s="1"/>
  <c r="Q65" i="15"/>
  <c r="Q75" i="15" s="1"/>
  <c r="C83" i="15"/>
  <c r="C82" i="15" s="1"/>
  <c r="M65" i="40"/>
  <c r="N63" i="40"/>
  <c r="C42" i="37"/>
  <c r="C43" i="37"/>
  <c r="B2" i="37" s="1"/>
  <c r="B3" i="37" s="1"/>
  <c r="E40" i="36"/>
  <c r="F40" i="36" s="1"/>
  <c r="E41" i="36"/>
  <c r="F41" i="36" s="1"/>
  <c r="Q65" i="67"/>
  <c r="Q75" i="67" s="1"/>
  <c r="Q47" i="67"/>
  <c r="Q53" i="67" s="1"/>
  <c r="C43" i="67"/>
  <c r="D2" i="67"/>
  <c r="Q56" i="67"/>
  <c r="Q62" i="67" s="1"/>
  <c r="C83" i="67"/>
  <c r="C82" i="67" s="1"/>
  <c r="E47" i="37"/>
  <c r="F47" i="37" s="1"/>
  <c r="E46" i="37"/>
  <c r="F46" i="37" s="1"/>
  <c r="M69" i="39"/>
  <c r="N67" i="39"/>
  <c r="I46" i="37"/>
  <c r="J46" i="37" s="1"/>
  <c r="I47" i="37"/>
  <c r="J47" i="37" s="1"/>
  <c r="C9" i="71"/>
  <c r="D10" i="71"/>
  <c r="C19" i="9"/>
  <c r="AO6" i="1"/>
  <c r="B6" i="70" l="1"/>
  <c r="B2" i="70" s="1"/>
  <c r="B3" i="70" s="1"/>
  <c r="G19" i="9"/>
  <c r="G21" i="9" s="1"/>
  <c r="D22" i="9"/>
  <c r="C102" i="9"/>
  <c r="C21" i="9"/>
  <c r="T9" i="71"/>
  <c r="D9" i="71"/>
  <c r="U9" i="71" s="1"/>
  <c r="C8" i="71"/>
  <c r="O67" i="39"/>
  <c r="O69" i="39" s="1"/>
  <c r="N69" i="39"/>
  <c r="B2" i="67"/>
  <c r="B3" i="67"/>
  <c r="O63" i="40"/>
  <c r="O65" i="40" s="1"/>
  <c r="N65" i="40"/>
  <c r="B3" i="15"/>
  <c r="C20" i="9"/>
  <c r="J23" i="9" l="1"/>
  <c r="J24" i="9" s="1"/>
  <c r="C103" i="9"/>
  <c r="G20" i="9"/>
  <c r="J7" i="40"/>
  <c r="H7" i="40"/>
  <c r="F7" i="40"/>
  <c r="D8" i="71"/>
  <c r="C7" i="71"/>
  <c r="F7" i="39"/>
  <c r="H7" i="39"/>
  <c r="J7" i="39"/>
  <c r="U7" i="39" l="1"/>
  <c r="AB7" i="39"/>
  <c r="T47" i="39" s="1"/>
  <c r="G47" i="39" s="1"/>
  <c r="D7" i="71"/>
  <c r="C6" i="71"/>
  <c r="AA7" i="40"/>
  <c r="R42" i="40" s="1"/>
  <c r="S7" i="40"/>
  <c r="W7" i="40"/>
  <c r="AC7" i="40"/>
  <c r="V42" i="40" s="1"/>
  <c r="I42" i="40" s="1"/>
  <c r="W7" i="39"/>
  <c r="AC7" i="39"/>
  <c r="V47" i="39" s="1"/>
  <c r="I47" i="39" s="1"/>
  <c r="S7" i="39"/>
  <c r="AA7" i="39"/>
  <c r="R47" i="39" s="1"/>
  <c r="AB7" i="40"/>
  <c r="T42" i="40" s="1"/>
  <c r="G42" i="40" s="1"/>
  <c r="U7" i="40"/>
  <c r="M3" i="95"/>
  <c r="C32" i="9"/>
  <c r="T15" i="89"/>
  <c r="C35" i="9" l="1"/>
  <c r="C34" i="9" s="1"/>
  <c r="E47" i="39"/>
  <c r="R48" i="39"/>
  <c r="I51" i="39"/>
  <c r="J51" i="39" s="1"/>
  <c r="I52" i="39"/>
  <c r="J52" i="39" s="1"/>
  <c r="I46" i="40"/>
  <c r="J46" i="40" s="1"/>
  <c r="C5" i="71"/>
  <c r="D6" i="71"/>
  <c r="G51" i="39"/>
  <c r="H51" i="39" s="1"/>
  <c r="G52" i="39"/>
  <c r="H52" i="39" s="1"/>
  <c r="T20" i="89"/>
  <c r="V20" i="89" s="1"/>
  <c r="T16" i="89"/>
  <c r="V16" i="89" s="1"/>
  <c r="T17" i="89"/>
  <c r="V17" i="89" s="1"/>
  <c r="V15" i="89"/>
  <c r="T18" i="89"/>
  <c r="J43" i="95"/>
  <c r="K43" i="95" s="1"/>
  <c r="J46" i="95"/>
  <c r="K46" i="95" s="1"/>
  <c r="J52" i="95"/>
  <c r="K52" i="95" s="1"/>
  <c r="J56" i="95"/>
  <c r="J47" i="95"/>
  <c r="K47" i="95" s="1"/>
  <c r="J51" i="95"/>
  <c r="K51" i="95" s="1"/>
  <c r="J53" i="95"/>
  <c r="K53" i="95" s="1"/>
  <c r="J55" i="95"/>
  <c r="K55" i="95" s="1"/>
  <c r="J3" i="95"/>
  <c r="K3" i="95" s="1"/>
  <c r="J4" i="95"/>
  <c r="K4" i="95" s="1"/>
  <c r="J6" i="95"/>
  <c r="K6" i="95" s="1"/>
  <c r="J8" i="95"/>
  <c r="K8" i="95" s="1"/>
  <c r="J10" i="95"/>
  <c r="K10" i="95" s="1"/>
  <c r="J12" i="95"/>
  <c r="K12" i="95" s="1"/>
  <c r="J14" i="95"/>
  <c r="K14" i="95" s="1"/>
  <c r="J16" i="95"/>
  <c r="K16" i="95" s="1"/>
  <c r="J18" i="95"/>
  <c r="K18" i="95" s="1"/>
  <c r="J20" i="95"/>
  <c r="K20" i="95" s="1"/>
  <c r="J22" i="95"/>
  <c r="K22" i="95" s="1"/>
  <c r="J24" i="95"/>
  <c r="K24" i="95" s="1"/>
  <c r="J26" i="95"/>
  <c r="K26" i="95" s="1"/>
  <c r="J28" i="95"/>
  <c r="K28" i="95" s="1"/>
  <c r="J30" i="95"/>
  <c r="K30" i="95" s="1"/>
  <c r="J32" i="95"/>
  <c r="K32" i="95" s="1"/>
  <c r="J34" i="95"/>
  <c r="K34" i="95" s="1"/>
  <c r="J36" i="95"/>
  <c r="K36" i="95" s="1"/>
  <c r="J38" i="95"/>
  <c r="K38" i="95" s="1"/>
  <c r="J40" i="95"/>
  <c r="K40" i="95" s="1"/>
  <c r="J5" i="95"/>
  <c r="K5" i="95" s="1"/>
  <c r="J7" i="95"/>
  <c r="K7" i="95" s="1"/>
  <c r="J9" i="95"/>
  <c r="K9" i="95" s="1"/>
  <c r="J11" i="95"/>
  <c r="K11" i="95" s="1"/>
  <c r="J13" i="95"/>
  <c r="K13" i="95" s="1"/>
  <c r="J15" i="95"/>
  <c r="K15" i="95" s="1"/>
  <c r="J17" i="95"/>
  <c r="K17" i="95" s="1"/>
  <c r="J19" i="95"/>
  <c r="K19" i="95" s="1"/>
  <c r="J21" i="95"/>
  <c r="K21" i="95" s="1"/>
  <c r="J23" i="95"/>
  <c r="K23" i="95" s="1"/>
  <c r="J25" i="95"/>
  <c r="K25" i="95" s="1"/>
  <c r="J27" i="95"/>
  <c r="K27" i="95" s="1"/>
  <c r="J29" i="95"/>
  <c r="K29" i="95" s="1"/>
  <c r="J31" i="95"/>
  <c r="K31" i="95" s="1"/>
  <c r="J33" i="95"/>
  <c r="K33" i="95" s="1"/>
  <c r="J35" i="95"/>
  <c r="K35" i="95" s="1"/>
  <c r="J37" i="95"/>
  <c r="K37" i="95" s="1"/>
  <c r="J39" i="95"/>
  <c r="K39" i="95" s="1"/>
  <c r="J41" i="95"/>
  <c r="K41" i="95" s="1"/>
  <c r="J44" i="95"/>
  <c r="K44" i="95" s="1"/>
  <c r="J48" i="95"/>
  <c r="K48" i="95" s="1"/>
  <c r="J50" i="95"/>
  <c r="K50" i="95" s="1"/>
  <c r="J54" i="95"/>
  <c r="K54" i="95" s="1"/>
  <c r="J45" i="95"/>
  <c r="K45" i="95" s="1"/>
  <c r="J49" i="95"/>
  <c r="K49" i="95" s="1"/>
  <c r="G47" i="40"/>
  <c r="H47" i="40" s="1"/>
  <c r="G46" i="40"/>
  <c r="H46" i="40" s="1"/>
  <c r="E42" i="40"/>
  <c r="R43" i="40"/>
  <c r="E47" i="40" l="1"/>
  <c r="F47" i="40" s="1"/>
  <c r="E46" i="40"/>
  <c r="F46" i="40" s="1"/>
  <c r="C42" i="40"/>
  <c r="C43" i="40"/>
  <c r="K42" i="95"/>
  <c r="I47" i="40"/>
  <c r="J47" i="40" s="1"/>
  <c r="C47" i="39"/>
  <c r="C48" i="39"/>
  <c r="F8" i="98"/>
  <c r="K56" i="95"/>
  <c r="E8" i="98" s="1"/>
  <c r="T19" i="89"/>
  <c r="V19" i="89" s="1"/>
  <c r="V18" i="89"/>
  <c r="D5" i="71"/>
  <c r="M20" i="43"/>
  <c r="E52" i="39"/>
  <c r="F52" i="39" s="1"/>
  <c r="E51" i="39"/>
  <c r="F51" i="39" s="1"/>
  <c r="X16" i="89" l="1"/>
  <c r="X17" i="89" s="1"/>
  <c r="V21" i="89"/>
  <c r="W15" i="89" s="1"/>
  <c r="X22" i="89" s="1"/>
  <c r="K57" i="95"/>
  <c r="B58" i="40"/>
  <c r="F58" i="40" s="1"/>
  <c r="B54" i="40"/>
  <c r="F54" i="40" s="1"/>
  <c r="B53" i="40"/>
  <c r="F53" i="40" s="1"/>
  <c r="B59" i="40"/>
  <c r="F59" i="40" s="1"/>
  <c r="B52" i="40"/>
  <c r="F52" i="40" s="1"/>
  <c r="B56" i="40"/>
  <c r="F56" i="40" s="1"/>
  <c r="B60" i="40"/>
  <c r="F60" i="40" s="1"/>
  <c r="B57" i="40"/>
  <c r="F57" i="40" s="1"/>
  <c r="B51" i="40"/>
  <c r="F51" i="40" s="1"/>
  <c r="F61" i="40"/>
  <c r="B2" i="40" s="1"/>
  <c r="B3" i="40" s="1"/>
  <c r="B56" i="39"/>
  <c r="F56" i="39" s="1"/>
  <c r="F65" i="39" s="1"/>
  <c r="B2" i="39" s="1"/>
  <c r="B3" i="39" s="1"/>
  <c r="B63" i="39"/>
  <c r="F63" i="39" s="1"/>
  <c r="B64" i="39"/>
  <c r="F64" i="39" s="1"/>
  <c r="B60" i="39"/>
  <c r="F60" i="39" s="1"/>
  <c r="B61" i="39"/>
  <c r="F61" i="39" s="1"/>
  <c r="B57" i="39"/>
  <c r="F57" i="39" s="1"/>
  <c r="B58" i="39"/>
  <c r="F58" i="39" s="1"/>
  <c r="B62" i="39"/>
  <c r="F62" i="39" s="1"/>
  <c r="B59" i="39"/>
  <c r="F59" i="39" s="1"/>
  <c r="E5" i="98"/>
  <c r="K58" i="95"/>
  <c r="N43" i="95"/>
  <c r="E6" i="98" l="1"/>
  <c r="F5" i="98"/>
  <c r="E7" i="98"/>
  <c r="N58" i="95"/>
  <c r="Y8" i="89"/>
  <c r="Y10" i="89" s="1"/>
  <c r="K60" i="95"/>
  <c r="F14" i="74" l="1"/>
  <c r="E14" i="74"/>
  <c r="B5" i="74"/>
  <c r="E10" i="98"/>
  <c r="F7" i="98"/>
  <c r="E12" i="98"/>
  <c r="F12" i="98" s="1"/>
  <c r="D5" i="74" l="1"/>
  <c r="C5" i="74"/>
  <c r="B52" i="72" l="1"/>
  <c r="G4" i="52"/>
  <c r="B47" i="72"/>
  <c r="D4" i="52"/>
  <c r="B21" i="72"/>
  <c r="D7" i="53"/>
  <c r="H102" i="9"/>
  <c r="P57" i="9"/>
  <c r="N58" i="9"/>
  <c r="B49" i="72"/>
  <c r="D5" i="52"/>
  <c r="D118" i="9"/>
  <c r="D119" i="9"/>
  <c r="C80" i="9"/>
  <c r="E80" i="9"/>
  <c r="E81" i="9"/>
  <c r="B20" i="72"/>
  <c r="C73" i="9"/>
  <c r="C78" i="9"/>
  <c r="B32" i="72"/>
  <c r="D14" i="53"/>
  <c r="B48" i="72"/>
  <c r="E118" i="9"/>
  <c r="E4" i="52"/>
  <c r="H5" i="52"/>
  <c r="H119" i="9"/>
  <c r="D9" i="52"/>
  <c r="D123" i="9"/>
  <c r="C68" i="9"/>
  <c r="D54" i="9"/>
  <c r="C64" i="9"/>
  <c r="C63" i="9"/>
  <c r="C67" i="9"/>
  <c r="D59" i="9"/>
  <c r="M55" i="9"/>
  <c r="D5" i="53"/>
  <c r="D6" i="53"/>
  <c r="B22" i="72"/>
  <c r="M48" i="9"/>
  <c r="C97" i="9"/>
  <c r="D58" i="9"/>
  <c r="D56" i="9"/>
  <c r="M54" i="9"/>
  <c r="C85" i="9"/>
  <c r="C95" i="9"/>
  <c r="C96" i="9"/>
  <c r="E96" i="9"/>
  <c r="E97" i="9"/>
  <c r="I4" i="52"/>
  <c r="C105" i="9"/>
  <c r="N60" i="9"/>
  <c r="D55" i="9"/>
  <c r="M53" i="9"/>
  <c r="N57" i="9"/>
  <c r="N59" i="9"/>
  <c r="N61" i="9"/>
  <c r="F119" i="9"/>
  <c r="F5" i="52"/>
  <c r="B53" i="72"/>
  <c r="C86" i="9"/>
  <c r="C93" i="9"/>
  <c r="G118" i="9"/>
  <c r="F118" i="9"/>
  <c r="F4" i="52"/>
  <c r="B51" i="72"/>
  <c r="C72" i="9"/>
  <c r="C79" i="9"/>
  <c r="C81" i="9"/>
  <c r="D52" i="9"/>
  <c r="D45" i="9"/>
  <c r="D53" i="9"/>
  <c r="D13" i="53"/>
  <c r="B30" i="72"/>
  <c r="C104" i="9"/>
  <c r="H4" i="52"/>
  <c r="D8" i="52"/>
  <c r="D122" i="9"/>
  <c r="G14" i="74"/>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A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A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郭蕾</author>
    <author>微软用户</author>
  </authors>
  <commentList>
    <comment ref="C5" authorId="0" shapeId="0" xr:uid="{00000000-0006-0000-0A00-000001000000}">
      <text>
        <r>
          <rPr>
            <b/>
            <sz val="9"/>
            <rFont val="宋体"/>
            <family val="3"/>
            <charset val="134"/>
          </rPr>
          <t>郭蕾</t>
        </r>
        <r>
          <rPr>
            <b/>
            <sz val="9"/>
            <rFont val="Tahoma"/>
            <family val="2"/>
          </rPr>
          <t>:</t>
        </r>
        <r>
          <rPr>
            <sz val="9"/>
            <rFont val="Tahoma"/>
            <family val="2"/>
          </rPr>
          <t xml:space="preserve">
2#</t>
        </r>
        <r>
          <rPr>
            <sz val="9"/>
            <rFont val="宋体"/>
            <family val="3"/>
            <charset val="134"/>
          </rPr>
          <t>楼二层</t>
        </r>
        <r>
          <rPr>
            <sz val="9"/>
            <rFont val="Tahoma"/>
            <family val="2"/>
          </rPr>
          <t>5</t>
        </r>
        <r>
          <rPr>
            <sz val="9"/>
            <rFont val="宋体"/>
            <family val="3"/>
            <charset val="134"/>
          </rPr>
          <t>号，一层</t>
        </r>
        <r>
          <rPr>
            <sz val="9"/>
            <rFont val="Tahoma"/>
            <family val="2"/>
          </rPr>
          <t>3</t>
        </r>
        <r>
          <rPr>
            <sz val="9"/>
            <rFont val="宋体"/>
            <family val="3"/>
            <charset val="134"/>
          </rPr>
          <t>号</t>
        </r>
      </text>
    </comment>
    <comment ref="C6" authorId="0" shapeId="0" xr:uid="{00000000-0006-0000-0A00-000002000000}">
      <text>
        <r>
          <rPr>
            <b/>
            <sz val="9"/>
            <rFont val="宋体"/>
            <family val="3"/>
            <charset val="134"/>
          </rPr>
          <t>郭蕾</t>
        </r>
        <r>
          <rPr>
            <b/>
            <sz val="9"/>
            <rFont val="Tahoma"/>
            <family val="2"/>
          </rPr>
          <t>:</t>
        </r>
        <r>
          <rPr>
            <sz val="9"/>
            <rFont val="Tahoma"/>
            <family val="2"/>
          </rPr>
          <t xml:space="preserve">
2#</t>
        </r>
        <r>
          <rPr>
            <sz val="9"/>
            <rFont val="宋体"/>
            <family val="3"/>
            <charset val="134"/>
          </rPr>
          <t>楼一层</t>
        </r>
        <r>
          <rPr>
            <sz val="9"/>
            <rFont val="Tahoma"/>
            <family val="2"/>
          </rPr>
          <t>5#</t>
        </r>
      </text>
    </comment>
    <comment ref="D38" authorId="0" shapeId="0" xr:uid="{00000000-0006-0000-0A00-000003000000}">
      <text>
        <r>
          <rPr>
            <b/>
            <sz val="9"/>
            <rFont val="宋体"/>
            <family val="3"/>
            <charset val="134"/>
          </rPr>
          <t>郭蕾</t>
        </r>
        <r>
          <rPr>
            <b/>
            <sz val="9"/>
            <rFont val="Tahoma"/>
            <family val="2"/>
          </rPr>
          <t>:</t>
        </r>
        <r>
          <rPr>
            <sz val="9"/>
            <rFont val="Tahoma"/>
            <family val="2"/>
          </rPr>
          <t xml:space="preserve">
53.08</t>
        </r>
      </text>
    </comment>
    <comment ref="H38" authorId="0" shapeId="0" xr:uid="{00000000-0006-0000-0A00-000004000000}">
      <text>
        <r>
          <rPr>
            <b/>
            <sz val="9"/>
            <rFont val="宋体"/>
            <family val="3"/>
            <charset val="134"/>
          </rPr>
          <t>郭蕾</t>
        </r>
        <r>
          <rPr>
            <b/>
            <sz val="9"/>
            <rFont val="Tahoma"/>
            <family val="2"/>
          </rPr>
          <t>:</t>
        </r>
        <r>
          <rPr>
            <sz val="9"/>
            <rFont val="Tahoma"/>
            <family val="2"/>
          </rPr>
          <t xml:space="preserve">
40.34</t>
        </r>
      </text>
    </comment>
    <comment ref="D39" authorId="0" shapeId="0" xr:uid="{00000000-0006-0000-0A00-000005000000}">
      <text>
        <r>
          <rPr>
            <b/>
            <sz val="9"/>
            <rFont val="宋体"/>
            <family val="3"/>
            <charset val="134"/>
          </rPr>
          <t>郭蕾</t>
        </r>
        <r>
          <rPr>
            <b/>
            <sz val="9"/>
            <rFont val="Tahoma"/>
            <family val="2"/>
          </rPr>
          <t>:</t>
        </r>
        <r>
          <rPr>
            <sz val="9"/>
            <rFont val="Tahoma"/>
            <family val="2"/>
          </rPr>
          <t xml:space="preserve">
21.84</t>
        </r>
      </text>
    </comment>
    <comment ref="H39" authorId="0" shapeId="0" xr:uid="{00000000-0006-0000-0A00-000006000000}">
      <text>
        <r>
          <rPr>
            <b/>
            <sz val="9"/>
            <rFont val="宋体"/>
            <family val="3"/>
            <charset val="134"/>
          </rPr>
          <t>郭蕾</t>
        </r>
        <r>
          <rPr>
            <b/>
            <sz val="9"/>
            <rFont val="Tahoma"/>
            <family val="2"/>
          </rPr>
          <t>:</t>
        </r>
        <r>
          <rPr>
            <sz val="9"/>
            <rFont val="Tahoma"/>
            <family val="2"/>
          </rPr>
          <t xml:space="preserve">
16.6</t>
        </r>
      </text>
    </comment>
    <comment ref="D42" authorId="0" shapeId="0" xr:uid="{00000000-0006-0000-0A00-000007000000}">
      <text>
        <r>
          <rPr>
            <b/>
            <sz val="9"/>
            <rFont val="宋体"/>
            <family val="3"/>
            <charset val="134"/>
          </rPr>
          <t>郭蕾</t>
        </r>
        <r>
          <rPr>
            <b/>
            <sz val="9"/>
            <rFont val="Tahoma"/>
            <family val="2"/>
          </rPr>
          <t>:</t>
        </r>
        <r>
          <rPr>
            <sz val="9"/>
            <rFont val="Tahoma"/>
            <family val="2"/>
          </rPr>
          <t xml:space="preserve">
96.07</t>
        </r>
      </text>
    </comment>
    <comment ref="H42" authorId="0" shapeId="0" xr:uid="{00000000-0006-0000-0A00-000008000000}">
      <text>
        <r>
          <rPr>
            <b/>
            <sz val="9"/>
            <rFont val="宋体"/>
            <family val="3"/>
            <charset val="134"/>
          </rPr>
          <t>郭蕾</t>
        </r>
        <r>
          <rPr>
            <b/>
            <sz val="9"/>
            <rFont val="Tahoma"/>
            <family val="2"/>
          </rPr>
          <t>:</t>
        </r>
        <r>
          <rPr>
            <sz val="9"/>
            <rFont val="Tahoma"/>
            <family val="2"/>
          </rPr>
          <t xml:space="preserve">
73.01</t>
        </r>
      </text>
    </comment>
    <comment ref="D46" authorId="0" shapeId="0" xr:uid="{00000000-0006-0000-0A00-000009000000}">
      <text>
        <r>
          <rPr>
            <b/>
            <sz val="9"/>
            <rFont val="宋体"/>
            <family val="3"/>
            <charset val="134"/>
          </rPr>
          <t>郭蕾</t>
        </r>
        <r>
          <rPr>
            <b/>
            <sz val="9"/>
            <rFont val="Tahoma"/>
            <family val="2"/>
          </rPr>
          <t>:</t>
        </r>
        <r>
          <rPr>
            <sz val="9"/>
            <rFont val="Tahoma"/>
            <family val="2"/>
          </rPr>
          <t xml:space="preserve">
115.04</t>
        </r>
      </text>
    </comment>
    <comment ref="H46" authorId="0" shapeId="0" xr:uid="{00000000-0006-0000-0A00-00000A000000}">
      <text>
        <r>
          <rPr>
            <b/>
            <sz val="9"/>
            <rFont val="宋体"/>
            <family val="3"/>
            <charset val="134"/>
          </rPr>
          <t>郭蕾</t>
        </r>
        <r>
          <rPr>
            <b/>
            <sz val="9"/>
            <rFont val="Tahoma"/>
            <family val="2"/>
          </rPr>
          <t>:</t>
        </r>
        <r>
          <rPr>
            <sz val="9"/>
            <rFont val="Tahoma"/>
            <family val="2"/>
          </rPr>
          <t xml:space="preserve">
87.43</t>
        </r>
      </text>
    </comment>
    <comment ref="D47" authorId="1" shapeId="0" xr:uid="{00000000-0006-0000-0A00-00000B000000}">
      <text>
        <r>
          <rPr>
            <b/>
            <sz val="9"/>
            <rFont val="宋体"/>
            <family val="3"/>
            <charset val="134"/>
          </rPr>
          <t>微软用户</t>
        </r>
        <r>
          <rPr>
            <b/>
            <sz val="9"/>
            <rFont val="Tahoma"/>
            <family val="2"/>
          </rPr>
          <t>:</t>
        </r>
        <r>
          <rPr>
            <sz val="9"/>
            <rFont val="Tahoma"/>
            <family val="2"/>
          </rPr>
          <t xml:space="preserve">
143</t>
        </r>
      </text>
    </comment>
    <comment ref="H47" authorId="1" shapeId="0" xr:uid="{00000000-0006-0000-0A00-00000C000000}">
      <text>
        <r>
          <rPr>
            <b/>
            <sz val="9"/>
            <rFont val="宋体"/>
            <family val="3"/>
            <charset val="134"/>
          </rPr>
          <t>微软用户</t>
        </r>
        <r>
          <rPr>
            <b/>
            <sz val="9"/>
            <rFont val="Tahoma"/>
            <family val="2"/>
          </rPr>
          <t>:</t>
        </r>
        <r>
          <rPr>
            <sz val="9"/>
            <rFont val="Tahoma"/>
            <family val="2"/>
          </rPr>
          <t xml:space="preserve">
109</t>
        </r>
      </text>
    </comment>
    <comment ref="D48" authorId="0" shapeId="0" xr:uid="{00000000-0006-0000-0A00-00000D000000}">
      <text>
        <r>
          <rPr>
            <b/>
            <sz val="9"/>
            <rFont val="宋体"/>
            <family val="3"/>
            <charset val="134"/>
          </rPr>
          <t>郭蕾</t>
        </r>
        <r>
          <rPr>
            <b/>
            <sz val="9"/>
            <rFont val="Tahoma"/>
            <family val="2"/>
          </rPr>
          <t>:</t>
        </r>
        <r>
          <rPr>
            <sz val="9"/>
            <rFont val="Tahoma"/>
            <family val="2"/>
          </rPr>
          <t xml:space="preserve">
129.63</t>
        </r>
      </text>
    </comment>
    <comment ref="H48" authorId="0" shapeId="0" xr:uid="{00000000-0006-0000-0A00-00000E000000}">
      <text>
        <r>
          <rPr>
            <b/>
            <sz val="9"/>
            <rFont val="宋体"/>
            <family val="3"/>
            <charset val="134"/>
          </rPr>
          <t>郭蕾</t>
        </r>
        <r>
          <rPr>
            <b/>
            <sz val="9"/>
            <rFont val="Tahoma"/>
            <family val="2"/>
          </rPr>
          <t>:</t>
        </r>
        <r>
          <rPr>
            <sz val="9"/>
            <rFont val="Tahoma"/>
            <family val="2"/>
          </rPr>
          <t xml:space="preserve">
98.52</t>
        </r>
      </text>
    </comment>
    <comment ref="D51" authorId="0" shapeId="0" xr:uid="{00000000-0006-0000-0A00-00000F000000}">
      <text>
        <r>
          <rPr>
            <b/>
            <sz val="9"/>
            <rFont val="宋体"/>
            <family val="3"/>
            <charset val="134"/>
          </rPr>
          <t>郭蕾</t>
        </r>
        <r>
          <rPr>
            <b/>
            <sz val="9"/>
            <rFont val="Tahoma"/>
            <family val="2"/>
          </rPr>
          <t>:</t>
        </r>
        <r>
          <rPr>
            <sz val="9"/>
            <rFont val="Tahoma"/>
            <family val="2"/>
          </rPr>
          <t xml:space="preserve">
54.75</t>
        </r>
      </text>
    </comment>
    <comment ref="H51" authorId="0" shapeId="0" xr:uid="{00000000-0006-0000-0A00-000010000000}">
      <text>
        <r>
          <rPr>
            <b/>
            <sz val="9"/>
            <rFont val="宋体"/>
            <family val="3"/>
            <charset val="134"/>
          </rPr>
          <t>郭蕾</t>
        </r>
        <r>
          <rPr>
            <b/>
            <sz val="9"/>
            <rFont val="Tahoma"/>
            <family val="2"/>
          </rPr>
          <t>:</t>
        </r>
        <r>
          <rPr>
            <sz val="9"/>
            <rFont val="Tahoma"/>
            <family val="2"/>
          </rPr>
          <t xml:space="preserve">
41.61</t>
        </r>
      </text>
    </comment>
    <comment ref="D53" authorId="0" shapeId="0" xr:uid="{00000000-0006-0000-0A00-000011000000}">
      <text>
        <r>
          <rPr>
            <b/>
            <sz val="9"/>
            <rFont val="宋体"/>
            <family val="3"/>
            <charset val="134"/>
          </rPr>
          <t>郭蕾</t>
        </r>
        <r>
          <rPr>
            <b/>
            <sz val="9"/>
            <rFont val="Tahoma"/>
            <family val="2"/>
          </rPr>
          <t>:</t>
        </r>
        <r>
          <rPr>
            <sz val="9"/>
            <rFont val="Tahoma"/>
            <family val="2"/>
          </rPr>
          <t xml:space="preserve">
30.76</t>
        </r>
      </text>
    </comment>
    <comment ref="H53" authorId="0" shapeId="0" xr:uid="{00000000-0006-0000-0A00-000012000000}">
      <text>
        <r>
          <rPr>
            <b/>
            <sz val="9"/>
            <rFont val="宋体"/>
            <family val="3"/>
            <charset val="134"/>
          </rPr>
          <t>郭蕾</t>
        </r>
        <r>
          <rPr>
            <b/>
            <sz val="9"/>
            <rFont val="Tahoma"/>
            <family val="2"/>
          </rPr>
          <t>:</t>
        </r>
        <r>
          <rPr>
            <sz val="9"/>
            <rFont val="Tahoma"/>
            <family val="2"/>
          </rPr>
          <t xml:space="preserve">
23.38</t>
        </r>
      </text>
    </comment>
    <comment ref="D64" authorId="0" shapeId="0" xr:uid="{00000000-0006-0000-0A00-000013000000}">
      <text>
        <r>
          <rPr>
            <b/>
            <sz val="9"/>
            <rFont val="宋体"/>
            <family val="3"/>
            <charset val="134"/>
          </rPr>
          <t>郭蕾</t>
        </r>
        <r>
          <rPr>
            <b/>
            <sz val="9"/>
            <rFont val="Tahoma"/>
            <family val="2"/>
          </rPr>
          <t>:</t>
        </r>
        <r>
          <rPr>
            <sz val="9"/>
            <rFont val="Tahoma"/>
            <family val="2"/>
          </rPr>
          <t xml:space="preserve">
161.84</t>
        </r>
      </text>
    </comment>
    <comment ref="H64" authorId="0" shapeId="0" xr:uid="{00000000-0006-0000-0A00-000014000000}">
      <text>
        <r>
          <rPr>
            <b/>
            <sz val="9"/>
            <rFont val="宋体"/>
            <family val="3"/>
            <charset val="134"/>
          </rPr>
          <t>郭蕾</t>
        </r>
        <r>
          <rPr>
            <b/>
            <sz val="9"/>
            <rFont val="Tahoma"/>
            <family val="2"/>
          </rPr>
          <t>:</t>
        </r>
        <r>
          <rPr>
            <sz val="9"/>
            <rFont val="Tahoma"/>
            <family val="2"/>
          </rPr>
          <t xml:space="preserve">
123</t>
        </r>
      </text>
    </comment>
    <comment ref="D65" authorId="0" shapeId="0" xr:uid="{00000000-0006-0000-0A00-000015000000}">
      <text>
        <r>
          <rPr>
            <b/>
            <sz val="9"/>
            <rFont val="宋体"/>
            <family val="3"/>
            <charset val="134"/>
          </rPr>
          <t>郭蕾</t>
        </r>
        <r>
          <rPr>
            <b/>
            <sz val="9"/>
            <rFont val="Tahoma"/>
            <family val="2"/>
          </rPr>
          <t>:</t>
        </r>
        <r>
          <rPr>
            <sz val="9"/>
            <rFont val="Tahoma"/>
            <family val="2"/>
          </rPr>
          <t xml:space="preserve">
86.84</t>
        </r>
      </text>
    </comment>
    <comment ref="H65" authorId="0" shapeId="0" xr:uid="{00000000-0006-0000-0A00-000016000000}">
      <text>
        <r>
          <rPr>
            <b/>
            <sz val="9"/>
            <rFont val="宋体"/>
            <family val="3"/>
            <charset val="134"/>
          </rPr>
          <t>郭蕾</t>
        </r>
        <r>
          <rPr>
            <b/>
            <sz val="9"/>
            <rFont val="Tahoma"/>
            <family val="2"/>
          </rPr>
          <t>:</t>
        </r>
        <r>
          <rPr>
            <sz val="9"/>
            <rFont val="Tahoma"/>
            <family val="2"/>
          </rPr>
          <t xml:space="preserve">
66</t>
        </r>
      </text>
    </comment>
    <comment ref="D68" authorId="1" shapeId="0" xr:uid="{00000000-0006-0000-0A00-000017000000}">
      <text>
        <r>
          <rPr>
            <b/>
            <sz val="9"/>
            <rFont val="宋体"/>
            <family val="3"/>
            <charset val="134"/>
          </rPr>
          <t>微软用户</t>
        </r>
        <r>
          <rPr>
            <b/>
            <sz val="9"/>
            <rFont val="Tahoma"/>
            <family val="2"/>
          </rPr>
          <t>:</t>
        </r>
        <r>
          <rPr>
            <sz val="9"/>
            <rFont val="Tahoma"/>
            <family val="2"/>
          </rPr>
          <t xml:space="preserve">
135.53</t>
        </r>
      </text>
    </comment>
    <comment ref="H68" authorId="1" shapeId="0" xr:uid="{00000000-0006-0000-0A00-000018000000}">
      <text>
        <r>
          <rPr>
            <b/>
            <sz val="9"/>
            <rFont val="宋体"/>
            <family val="3"/>
            <charset val="134"/>
          </rPr>
          <t>微软用户</t>
        </r>
        <r>
          <rPr>
            <b/>
            <sz val="9"/>
            <rFont val="Tahoma"/>
            <family val="2"/>
          </rPr>
          <t>:</t>
        </r>
        <r>
          <rPr>
            <sz val="9"/>
            <rFont val="Tahoma"/>
            <family val="2"/>
          </rPr>
          <t xml:space="preserve">
103</t>
        </r>
      </text>
    </comment>
    <comment ref="D75" authorId="0" shapeId="0" xr:uid="{00000000-0006-0000-0A00-000019000000}">
      <text>
        <r>
          <rPr>
            <b/>
            <sz val="9"/>
            <rFont val="宋体"/>
            <family val="3"/>
            <charset val="134"/>
          </rPr>
          <t>郭蕾</t>
        </r>
        <r>
          <rPr>
            <b/>
            <sz val="9"/>
            <rFont val="Tahoma"/>
            <family val="2"/>
          </rPr>
          <t>:</t>
        </r>
        <r>
          <rPr>
            <sz val="9"/>
            <rFont val="Tahoma"/>
            <family val="2"/>
          </rPr>
          <t xml:space="preserve">
196.66</t>
        </r>
      </text>
    </comment>
    <comment ref="D76" authorId="0" shapeId="0" xr:uid="{00000000-0006-0000-0A00-00001A000000}">
      <text>
        <r>
          <rPr>
            <b/>
            <sz val="9"/>
            <rFont val="宋体"/>
            <family val="3"/>
            <charset val="134"/>
          </rPr>
          <t>郭蕾</t>
        </r>
        <r>
          <rPr>
            <b/>
            <sz val="9"/>
            <rFont val="Tahoma"/>
            <family val="2"/>
          </rPr>
          <t>:</t>
        </r>
        <r>
          <rPr>
            <sz val="9"/>
            <rFont val="Tahoma"/>
            <family val="2"/>
          </rPr>
          <t xml:space="preserve">
193.27</t>
        </r>
      </text>
    </comment>
    <comment ref="D80" authorId="0" shapeId="0" xr:uid="{00000000-0006-0000-0A00-00001B000000}">
      <text>
        <r>
          <rPr>
            <b/>
            <sz val="9"/>
            <rFont val="宋体"/>
            <family val="3"/>
            <charset val="134"/>
          </rPr>
          <t>郭蕾</t>
        </r>
        <r>
          <rPr>
            <b/>
            <sz val="9"/>
            <rFont val="Tahoma"/>
            <family val="2"/>
          </rPr>
          <t>:</t>
        </r>
        <r>
          <rPr>
            <sz val="9"/>
            <rFont val="Tahoma"/>
            <family val="2"/>
          </rPr>
          <t xml:space="preserve">
146.81
</t>
        </r>
      </text>
    </comment>
    <comment ref="D85" authorId="0" shapeId="0" xr:uid="{00000000-0006-0000-0A00-00001C000000}">
      <text>
        <r>
          <rPr>
            <b/>
            <sz val="9"/>
            <rFont val="宋体"/>
            <family val="3"/>
            <charset val="134"/>
          </rPr>
          <t>郭蕾</t>
        </r>
        <r>
          <rPr>
            <b/>
            <sz val="9"/>
            <rFont val="Tahoma"/>
            <family val="2"/>
          </rPr>
          <t>:</t>
        </r>
        <r>
          <rPr>
            <sz val="9"/>
            <rFont val="Tahoma"/>
            <family val="2"/>
          </rPr>
          <t xml:space="preserve">
267.11</t>
        </r>
      </text>
    </comment>
    <comment ref="H85" authorId="0" shapeId="0" xr:uid="{00000000-0006-0000-0A00-00001D000000}">
      <text>
        <r>
          <rPr>
            <b/>
            <sz val="9"/>
            <rFont val="宋体"/>
            <family val="3"/>
            <charset val="134"/>
          </rPr>
          <t>郭蕾</t>
        </r>
        <r>
          <rPr>
            <b/>
            <sz val="9"/>
            <rFont val="Tahoma"/>
            <family val="2"/>
          </rPr>
          <t>:</t>
        </r>
        <r>
          <rPr>
            <sz val="9"/>
            <rFont val="Tahoma"/>
            <family val="2"/>
          </rPr>
          <t xml:space="preserve">
203</t>
        </r>
      </text>
    </comment>
    <comment ref="D86" authorId="0" shapeId="0" xr:uid="{00000000-0006-0000-0A00-00001E000000}">
      <text>
        <r>
          <rPr>
            <b/>
            <sz val="9"/>
            <rFont val="宋体"/>
            <family val="3"/>
            <charset val="134"/>
          </rPr>
          <t>郭蕾</t>
        </r>
        <r>
          <rPr>
            <b/>
            <sz val="9"/>
            <rFont val="Tahoma"/>
            <family val="2"/>
          </rPr>
          <t>:</t>
        </r>
        <r>
          <rPr>
            <sz val="9"/>
            <rFont val="Tahoma"/>
            <family val="2"/>
          </rPr>
          <t xml:space="preserve">
73.55</t>
        </r>
      </text>
    </comment>
    <comment ref="H86" authorId="0" shapeId="0" xr:uid="{00000000-0006-0000-0A00-00001F000000}">
      <text>
        <r>
          <rPr>
            <b/>
            <sz val="9"/>
            <rFont val="宋体"/>
            <family val="3"/>
            <charset val="134"/>
          </rPr>
          <t>郭蕾</t>
        </r>
        <r>
          <rPr>
            <b/>
            <sz val="9"/>
            <rFont val="Tahoma"/>
            <family val="2"/>
          </rPr>
          <t>:</t>
        </r>
        <r>
          <rPr>
            <sz val="9"/>
            <rFont val="Tahoma"/>
            <family val="2"/>
          </rPr>
          <t xml:space="preserve">
55.9</t>
        </r>
      </text>
    </comment>
    <comment ref="D87" authorId="0" shapeId="0" xr:uid="{00000000-0006-0000-0A00-000020000000}">
      <text>
        <r>
          <rPr>
            <b/>
            <sz val="9"/>
            <rFont val="宋体"/>
            <family val="3"/>
            <charset val="134"/>
          </rPr>
          <t>郭蕾</t>
        </r>
        <r>
          <rPr>
            <b/>
            <sz val="9"/>
            <rFont val="Tahoma"/>
            <family val="2"/>
          </rPr>
          <t>:</t>
        </r>
        <r>
          <rPr>
            <sz val="9"/>
            <rFont val="Tahoma"/>
            <family val="2"/>
          </rPr>
          <t xml:space="preserve">
76.05</t>
        </r>
      </text>
    </comment>
    <comment ref="H87" authorId="0" shapeId="0" xr:uid="{00000000-0006-0000-0A00-000021000000}">
      <text>
        <r>
          <rPr>
            <b/>
            <sz val="9"/>
            <rFont val="宋体"/>
            <family val="3"/>
            <charset val="134"/>
          </rPr>
          <t>郭蕾</t>
        </r>
        <r>
          <rPr>
            <b/>
            <sz val="9"/>
            <rFont val="Tahoma"/>
            <family val="2"/>
          </rPr>
          <t>:</t>
        </r>
        <r>
          <rPr>
            <sz val="9"/>
            <rFont val="Tahoma"/>
            <family val="2"/>
          </rPr>
          <t xml:space="preserve">
57.80</t>
        </r>
      </text>
    </comment>
    <comment ref="D88" authorId="0" shapeId="0" xr:uid="{00000000-0006-0000-0A00-000022000000}">
      <text>
        <r>
          <rPr>
            <b/>
            <sz val="9"/>
            <rFont val="宋体"/>
            <family val="3"/>
            <charset val="134"/>
          </rPr>
          <t>郭蕾</t>
        </r>
        <r>
          <rPr>
            <b/>
            <sz val="9"/>
            <rFont val="Tahoma"/>
            <family val="2"/>
          </rPr>
          <t>:</t>
        </r>
        <r>
          <rPr>
            <sz val="9"/>
            <rFont val="Tahoma"/>
            <family val="2"/>
          </rPr>
          <t xml:space="preserve">
78.03</t>
        </r>
      </text>
    </comment>
    <comment ref="H88" authorId="0" shapeId="0" xr:uid="{00000000-0006-0000-0A00-000023000000}">
      <text>
        <r>
          <rPr>
            <b/>
            <sz val="9"/>
            <rFont val="宋体"/>
            <family val="3"/>
            <charset val="134"/>
          </rPr>
          <t>郭蕾</t>
        </r>
        <r>
          <rPr>
            <b/>
            <sz val="9"/>
            <rFont val="Tahoma"/>
            <family val="2"/>
          </rPr>
          <t>:</t>
        </r>
        <r>
          <rPr>
            <sz val="9"/>
            <rFont val="Tahoma"/>
            <family val="2"/>
          </rPr>
          <t xml:space="preserve">
59.30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B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D17" authorId="2" shapeId="0" xr:uid="{00000000-0006-0000-2C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C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C00-000005000000}">
      <text>
        <r>
          <rPr>
            <sz val="9"/>
            <color indexed="81"/>
            <rFont val="宋体"/>
            <family val="3"/>
            <charset val="134"/>
          </rPr>
          <t xml:space="preserve">需在此处填写剩余土地年限
</t>
        </r>
      </text>
    </comment>
    <comment ref="C99" authorId="0" shapeId="0" xr:uid="{00000000-0006-0000-2C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C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C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C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C00-000012000000}">
      <text>
        <r>
          <rPr>
            <b/>
            <sz val="9"/>
            <color indexed="81"/>
            <rFont val="宋体"/>
            <family val="3"/>
            <charset val="134"/>
          </rPr>
          <t xml:space="preserve">容积率
</t>
        </r>
      </text>
    </comment>
    <comment ref="D101" authorId="0" shapeId="0" xr:uid="{00000000-0006-0000-2C00-000013000000}">
      <text>
        <r>
          <rPr>
            <b/>
            <sz val="9"/>
            <color indexed="81"/>
            <rFont val="宋体"/>
            <family val="3"/>
            <charset val="134"/>
          </rPr>
          <t xml:space="preserve">容积率
</t>
        </r>
      </text>
    </comment>
    <comment ref="E101" authorId="0" shapeId="0" xr:uid="{00000000-0006-0000-2C00-000014000000}">
      <text>
        <r>
          <rPr>
            <b/>
            <sz val="9"/>
            <color indexed="81"/>
            <rFont val="宋体"/>
            <family val="3"/>
            <charset val="134"/>
          </rPr>
          <t xml:space="preserve">容积率
</t>
        </r>
      </text>
    </comment>
    <comment ref="F101" authorId="0" shapeId="0" xr:uid="{00000000-0006-0000-2C00-000015000000}">
      <text>
        <r>
          <rPr>
            <b/>
            <sz val="9"/>
            <color indexed="81"/>
            <rFont val="宋体"/>
            <family val="3"/>
            <charset val="134"/>
          </rPr>
          <t xml:space="preserve">容积率
</t>
        </r>
      </text>
    </comment>
    <comment ref="G101" authorId="0" shapeId="0" xr:uid="{00000000-0006-0000-2C00-000016000000}">
      <text>
        <r>
          <rPr>
            <b/>
            <sz val="9"/>
            <color indexed="81"/>
            <rFont val="宋体"/>
            <family val="3"/>
            <charset val="134"/>
          </rPr>
          <t xml:space="preserve">容积率
</t>
        </r>
      </text>
    </comment>
    <comment ref="H101" authorId="0" shapeId="0" xr:uid="{00000000-0006-0000-2C00-000017000000}">
      <text>
        <r>
          <rPr>
            <b/>
            <sz val="9"/>
            <color indexed="81"/>
            <rFont val="宋体"/>
            <family val="3"/>
            <charset val="134"/>
          </rPr>
          <t xml:space="preserve">容积率
</t>
        </r>
      </text>
    </comment>
    <comment ref="I101" authorId="0" shapeId="0" xr:uid="{00000000-0006-0000-2C00-000018000000}">
      <text>
        <r>
          <rPr>
            <b/>
            <sz val="9"/>
            <color indexed="81"/>
            <rFont val="宋体"/>
            <family val="3"/>
            <charset val="134"/>
          </rPr>
          <t xml:space="preserve">容积率
</t>
        </r>
      </text>
    </comment>
    <comment ref="J101" authorId="0" shapeId="0" xr:uid="{00000000-0006-0000-2C00-000019000000}">
      <text>
        <r>
          <rPr>
            <b/>
            <sz val="9"/>
            <color indexed="81"/>
            <rFont val="宋体"/>
            <family val="3"/>
            <charset val="134"/>
          </rPr>
          <t xml:space="preserve">容积率
</t>
        </r>
      </text>
    </comment>
    <comment ref="K101" authorId="0" shapeId="0" xr:uid="{00000000-0006-0000-2C00-00001A000000}">
      <text>
        <r>
          <rPr>
            <b/>
            <sz val="9"/>
            <color indexed="81"/>
            <rFont val="宋体"/>
            <family val="3"/>
            <charset val="134"/>
          </rPr>
          <t xml:space="preserve">容积率
</t>
        </r>
      </text>
    </comment>
    <comment ref="L101" authorId="0" shapeId="0" xr:uid="{00000000-0006-0000-2C00-00001B000000}">
      <text>
        <r>
          <rPr>
            <b/>
            <sz val="9"/>
            <color indexed="81"/>
            <rFont val="宋体"/>
            <family val="3"/>
            <charset val="134"/>
          </rPr>
          <t xml:space="preserve">容积率
</t>
        </r>
      </text>
    </comment>
    <comment ref="M101" authorId="0" shapeId="0" xr:uid="{00000000-0006-0000-2C00-00001C000000}">
      <text>
        <r>
          <rPr>
            <b/>
            <sz val="9"/>
            <color indexed="81"/>
            <rFont val="宋体"/>
            <family val="3"/>
            <charset val="134"/>
          </rPr>
          <t xml:space="preserve">容积率
</t>
        </r>
      </text>
    </comment>
    <comment ref="N101" authorId="0" shapeId="0" xr:uid="{00000000-0006-0000-2C00-00001D000000}">
      <text>
        <r>
          <rPr>
            <b/>
            <sz val="9"/>
            <color indexed="81"/>
            <rFont val="宋体"/>
            <family val="3"/>
            <charset val="134"/>
          </rPr>
          <t xml:space="preserve">容积率
</t>
        </r>
      </text>
    </comment>
    <comment ref="C108" authorId="0" shapeId="0" xr:uid="{00000000-0006-0000-2C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C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C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C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C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C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C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C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C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C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C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C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C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3500-000001000000}">
      <text>
        <r>
          <rPr>
            <sz val="12"/>
            <color indexed="81"/>
            <rFont val="宋体"/>
            <family val="3"/>
            <charset val="134"/>
          </rPr>
          <t xml:space="preserve">指区域居住用地比例、居住小区规模和社区发展完善程度
</t>
        </r>
      </text>
    </comment>
    <comment ref="F3" authorId="0" shapeId="0" xr:uid="{00000000-0006-0000-3500-000002000000}">
      <text>
        <r>
          <rPr>
            <sz val="12"/>
            <color indexed="81"/>
            <rFont val="宋体"/>
            <family val="3"/>
            <charset val="134"/>
          </rPr>
          <t xml:space="preserve">也指工业区成熟度，工业区性质、相关产业的配套及集聚状况
</t>
        </r>
      </text>
    </comment>
    <comment ref="B4" authorId="0" shapeId="0" xr:uid="{00000000-0006-0000-35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35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35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35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3500-000007000000}">
      <text>
        <r>
          <rPr>
            <sz val="12"/>
            <color indexed="81"/>
            <rFont val="宋体"/>
            <family val="3"/>
            <charset val="134"/>
          </rPr>
          <t>主要指污染排放状况及治理状况、距离危险设施或污染源的临近程度、自然条件等</t>
        </r>
      </text>
    </comment>
    <comment ref="B9" authorId="0" shapeId="0" xr:uid="{00000000-0006-0000-35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R4" authorId="0" shapeId="0" xr:uid="{00000000-0006-0000-0C00-000001000000}">
      <text>
        <r>
          <rPr>
            <b/>
            <sz val="11"/>
            <color indexed="81"/>
            <rFont val="ＭＳ Ｐゴシック"/>
            <family val="2"/>
            <charset val="128"/>
          </rPr>
          <t>诗霖:</t>
        </r>
        <r>
          <rPr>
            <sz val="11"/>
            <color indexed="81"/>
            <rFont val="ＭＳ Ｐゴシック"/>
            <family val="2"/>
            <charset val="128"/>
          </rPr>
          <t xml:space="preserve">
主要为2层</t>
        </r>
      </text>
    </comment>
    <comment ref="Q15" authorId="0" shapeId="0" xr:uid="{00000000-0006-0000-0C00-000002000000}">
      <text>
        <r>
          <rPr>
            <b/>
            <sz val="11"/>
            <color indexed="81"/>
            <rFont val="ＭＳ Ｐゴシック"/>
            <family val="2"/>
            <charset val="128"/>
          </rPr>
          <t>诗霖:</t>
        </r>
        <r>
          <rPr>
            <sz val="11"/>
            <color indexed="81"/>
            <rFont val="ＭＳ Ｐゴシック"/>
            <family val="2"/>
            <charset val="128"/>
          </rPr>
          <t xml:space="preserve">
临街一层租金</t>
        </r>
      </text>
    </comment>
    <comment ref="F16" authorId="0" shapeId="0" xr:uid="{00000000-0006-0000-0C00-000003000000}">
      <text>
        <r>
          <rPr>
            <b/>
            <sz val="11"/>
            <color indexed="81"/>
            <rFont val="ＭＳ Ｐゴシック"/>
            <family val="2"/>
            <charset val="128"/>
          </rPr>
          <t>诗霖:部分改为楼梯</t>
        </r>
      </text>
    </comment>
    <comment ref="P17" authorId="0" shapeId="0" xr:uid="{00000000-0006-0000-0C00-000004000000}">
      <text>
        <r>
          <rPr>
            <b/>
            <sz val="11"/>
            <color indexed="81"/>
            <rFont val="ＭＳ Ｐゴシック"/>
            <family val="2"/>
            <charset val="128"/>
          </rPr>
          <t>诗霖:</t>
        </r>
        <r>
          <rPr>
            <sz val="11"/>
            <color indexed="81"/>
            <rFont val="ＭＳ Ｐゴシック"/>
            <family val="2"/>
            <charset val="128"/>
          </rPr>
          <t xml:space="preserve">
主要为2层办公使用</t>
        </r>
      </text>
    </comment>
    <comment ref="P18" authorId="0" shapeId="0" xr:uid="{00000000-0006-0000-0C00-000005000000}">
      <text>
        <r>
          <rPr>
            <b/>
            <sz val="11"/>
            <color indexed="81"/>
            <rFont val="ＭＳ Ｐゴシック"/>
            <family val="2"/>
            <charset val="128"/>
          </rPr>
          <t>诗霖:</t>
        </r>
        <r>
          <rPr>
            <sz val="11"/>
            <color indexed="81"/>
            <rFont val="ＭＳ Ｐゴシック"/>
            <family val="2"/>
            <charset val="128"/>
          </rPr>
          <t xml:space="preserve">
1-2层面积基本对应</t>
        </r>
      </text>
    </comment>
    <comment ref="H48" authorId="0" shapeId="0" xr:uid="{00000000-0006-0000-0C00-000006000000}">
      <text>
        <r>
          <rPr>
            <b/>
            <sz val="11"/>
            <color indexed="81"/>
            <rFont val="ＭＳ Ｐゴシック"/>
            <family val="2"/>
            <charset val="128"/>
          </rPr>
          <t>诗霖:最长租期</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5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5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5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7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7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7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17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700-000005000000}">
      <text>
        <r>
          <rPr>
            <sz val="12"/>
            <color indexed="81"/>
            <rFont val="宋体"/>
            <family val="3"/>
            <charset val="134"/>
          </rPr>
          <t xml:space="preserve">名称在右侧单元格录入
</t>
        </r>
      </text>
    </comment>
    <comment ref="B16" authorId="0" shapeId="0" xr:uid="{00000000-0006-0000-17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7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700-000008000000}">
      <text>
        <r>
          <rPr>
            <sz val="12"/>
            <color indexed="81"/>
            <rFont val="宋体"/>
            <family val="3"/>
            <charset val="134"/>
          </rPr>
          <t xml:space="preserve">有相同面积依据时，仅在土地面积依据处录入。
</t>
        </r>
      </text>
    </comment>
    <comment ref="C28" authorId="1" shapeId="0" xr:uid="{00000000-0006-0000-1700-000009000000}">
      <text>
        <r>
          <rPr>
            <sz val="11"/>
            <color indexed="81"/>
            <rFont val="楷体_GB2312"/>
            <family val="3"/>
            <charset val="134"/>
          </rPr>
          <t>其他特殊项请在右侧录入</t>
        </r>
      </text>
    </comment>
    <comment ref="C30" authorId="1" shapeId="0" xr:uid="{00000000-0006-0000-17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700-00000B000000}">
      <text>
        <r>
          <rPr>
            <sz val="11"/>
            <color indexed="81"/>
            <rFont val="宋体"/>
            <family val="3"/>
            <charset val="134"/>
          </rPr>
          <t xml:space="preserve">工程停工、土地闲置、年久失修等
</t>
        </r>
      </text>
    </comment>
    <comment ref="E32" authorId="1" shapeId="0" xr:uid="{00000000-0006-0000-1700-00000C000000}">
      <text>
        <r>
          <rPr>
            <sz val="11"/>
            <color indexed="81"/>
            <rFont val="宋体"/>
            <family val="3"/>
            <charset val="134"/>
          </rPr>
          <t xml:space="preserve">工程停工、土地闲置、年久失修等
</t>
        </r>
      </text>
    </comment>
    <comment ref="E33" authorId="1" shapeId="0" xr:uid="{00000000-0006-0000-1700-00000D000000}">
      <text>
        <r>
          <rPr>
            <sz val="11"/>
            <color indexed="81"/>
            <rFont val="宋体"/>
            <family val="3"/>
            <charset val="134"/>
          </rPr>
          <t xml:space="preserve">工程停工、土地闲置、年久失修等
</t>
        </r>
      </text>
    </comment>
    <comment ref="K42" authorId="1" shapeId="0" xr:uid="{00000000-0006-0000-17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7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7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7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7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7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7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7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7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7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7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8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8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9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9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9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9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9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9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9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<sst xmlns="http://schemas.openxmlformats.org/spreadsheetml/2006/main" count="22680" uniqueCount="5702">
  <si>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</si>
  <si>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</si>
  <si>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</si>
  <si>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</si>
  <si>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</si>
  <si>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</si>
  <si>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</si>
  <si>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</si>
  <si>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</si>
  <si>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</si>
  <si>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</si>
  <si>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</si>
  <si>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</si>
  <si>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</si>
  <si>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</si>
  <si>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</si>
  <si>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</si>
  <si>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</si>
  <si>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</si>
  <si>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</si>
  <si>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</si>
  <si>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</si>
  <si>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</si>
  <si>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</si>
  <si>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</si>
  <si>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</si>
  <si>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</si>
  <si>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</si>
  <si>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</si>
  <si>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</si>
  <si>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</si>
  <si>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</si>
  <si>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</si>
  <si>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</si>
  <si>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</si>
  <si>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</si>
  <si>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</si>
  <si>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</si>
  <si>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</si>
  <si>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</si>
  <si>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</si>
  <si>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</si>
  <si>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</si>
  <si>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</si>
  <si>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</si>
  <si>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</si>
  <si>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</si>
  <si>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</si>
  <si>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</si>
  <si>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</si>
  <si>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</si>
  <si>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</si>
  <si>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</si>
  <si>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</si>
  <si>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</si>
  <si>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</si>
  <si>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</si>
  <si>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</si>
  <si>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</si>
  <si>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</si>
  <si>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</si>
  <si>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</si>
  <si>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</si>
  <si>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</si>
  <si>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</si>
  <si>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</si>
  <si>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</si>
  <si>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</si>
  <si>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</si>
  <si>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</si>
  <si>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</si>
  <si>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</si>
  <si>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</si>
  <si>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</si>
  <si>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</si>
  <si>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</si>
  <si>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</si>
  <si>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</si>
  <si>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</si>
  <si>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</si>
  <si>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</si>
  <si>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</si>
  <si>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</si>
  <si>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</si>
  <si>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</si>
  <si>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</si>
  <si>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</si>
  <si>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</si>
  <si>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</si>
  <si>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</si>
  <si>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</si>
  <si>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</si>
  <si>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</si>
  <si>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</si>
  <si>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</si>
  <si>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</si>
  <si>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</si>
  <si>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</si>
  <si>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</si>
  <si>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</si>
  <si>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</si>
  <si>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</si>
  <si>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</si>
  <si>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</si>
  <si>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</si>
  <si>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</si>
  <si>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</si>
  <si>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</si>
  <si>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</si>
  <si>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</si>
  <si>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</si>
  <si>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</si>
  <si>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</si>
  <si>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</si>
  <si>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</si>
  <si>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</si>
  <si>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</si>
  <si>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</si>
  <si>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</si>
  <si>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</si>
  <si>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</si>
  <si>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</si>
  <si>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</si>
  <si>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</si>
  <si>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</si>
  <si>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</si>
  <si>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</si>
  <si>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</si>
  <si>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</si>
  <si>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</si>
  <si>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</si>
  <si>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</si>
  <si>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</si>
  <si>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</si>
  <si>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</si>
  <si>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</si>
  <si>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</si>
  <si>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</si>
  <si>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</si>
  <si>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</si>
  <si>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</si>
  <si>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</si>
  <si>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</si>
  <si>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</si>
  <si>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</si>
  <si>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</si>
  <si>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</si>
  <si>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</si>
  <si>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</si>
  <si>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</si>
  <si>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</si>
  <si>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</si>
  <si>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</si>
  <si>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</si>
  <si>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</si>
  <si>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</si>
  <si>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</si>
  <si>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</si>
  <si>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</si>
  <si>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</si>
  <si>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</si>
  <si>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</si>
  <si>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</si>
  <si>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</si>
  <si>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</si>
  <si>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</si>
  <si>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</si>
  <si>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</si>
  <si>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</si>
  <si>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</si>
  <si>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</si>
  <si>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</si>
  <si>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</si>
  <si>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</si>
  <si>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</si>
  <si>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</si>
  <si>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</si>
  <si>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</si>
  <si>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</si>
  <si>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</si>
  <si>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</si>
  <si>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</si>
  <si>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</si>
  <si>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</si>
  <si>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</si>
  <si>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</si>
  <si>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</si>
  <si>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</si>
  <si>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</si>
  <si>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</si>
  <si>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</si>
  <si>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</si>
  <si>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</si>
  <si>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</si>
  <si>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</si>
  <si>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</si>
  <si>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</si>
  <si>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</si>
  <si>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</si>
  <si>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</si>
  <si>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</si>
  <si>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</si>
  <si>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</si>
  <si>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</si>
  <si>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</si>
  <si>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</si>
  <si>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</si>
  <si>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</si>
  <si>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</si>
  <si>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</si>
  <si>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</si>
  <si>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</si>
  <si>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</si>
  <si>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</si>
  <si>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</si>
  <si>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</si>
  <si>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</si>
  <si>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</si>
  <si>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</si>
  <si>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</si>
  <si>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</si>
  <si>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</si>
  <si>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</si>
  <si>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</si>
  <si>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</si>
  <si>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</si>
  <si>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</si>
  <si>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</si>
  <si>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</si>
  <si>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</si>
  <si>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</si>
  <si>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</si>
  <si>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</si>
  <si>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</si>
  <si>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</si>
  <si>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</si>
  <si>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</si>
  <si>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</si>
  <si>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</si>
  <si>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</si>
  <si>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</si>
  <si>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</si>
  <si>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</si>
  <si>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</si>
  <si>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</si>
  <si>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</si>
  <si>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</si>
  <si>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</si>
  <si>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</si>
  <si>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</si>
  <si>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</si>
  <si>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</si>
  <si>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</si>
  <si>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</si>
  <si>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</si>
  <si>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</si>
  <si>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</si>
  <si>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</si>
  <si>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</si>
  <si>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</si>
  <si>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</si>
  <si>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</si>
  <si>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</si>
  <si>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</si>
  <si>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</si>
  <si>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</si>
  <si>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</si>
  <si>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</si>
  <si>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</si>
  <si>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</si>
  <si>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</si>
  <si>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</si>
  <si>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</si>
  <si>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</si>
  <si>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</si>
  <si>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</si>
  <si>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</si>
  <si>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</si>
  <si>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</si>
  <si>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</si>
  <si>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</si>
  <si>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</si>
  <si>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</si>
  <si>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</si>
  <si>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</si>
  <si>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</si>
  <si>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</si>
  <si>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</si>
  <si>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</si>
  <si>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</si>
  <si>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</si>
  <si>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</si>
  <si>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</si>
  <si>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</si>
  <si>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</si>
  <si>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</si>
  <si>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</si>
  <si>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</si>
  <si>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</si>
  <si>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</si>
  <si>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</si>
  <si>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</si>
  <si>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</si>
  <si>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</si>
  <si>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</si>
  <si>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</si>
  <si>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</si>
  <si>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</si>
  <si>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</si>
  <si>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</si>
  <si>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</si>
  <si>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</si>
  <si>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</si>
  <si>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</si>
  <si>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</si>
  <si>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</si>
  <si>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</si>
  <si>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</si>
  <si>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</si>
  <si>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</si>
  <si>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</si>
  <si>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</si>
  <si>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</si>
  <si>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</si>
  <si>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</si>
  <si>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</si>
  <si>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</si>
  <si>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</si>
  <si>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</si>
  <si>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</si>
  <si>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</si>
  <si>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</si>
  <si>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</si>
  <si>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</si>
  <si>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</si>
  <si>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</si>
  <si>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</si>
  <si>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</si>
  <si>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</si>
  <si>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</si>
  <si>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</si>
  <si>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</si>
  <si>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</si>
  <si>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</si>
  <si>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</si>
  <si>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</si>
  <si>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</si>
  <si>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</si>
  <si>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</si>
  <si>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</si>
  <si>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</si>
  <si>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</si>
  <si>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</si>
  <si>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</si>
  <si>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</si>
  <si>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</si>
  <si>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</si>
  <si>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</si>
  <si>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</si>
  <si>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</si>
  <si>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</si>
  <si>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</si>
  <si>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</si>
  <si>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</si>
  <si>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</si>
  <si>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</si>
  <si>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</si>
  <si>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</si>
  <si>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</si>
  <si>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</si>
  <si>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</si>
  <si>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</si>
  <si>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</si>
  <si>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</si>
  <si>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</si>
  <si>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</si>
  <si>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</si>
  <si>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</si>
  <si>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</si>
  <si>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</si>
  <si>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</si>
  <si>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</si>
  <si>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</si>
  <si>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</si>
  <si>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</si>
  <si>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</si>
  <si>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</si>
  <si>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</si>
  <si>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</si>
  <si>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</si>
  <si>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</si>
  <si>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</si>
  <si>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</si>
  <si>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</si>
  <si>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</si>
  <si>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</si>
  <si>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</si>
  <si>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</si>
  <si>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</si>
  <si>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</si>
  <si>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</si>
  <si>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</si>
  <si>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</si>
  <si>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</si>
  <si>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</si>
  <si>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</si>
  <si>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</si>
  <si>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</si>
  <si>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</si>
  <si>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</si>
  <si>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</si>
  <si>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</si>
  <si>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</si>
  <si>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</si>
  <si>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</si>
  <si>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</si>
  <si>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</si>
  <si>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</si>
  <si>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</si>
  <si>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</si>
  <si>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</si>
  <si>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</si>
  <si>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</si>
  <si>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</si>
  <si>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</si>
  <si>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</si>
  <si>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</si>
  <si>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</si>
  <si>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</si>
  <si>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</si>
  <si>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</si>
  <si>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</si>
  <si>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</si>
  <si>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</si>
  <si>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</si>
  <si>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</si>
  <si>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</si>
  <si>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</si>
  <si>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</si>
  <si>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</si>
  <si>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</si>
  <si>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</si>
  <si>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</si>
  <si>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</si>
  <si>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</si>
  <si>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</si>
  <si>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</si>
  <si>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</si>
  <si>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</si>
  <si>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</si>
  <si>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</si>
  <si>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</si>
  <si>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</si>
  <si>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</si>
  <si>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</si>
  <si>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</si>
  <si>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</si>
  <si>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</si>
  <si>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</si>
  <si>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</si>
  <si>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</si>
  <si>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</si>
  <si>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</si>
  <si>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</si>
  <si>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</si>
  <si>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</si>
  <si>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</si>
  <si>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</si>
  <si>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</si>
  <si>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</si>
  <si>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</si>
  <si>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</si>
  <si>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</si>
  <si>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</si>
  <si>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</si>
  <si>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</si>
  <si>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</si>
  <si>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</si>
  <si>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</si>
  <si>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</si>
  <si>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</si>
  <si>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</si>
  <si>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</si>
  <si>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</si>
  <si>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</si>
  <si>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</si>
  <si>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</si>
  <si>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</si>
  <si>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</si>
  <si>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</si>
  <si>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</si>
  <si>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</si>
  <si>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</si>
  <si>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</si>
  <si>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</si>
  <si>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</si>
  <si>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</si>
  <si>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</si>
  <si>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</si>
  <si>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</si>
  <si>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</si>
  <si>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</si>
  <si>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</si>
  <si>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</si>
  <si>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</si>
  <si>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</si>
  <si>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</si>
  <si>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</si>
  <si>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</si>
  <si>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</si>
  <si>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</si>
  <si>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</si>
  <si>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</si>
  <si>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</si>
  <si>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</si>
  <si>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</si>
  <si>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</si>
  <si>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</si>
  <si>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</si>
  <si>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</si>
  <si>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</si>
  <si>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</si>
  <si>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</si>
  <si>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</si>
  <si>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</si>
  <si>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</si>
  <si>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</si>
  <si>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</si>
  <si>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</si>
  <si>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</si>
  <si>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</si>
  <si>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</si>
  <si>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</si>
  <si>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</si>
  <si>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</si>
  <si>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</si>
  <si>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</si>
  <si>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</si>
  <si>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</si>
  <si>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</si>
  <si>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</si>
  <si>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</si>
  <si>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</si>
  <si>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</si>
  <si>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</si>
  <si>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</si>
  <si>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</si>
  <si>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</si>
  <si>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</si>
  <si>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</si>
  <si>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</si>
  <si>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</si>
  <si>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</si>
  <si>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</si>
  <si>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</si>
  <si>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</si>
  <si>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</si>
  <si>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</si>
  <si>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</si>
  <si>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</si>
  <si>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</si>
  <si>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</si>
  <si>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</si>
  <si>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</si>
  <si>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</si>
  <si>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</si>
  <si>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</si>
  <si>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</si>
  <si>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</si>
  <si>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</si>
  <si>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</si>
  <si>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</si>
  <si>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</si>
  <si>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</si>
  <si>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</si>
  <si>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</si>
  <si>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</si>
  <si>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</si>
  <si>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</si>
  <si>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</si>
  <si>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</si>
  <si>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</si>
  <si>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</si>
  <si>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</si>
  <si>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</si>
  <si>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</si>
  <si>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</si>
  <si>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</si>
  <si>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</si>
  <si>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</si>
  <si>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</si>
  <si>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</si>
  <si>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</si>
  <si>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</si>
  <si>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</si>
  <si>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</si>
  <si>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</si>
  <si>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</si>
  <si>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</si>
  <si>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</si>
  <si>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</si>
  <si>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</si>
  <si>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</si>
  <si>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</si>
  <si>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</si>
  <si>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</si>
  <si>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</si>
  <si>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</si>
  <si>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</si>
  <si>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</si>
  <si>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</si>
  <si>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</si>
  <si>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</si>
  <si>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</si>
  <si>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</si>
  <si>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</si>
  <si>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</si>
  <si>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</si>
  <si>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</si>
  <si>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</si>
  <si>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</si>
  <si>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</si>
  <si>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</si>
  <si>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</si>
  <si>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</si>
  <si>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</si>
  <si>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</si>
  <si>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</si>
  <si>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</si>
  <si>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</si>
  <si>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</si>
  <si>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</si>
  <si>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</si>
  <si>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</si>
  <si>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</si>
  <si>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</si>
  <si>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</si>
  <si>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</si>
  <si>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</si>
  <si>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</si>
  <si>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</si>
  <si>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</si>
  <si>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</si>
  <si>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</si>
  <si>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</si>
  <si>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</si>
  <si>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</si>
  <si>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</si>
  <si>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</si>
  <si>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</si>
  <si>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</si>
  <si>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</si>
  <si>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</si>
  <si>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</si>
  <si>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</si>
  <si>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</si>
  <si>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</si>
  <si>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</si>
  <si>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</si>
  <si>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</si>
  <si>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</si>
  <si>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</si>
  <si>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</si>
  <si>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</si>
  <si>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</si>
  <si>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</si>
  <si>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</si>
  <si>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</si>
  <si>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</si>
  <si>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</si>
  <si>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</si>
  <si>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</si>
  <si>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</si>
  <si>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</si>
  <si>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</si>
  <si>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</si>
  <si>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</si>
  <si>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</si>
  <si>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</si>
  <si>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</si>
  <si>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</si>
  <si>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</si>
  <si>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</si>
  <si>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</si>
  <si>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</si>
  <si>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</si>
  <si>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</si>
  <si>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</si>
  <si>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</si>
  <si>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</si>
  <si>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</si>
  <si>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</si>
  <si>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</si>
  <si>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</si>
  <si>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</si>
  <si>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</si>
  <si>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</si>
  <si>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</si>
  <si>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</si>
  <si>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</si>
  <si>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</si>
  <si>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</si>
  <si>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</si>
  <si>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</si>
  <si>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</si>
  <si>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</si>
  <si>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</si>
  <si>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</si>
  <si>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</si>
  <si>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</si>
  <si>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</si>
  <si>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</si>
  <si>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</si>
  <si>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</si>
  <si>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</si>
  <si>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</si>
  <si>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</si>
  <si>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</si>
  <si>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</si>
  <si>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</si>
  <si>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</si>
  <si>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</si>
  <si>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</si>
  <si>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</si>
  <si>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</si>
  <si>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</si>
  <si>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</si>
  <si>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</si>
  <si>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</si>
  <si>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</si>
  <si>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</si>
  <si>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</si>
  <si>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</si>
  <si>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</si>
  <si>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</si>
  <si>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</si>
  <si>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</si>
  <si>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</si>
  <si>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</si>
  <si>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</si>
  <si>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</si>
  <si>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</si>
  <si>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</si>
  <si>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</si>
  <si>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</si>
  <si>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</si>
  <si>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</si>
  <si>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</si>
  <si>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</si>
  <si>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</si>
  <si>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</si>
  <si>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</si>
  <si>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</si>
  <si>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</si>
  <si>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</si>
  <si>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</si>
  <si>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</si>
  <si>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</si>
  <si>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</si>
  <si>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</si>
  <si>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</si>
  <si>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</si>
  <si>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</si>
  <si>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</si>
  <si>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</si>
  <si>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</si>
  <si>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</si>
  <si>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</si>
  <si>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</si>
  <si>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</si>
  <si>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</si>
  <si>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</si>
  <si>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</si>
  <si>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</si>
  <si>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</si>
  <si>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</si>
  <si>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</si>
  <si>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</si>
  <si>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</si>
  <si>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</si>
  <si>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</si>
  <si>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</si>
  <si>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</si>
  <si>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</si>
  <si>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</si>
  <si>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</si>
  <si>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</si>
  <si>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</si>
  <si>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</si>
  <si>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</si>
  <si>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</si>
  <si>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</si>
  <si>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</si>
  <si>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</si>
  <si>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</si>
  <si>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</si>
  <si>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</si>
  <si>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</si>
  <si>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</si>
  <si>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</si>
  <si>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</si>
  <si>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</si>
  <si>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</si>
  <si>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</si>
  <si>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</si>
  <si>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</si>
  <si>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</si>
  <si>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</si>
  <si>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</si>
  <si>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</si>
  <si>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</si>
  <si>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</si>
  <si>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</si>
  <si>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</si>
  <si>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</si>
  <si>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</si>
  <si>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</si>
  <si>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</si>
  <si>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</si>
  <si>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</si>
  <si>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</si>
  <si>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</si>
  <si>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</si>
  <si>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</si>
  <si>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</si>
  <si>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</si>
  <si>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</si>
  <si>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</si>
  <si>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</si>
  <si>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</si>
  <si>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</si>
  <si>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</si>
  <si>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</si>
  <si>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</si>
  <si>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</si>
  <si>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</si>
  <si>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</si>
  <si>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</si>
  <si>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</si>
  <si>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</si>
  <si>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</si>
  <si>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</si>
  <si>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</si>
  <si>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</si>
  <si>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</si>
  <si>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</si>
  <si>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</si>
  <si>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</si>
  <si>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</si>
  <si>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</si>
  <si>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</si>
  <si>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</si>
  <si>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</si>
  <si>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</si>
  <si>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</si>
  <si>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</si>
  <si>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</si>
  <si>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</si>
  <si>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</si>
  <si>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</si>
  <si>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</si>
  <si>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</si>
  <si>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</si>
  <si>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</si>
  <si>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</si>
  <si>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</si>
  <si>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</si>
  <si>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</si>
  <si>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</si>
  <si>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</si>
  <si>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</si>
  <si>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</si>
  <si>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</si>
  <si>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</si>
  <si>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</si>
  <si>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</si>
  <si>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</si>
  <si>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</si>
  <si>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</si>
  <si>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</si>
  <si>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</si>
  <si>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</si>
  <si>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</si>
  <si>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</si>
  <si>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</si>
  <si>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</si>
  <si>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</si>
  <si>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</si>
  <si>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</si>
  <si>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</si>
  <si>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</si>
  <si>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</si>
  <si>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</si>
  <si>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</si>
  <si>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</si>
  <si>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</si>
  <si>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</si>
  <si>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</si>
  <si>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</si>
  <si>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</si>
  <si>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</si>
  <si>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</si>
  <si>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</si>
  <si>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</si>
  <si>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</si>
  <si>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</si>
  <si>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</si>
  <si>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</si>
  <si>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</si>
  <si>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</si>
  <si>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</si>
  <si>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</si>
  <si>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</si>
  <si>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</si>
  <si>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</si>
  <si>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</si>
  <si>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</si>
  <si>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</si>
  <si>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</si>
  <si>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</si>
  <si>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</si>
  <si>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</si>
  <si>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</si>
  <si>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</si>
  <si>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</si>
  <si>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</si>
  <si>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</si>
  <si>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</si>
  <si>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</si>
  <si>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</si>
  <si>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</si>
  <si>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</si>
  <si>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</si>
  <si>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</si>
  <si>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</si>
  <si>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</si>
  <si>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</si>
  <si>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</si>
  <si>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</si>
  <si>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</si>
  <si>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</si>
  <si>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</si>
  <si>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</si>
  <si>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</si>
  <si>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</si>
  <si>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</si>
  <si>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</si>
  <si>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</si>
  <si>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</si>
  <si>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</si>
  <si>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</si>
  <si>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</si>
  <si>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</si>
  <si>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</si>
  <si>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</si>
  <si>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</si>
  <si>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</si>
  <si>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</si>
  <si>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</si>
  <si>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</si>
  <si>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</si>
  <si>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</si>
  <si>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</si>
  <si>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</si>
  <si>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</si>
  <si>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</si>
  <si>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</si>
  <si>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</si>
  <si>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</si>
  <si>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</si>
  <si>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</si>
  <si>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</si>
  <si>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</si>
  <si>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</si>
  <si>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</si>
  <si>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</si>
  <si>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</si>
  <si>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</si>
  <si>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</si>
  <si>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</si>
  <si>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</si>
  <si>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</si>
  <si>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</si>
  <si>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</si>
  <si>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</si>
  <si>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</si>
  <si>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</si>
  <si>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</si>
  <si>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</si>
  <si>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</si>
  <si>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</si>
  <si>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</si>
  <si>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</si>
  <si>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</si>
  <si>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</si>
  <si>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</si>
  <si>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</si>
  <si>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</si>
  <si>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</si>
  <si>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</si>
  <si>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</si>
  <si>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</si>
  <si>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</si>
  <si>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</si>
  <si>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</si>
  <si>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</si>
  <si>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</si>
  <si>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</si>
  <si>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</si>
  <si>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</si>
  <si>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</si>
  <si>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</si>
  <si>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</si>
  <si>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</si>
  <si>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</si>
  <si>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</si>
  <si>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</si>
  <si>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</si>
  <si>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</si>
  <si>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</si>
  <si>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</si>
  <si>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</si>
  <si>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</si>
  <si>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</si>
  <si>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</si>
  <si>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</si>
  <si>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</si>
  <si>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</si>
  <si>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</si>
  <si>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</si>
  <si>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</si>
  <si>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</si>
  <si>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</si>
  <si>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</si>
  <si>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</si>
  <si>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</si>
  <si>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</si>
  <si>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</si>
  <si>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</si>
  <si>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</si>
  <si>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</si>
  <si>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</si>
  <si>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</si>
  <si>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</si>
  <si>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</si>
  <si>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</si>
  <si>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</si>
  <si>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</si>
  <si>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</si>
  <si>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</si>
  <si>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</si>
  <si>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</si>
  <si>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</si>
  <si>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</si>
  <si>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</si>
  <si>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</si>
  <si>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</si>
  <si>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</si>
  <si>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</si>
  <si>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</si>
  <si>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</si>
  <si>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</si>
  <si>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</si>
  <si>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</si>
  <si>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</si>
  <si>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</si>
  <si>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</si>
  <si>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</si>
  <si>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</si>
  <si>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</si>
  <si>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</si>
  <si>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</si>
  <si>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</si>
  <si>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</si>
  <si>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</si>
  <si>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</si>
  <si>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</si>
  <si>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</si>
  <si>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</si>
  <si>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</si>
  <si>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</si>
  <si>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</si>
  <si>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</si>
  <si>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</si>
  <si>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</si>
  <si>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</si>
  <si>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</si>
  <si>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</si>
  <si>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</si>
  <si>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</si>
  <si>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</si>
  <si>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</si>
  <si>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</si>
  <si>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</si>
  <si>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</si>
  <si>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</si>
  <si>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</si>
  <si>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</si>
  <si>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</si>
  <si>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</si>
  <si>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</si>
  <si>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</si>
  <si>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</si>
  <si>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</si>
  <si>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</si>
  <si>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</si>
  <si>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</si>
  <si>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</si>
  <si>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</si>
  <si>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</si>
  <si>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</si>
  <si>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</si>
  <si>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</si>
  <si>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</si>
  <si>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</si>
  <si>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</si>
  <si>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</si>
  <si>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</si>
  <si>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</si>
  <si>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</si>
  <si>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</si>
  <si>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</si>
  <si>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</si>
  <si>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</si>
  <si>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</si>
  <si>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</si>
  <si>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</si>
  <si>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</si>
  <si>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</si>
  <si>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</si>
  <si>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</si>
  <si>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</si>
  <si>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</si>
  <si>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</si>
  <si>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</si>
  <si>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</si>
  <si>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</si>
  <si>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</si>
  <si>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</si>
  <si>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</si>
  <si>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</si>
  <si>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</si>
  <si>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</si>
  <si>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</si>
  <si>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</si>
  <si>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</si>
  <si>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</si>
  <si>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</si>
  <si>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</si>
  <si>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</si>
  <si>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</si>
  <si>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</si>
  <si>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</si>
  <si>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</si>
  <si>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</si>
  <si>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</si>
  <si>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</si>
  <si>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</si>
  <si>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</si>
  <si>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</si>
  <si>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</si>
  <si>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</si>
  <si>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</si>
  <si>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</si>
  <si>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</si>
  <si>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</si>
  <si>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</si>
  <si>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</si>
  <si>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</si>
  <si>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</si>
  <si>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</si>
  <si>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</si>
  <si>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</si>
  <si>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</si>
  <si>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</si>
  <si>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</si>
  <si>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</si>
  <si>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</si>
  <si>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</si>
  <si>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</si>
  <si>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</si>
  <si>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</si>
  <si>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</si>
  <si>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</si>
  <si>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</si>
  <si>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</si>
  <si>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</si>
  <si>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</si>
  <si>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</si>
  <si>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</si>
  <si>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</si>
  <si>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</si>
  <si>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</si>
  <si>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</si>
  <si>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</si>
  <si>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</si>
  <si>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</si>
  <si>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</si>
  <si>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</si>
  <si>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</si>
  <si>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</si>
  <si>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</si>
  <si>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</si>
  <si>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</si>
  <si>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</si>
  <si>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</si>
  <si>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</si>
  <si>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</si>
  <si>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</si>
  <si>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</si>
  <si>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</si>
  <si>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</si>
  <si>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</si>
  <si>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</si>
  <si>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</si>
  <si>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</si>
  <si>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</si>
  <si>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</si>
  <si>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</si>
  <si>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</si>
  <si>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</si>
  <si>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</si>
  <si>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</si>
  <si>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</si>
  <si>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</si>
  <si>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</si>
  <si>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</si>
  <si>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</si>
  <si>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</si>
  <si>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</si>
  <si>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</si>
  <si>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</si>
  <si>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</si>
  <si>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</si>
  <si>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</si>
  <si>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</si>
  <si>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</si>
  <si>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</si>
  <si>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</si>
  <si>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</si>
  <si>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</si>
  <si>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</si>
  <si>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</si>
  <si>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</si>
  <si>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</si>
  <si>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</si>
  <si>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</si>
  <si>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</si>
  <si>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</si>
  <si>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</si>
  <si>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</si>
  <si>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</si>
  <si>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</si>
  <si>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</si>
  <si>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</si>
  <si>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</si>
  <si>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</si>
  <si>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</si>
  <si>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</si>
  <si>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</si>
  <si>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</si>
  <si>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</si>
  <si>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</si>
  <si>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</si>
  <si>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</si>
  <si>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</si>
  <si>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</si>
  <si>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</si>
  <si>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</si>
  <si>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</si>
  <si>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</si>
  <si>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</si>
  <si>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</si>
  <si>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</si>
  <si>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</si>
  <si>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</si>
  <si>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</si>
  <si>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</si>
  <si>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</si>
  <si>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</si>
  <si>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</si>
  <si>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</si>
  <si>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</si>
  <si>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</si>
  <si>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</si>
  <si>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</si>
  <si>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</si>
  <si>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</si>
  <si>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</si>
  <si>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</si>
  <si>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</si>
  <si>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</si>
  <si>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</si>
  <si>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</si>
  <si>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</si>
  <si>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</si>
  <si>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</si>
  <si>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</si>
  <si>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</si>
  <si>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</si>
  <si>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</si>
  <si>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</si>
  <si>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</si>
  <si>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</si>
  <si>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</si>
  <si>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</si>
  <si>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</si>
  <si>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</si>
  <si>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</si>
  <si>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</si>
  <si>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</si>
  <si>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</si>
  <si>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</si>
  <si>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</si>
  <si>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</si>
  <si>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</si>
  <si>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</si>
  <si>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</si>
  <si>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</si>
  <si>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</si>
  <si>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</si>
  <si>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</si>
  <si>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</si>
  <si>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</si>
  <si>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</si>
  <si>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</si>
  <si>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</si>
  <si>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</si>
  <si>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</si>
  <si>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</si>
  <si>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</si>
  <si>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</si>
  <si>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</si>
  <si>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</si>
  <si>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</si>
  <si>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</si>
  <si>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</si>
  <si>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</si>
  <si>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</si>
  <si>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</si>
  <si>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</si>
  <si>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</si>
  <si>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</si>
  <si>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</si>
  <si>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</si>
  <si>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</si>
  <si>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</si>
  <si>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</si>
  <si>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</si>
  <si>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</si>
  <si>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</si>
  <si>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</si>
  <si>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</si>
  <si>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</si>
  <si>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</si>
  <si>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</si>
  <si>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</si>
  <si>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</si>
  <si>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</si>
  <si>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</si>
  <si>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</si>
  <si>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</si>
  <si>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</si>
  <si>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</si>
  <si>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</si>
  <si>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</si>
  <si>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</si>
  <si>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</si>
  <si>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</si>
  <si>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</si>
  <si>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</si>
  <si>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</si>
  <si>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</si>
  <si>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</si>
  <si>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</si>
  <si>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</si>
  <si>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</si>
  <si>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</si>
  <si>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</si>
  <si>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</si>
  <si>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</si>
  <si>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</si>
  <si>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</si>
  <si>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</si>
  <si>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</si>
  <si>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</si>
  <si>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</si>
  <si>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</si>
  <si>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</si>
  <si>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</si>
  <si>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</si>
  <si>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</si>
  <si>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</si>
  <si>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</si>
  <si>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</si>
  <si>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</si>
  <si>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</si>
  <si>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</si>
  <si>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</si>
  <si>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</si>
  <si>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</si>
  <si>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</si>
  <si>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</si>
  <si>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</si>
  <si>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</si>
  <si>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</si>
  <si>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</si>
  <si>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</si>
  <si>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</si>
  <si>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</si>
  <si>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</si>
  <si>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</si>
  <si>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</si>
  <si>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</si>
  <si>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</si>
  <si>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</si>
  <si>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</si>
  <si>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</si>
  <si>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</si>
  <si>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</si>
  <si>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</si>
  <si>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</si>
  <si>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</si>
  <si>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</si>
  <si>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</si>
  <si>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</si>
  <si>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</si>
  <si>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</si>
  <si>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</si>
  <si>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</si>
  <si>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</si>
  <si>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</si>
  <si>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</si>
  <si>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</si>
  <si>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</si>
  <si>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</si>
  <si>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</si>
  <si>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</si>
  <si>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</si>
  <si>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</si>
  <si>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</si>
  <si>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</si>
  <si>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</si>
  <si>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</si>
  <si>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</si>
  <si>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</si>
  <si>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</si>
  <si>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</si>
  <si>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</si>
  <si>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</si>
  <si>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</si>
  <si>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</si>
  <si>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</si>
  <si>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</si>
  <si>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</si>
  <si>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</si>
  <si>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</si>
  <si>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</si>
  <si>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</si>
  <si>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</si>
  <si>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</si>
  <si>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</si>
  <si>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</si>
  <si>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</si>
  <si>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</si>
  <si>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</si>
  <si>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</si>
  <si>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</si>
  <si>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</si>
  <si>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</si>
  <si>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</si>
  <si>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</si>
  <si>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</si>
  <si>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</si>
  <si>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</si>
  <si>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</si>
  <si>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</si>
  <si>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</si>
  <si>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</si>
  <si>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</si>
  <si>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</si>
  <si>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</si>
  <si>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</si>
  <si>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</si>
  <si>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</si>
  <si>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</si>
  <si>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</si>
  <si>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</si>
  <si>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</si>
  <si>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</si>
  <si>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</si>
  <si>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</si>
  <si>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</si>
  <si>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</si>
  <si>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</si>
  <si>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</si>
  <si>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</si>
  <si>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</si>
  <si>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</si>
  <si>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</si>
  <si>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</si>
  <si>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</si>
  <si>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</si>
  <si>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</si>
  <si>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</si>
  <si>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</si>
  <si>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</si>
  <si>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</si>
  <si>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</si>
  <si>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</si>
  <si>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</si>
  <si>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</si>
  <si>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</si>
  <si>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</si>
  <si>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</si>
  <si>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</si>
  <si>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</si>
  <si>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</si>
  <si>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</si>
  <si>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</si>
  <si>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</si>
  <si>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</si>
  <si>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</si>
  <si>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</si>
  <si>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</si>
  <si>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</si>
  <si>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</si>
  <si>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</si>
  <si>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</si>
  <si>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</si>
  <si>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</si>
  <si>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</si>
  <si>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</si>
  <si>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</si>
  <si>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</si>
  <si>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</si>
  <si>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</si>
  <si>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</si>
  <si>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</si>
  <si>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</si>
  <si>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</si>
  <si>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</si>
  <si>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</si>
  <si>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</si>
  <si>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</si>
  <si>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</si>
  <si>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</si>
  <si>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</si>
  <si>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</si>
  <si>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</si>
  <si>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</si>
  <si>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</si>
  <si>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</si>
  <si>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</si>
  <si>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</si>
  <si>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</si>
  <si>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</si>
  <si>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</si>
  <si>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</si>
  <si>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</si>
  <si>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</si>
  <si>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</si>
  <si>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</si>
  <si>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</si>
  <si>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</si>
  <si>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</si>
  <si>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</si>
  <si>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</si>
  <si>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</si>
  <si>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</si>
  <si>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</si>
  <si>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</si>
  <si>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</si>
  <si>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</si>
  <si>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</si>
  <si>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</si>
  <si>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</si>
  <si>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</si>
  <si>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</si>
  <si>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</si>
  <si>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</si>
  <si>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</si>
  <si>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</si>
  <si>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</si>
  <si>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</si>
  <si>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</si>
  <si>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</si>
  <si>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</si>
  <si>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</si>
  <si>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</si>
  <si>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</si>
  <si>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</si>
  <si>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</si>
  <si>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</si>
  <si>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</si>
  <si>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</si>
  <si>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</si>
  <si>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</si>
  <si>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</si>
  <si>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</si>
  <si>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</si>
  <si>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</si>
  <si>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</si>
  <si>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</si>
  <si>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</si>
  <si>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</si>
  <si>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</si>
  <si>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</si>
  <si>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</si>
  <si>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</si>
  <si>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</si>
  <si>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</si>
  <si>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</si>
  <si>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</si>
  <si>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</si>
  <si>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</si>
  <si>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</si>
  <si>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</si>
  <si>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</si>
  <si>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</si>
  <si>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</si>
  <si>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</si>
  <si>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</si>
  <si>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</si>
  <si>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</si>
  <si>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</si>
  <si>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</si>
  <si>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</si>
  <si>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</si>
  <si>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</si>
  <si>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</si>
  <si>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</si>
  <si>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</si>
  <si>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</si>
  <si>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</si>
  <si>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</si>
  <si>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</si>
  <si>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</si>
  <si>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</si>
  <si>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</si>
  <si>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</si>
  <si>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</si>
  <si>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</si>
  <si>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</si>
  <si>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</si>
  <si>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</si>
  <si>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</si>
  <si>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</si>
  <si>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</si>
  <si>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</si>
  <si>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</si>
  <si>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</si>
  <si>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</si>
  <si>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</si>
  <si>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</si>
  <si>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</si>
  <si>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</si>
  <si>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</si>
  <si>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</si>
  <si>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</si>
  <si>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</si>
  <si>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</si>
  <si>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</si>
  <si>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</si>
  <si>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</si>
  <si>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</si>
  <si>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</si>
  <si>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</si>
  <si>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</si>
  <si>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</si>
  <si>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</si>
  <si>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</si>
  <si>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</si>
  <si>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</si>
  <si>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</si>
  <si>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</si>
  <si>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</si>
  <si>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</si>
  <si>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</si>
  <si>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</si>
  <si>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</si>
  <si>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</si>
  <si>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</si>
  <si>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</si>
  <si>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</si>
  <si>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</si>
  <si>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</si>
  <si>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</si>
  <si>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</si>
  <si>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</si>
  <si>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</si>
  <si>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</si>
  <si>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</si>
  <si>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</si>
  <si>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</si>
  <si>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</si>
  <si>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</si>
  <si>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</si>
  <si>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</si>
  <si>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</si>
  <si>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</si>
  <si>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</si>
  <si>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</si>
  <si>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</si>
  <si>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</si>
  <si>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</si>
  <si>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</si>
  <si>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</si>
  <si>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</si>
  <si>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</si>
  <si>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</si>
  <si>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</si>
  <si>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</si>
  <si>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</si>
  <si>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</si>
  <si>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</si>
  <si>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</si>
  <si>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</si>
  <si>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</si>
  <si>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</si>
  <si>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</si>
  <si>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</si>
  <si>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</si>
  <si>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</si>
  <si>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</si>
  <si>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</si>
  <si>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</si>
  <si>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</si>
  <si>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</si>
  <si>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</si>
  <si>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</si>
  <si>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</si>
  <si>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</si>
  <si>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</si>
  <si>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</si>
  <si>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</si>
  <si>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</si>
  <si>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</si>
  <si>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</si>
  <si>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</si>
  <si>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</si>
  <si>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</si>
  <si>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</si>
  <si>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</si>
  <si>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</si>
  <si>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</si>
  <si>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</si>
  <si>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</si>
  <si>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</si>
  <si>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</si>
  <si>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</si>
  <si>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</si>
  <si>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</si>
  <si>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</si>
  <si>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</si>
  <si>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</si>
  <si>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</si>
  <si>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</si>
  <si>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</si>
  <si>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</si>
  <si>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</si>
  <si>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</si>
  <si>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</si>
  <si>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</si>
  <si>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</si>
  <si>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</si>
  <si>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</si>
  <si>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</si>
  <si>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</si>
  <si>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</si>
  <si>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</si>
  <si>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</si>
  <si>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</si>
  <si>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</si>
  <si>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</si>
  <si>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</si>
  <si>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</si>
  <si>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</si>
  <si>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</si>
  <si>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</si>
  <si>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</si>
  <si>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</si>
  <si>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</si>
  <si>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</si>
  <si>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</si>
  <si>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</si>
  <si>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</si>
  <si>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</si>
  <si>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</si>
  <si>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</si>
  <si>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</si>
  <si>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</si>
  <si>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</si>
  <si>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</si>
  <si>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</si>
  <si>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</si>
  <si>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</si>
  <si>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</si>
  <si>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</si>
  <si>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</si>
  <si>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</si>
  <si>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</si>
  <si>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</si>
  <si>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</si>
  <si>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</si>
  <si>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</si>
  <si>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</si>
  <si>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</si>
  <si>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</si>
  <si>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</si>
  <si>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</si>
  <si>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</si>
  <si>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</si>
  <si>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</si>
  <si>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</si>
  <si>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</si>
  <si>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</si>
  <si>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</si>
  <si>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</si>
  <si>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</si>
  <si>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</si>
  <si>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</si>
  <si>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</si>
  <si>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</si>
  <si>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</si>
  <si>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</si>
  <si>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</si>
  <si>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</si>
  <si>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</si>
  <si>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</si>
  <si>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</si>
  <si>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</si>
  <si>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</si>
  <si>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</si>
  <si>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</si>
  <si>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</si>
  <si>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</si>
  <si>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</si>
  <si>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</si>
  <si>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</si>
  <si>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</si>
  <si>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</si>
  <si>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</si>
  <si>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</si>
  <si>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</si>
  <si>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</si>
  <si>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</si>
  <si>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</si>
  <si>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</si>
  <si>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</si>
  <si>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</si>
  <si>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</si>
  <si>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</si>
  <si>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</si>
  <si>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</si>
  <si>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</si>
  <si>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</si>
  <si>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</si>
  <si>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</si>
  <si>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</si>
  <si>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</si>
  <si>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</si>
  <si>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</si>
  <si>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</si>
  <si>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</si>
  <si>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</si>
  <si>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</si>
  <si>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</si>
  <si>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</si>
  <si>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</si>
  <si>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</si>
  <si>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</si>
  <si>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</si>
  <si>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</si>
  <si>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</si>
  <si>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</si>
  <si>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</si>
  <si>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</si>
  <si>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</si>
  <si>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</si>
  <si>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</si>
  <si>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</si>
  <si>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</si>
  <si>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</si>
  <si>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</si>
  <si>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</si>
  <si>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</si>
  <si>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</si>
  <si>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</si>
  <si>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</si>
  <si>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</si>
  <si>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</si>
  <si>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</si>
  <si>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</si>
  <si>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</si>
  <si>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</si>
  <si>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</si>
  <si>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</si>
  <si>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</si>
  <si>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</si>
  <si>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</si>
  <si>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</si>
  <si>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</si>
  <si>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</si>
  <si>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</si>
  <si>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</si>
  <si>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</si>
  <si>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</si>
  <si>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</si>
  <si>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</si>
  <si>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</si>
  <si>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</si>
  <si>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</si>
  <si>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</si>
  <si>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</si>
  <si>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</si>
  <si>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</si>
  <si>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</si>
  <si>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</si>
  <si>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</si>
  <si>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</si>
  <si>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</si>
  <si>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</si>
  <si>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</si>
  <si>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</si>
  <si>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</si>
  <si>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</si>
  <si>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</si>
  <si>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</si>
  <si>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</si>
  <si>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</si>
  <si>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</si>
  <si>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</si>
  <si>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</si>
  <si>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</si>
  <si>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</si>
  <si>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</si>
  <si>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</si>
  <si>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</si>
  <si>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</si>
  <si>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</si>
  <si>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</si>
  <si>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</si>
  <si>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</si>
  <si>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</si>
  <si>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</si>
  <si>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</si>
  <si>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</si>
  <si>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</si>
  <si>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</si>
  <si>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</si>
  <si>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</si>
  <si>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</si>
  <si>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</si>
  <si>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</si>
  <si>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</si>
  <si>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</si>
  <si>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</si>
  <si>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</si>
  <si>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</si>
  <si>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</si>
  <si>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</si>
  <si>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</si>
  <si>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</si>
  <si>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</si>
  <si>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</si>
  <si>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</si>
  <si>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</si>
  <si>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</si>
  <si>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</si>
  <si>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</si>
  <si>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</si>
  <si>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</si>
  <si>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</si>
  <si>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</si>
  <si>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</si>
  <si>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</si>
  <si>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</si>
  <si>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</si>
  <si>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</si>
  <si>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</si>
  <si>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</si>
  <si>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</si>
  <si>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</si>
  <si>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</si>
  <si>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</si>
  <si>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</si>
  <si>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</si>
  <si>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</si>
  <si>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</si>
  <si>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</si>
  <si>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</si>
  <si>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</si>
  <si>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</si>
  <si>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</si>
  <si>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</si>
  <si>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</si>
  <si>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</si>
  <si>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</si>
  <si>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</si>
  <si>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</si>
  <si>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</si>
  <si>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</si>
  <si>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</si>
  <si>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</si>
  <si>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</si>
  <si>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</si>
  <si>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</si>
  <si>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</si>
  <si>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</si>
  <si>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</si>
  <si>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</si>
  <si>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</si>
  <si>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</si>
  <si>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</si>
  <si>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</si>
  <si>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</si>
  <si>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</si>
  <si>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</si>
  <si>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</si>
  <si>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</si>
  <si>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</si>
  <si>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</si>
  <si>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</si>
  <si>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</si>
  <si>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</si>
  <si>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</si>
  <si>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</si>
  <si>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</si>
  <si>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</si>
  <si>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</si>
  <si>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</si>
  <si>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</si>
  <si>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</si>
  <si>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</si>
  <si>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</si>
  <si>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</si>
  <si>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</si>
  <si>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</si>
  <si>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</si>
  <si>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</si>
  <si>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</si>
  <si>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</si>
  <si>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</si>
  <si>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</si>
  <si>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</si>
  <si>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</si>
  <si>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</si>
  <si>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</si>
  <si>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</si>
  <si>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</si>
  <si>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</si>
  <si>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</si>
  <si>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</si>
  <si>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</si>
  <si>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</si>
  <si>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</si>
  <si>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</si>
  <si>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</si>
  <si>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</si>
  <si>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</si>
  <si>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</si>
  <si>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</si>
  <si>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</si>
  <si>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</si>
  <si>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</si>
  <si>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</si>
  <si>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</si>
  <si>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</si>
  <si>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</si>
  <si>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</si>
  <si>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</si>
  <si>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</si>
  <si>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</si>
  <si>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</si>
  <si>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</si>
  <si>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</si>
  <si>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</si>
  <si>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</si>
  <si>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</si>
  <si>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</si>
  <si>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</si>
  <si>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</si>
  <si>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</si>
  <si>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</si>
  <si>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</si>
  <si>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</si>
  <si>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</si>
  <si>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</si>
  <si>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</si>
  <si>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</si>
  <si>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</si>
  <si>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</si>
  <si>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</si>
  <si>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</si>
  <si>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</si>
  <si>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</si>
  <si>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</si>
  <si>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</si>
  <si>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</si>
  <si>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</si>
  <si>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</si>
  <si>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</si>
  <si>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</si>
  <si>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</si>
  <si>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</si>
  <si>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</si>
  <si>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</si>
  <si>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</si>
  <si>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</si>
  <si>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</si>
  <si>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</si>
  <si>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</si>
  <si>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</si>
  <si>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</si>
  <si>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</si>
  <si>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</si>
  <si>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</si>
  <si>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</si>
  <si>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</si>
  <si>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</si>
  <si>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</si>
  <si>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</si>
  <si>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</si>
  <si>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</si>
  <si>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</si>
  <si>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</si>
  <si>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</si>
  <si>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</si>
  <si>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</si>
  <si>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</si>
  <si>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</si>
  <si>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</si>
  <si>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</si>
  <si>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</si>
  <si>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</si>
  <si>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</si>
  <si>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</si>
  <si>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</si>
  <si>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</si>
  <si>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</si>
  <si>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</si>
  <si>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</si>
  <si>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</si>
  <si>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</si>
  <si>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</si>
  <si>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</si>
  <si>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</si>
  <si>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</si>
  <si>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</si>
  <si>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</si>
  <si>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</si>
  <si>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</si>
  <si>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</si>
  <si>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</si>
  <si>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</si>
  <si>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</si>
  <si>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</si>
  <si>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</si>
  <si>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</si>
  <si>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</si>
  <si>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</si>
  <si>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</si>
  <si>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</si>
  <si>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</si>
  <si>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</si>
  <si>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</si>
  <si>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</si>
  <si>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</si>
  <si>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</si>
  <si>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</si>
  <si>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</si>
  <si>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</si>
  <si>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</si>
  <si>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</si>
  <si>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</si>
  <si>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</si>
  <si>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</si>
  <si>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</si>
  <si>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</si>
  <si>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</si>
  <si>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</si>
  <si>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</si>
  <si>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</si>
  <si>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</si>
  <si>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</si>
  <si>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</si>
  <si>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</si>
  <si>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</si>
  <si>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</si>
  <si>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</si>
  <si>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</si>
  <si>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</si>
  <si>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</si>
  <si>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</si>
  <si>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</si>
  <si>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</si>
  <si>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</si>
  <si>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</si>
  <si>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</si>
  <si>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</si>
  <si>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</si>
  <si>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</si>
  <si>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</si>
  <si>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</si>
  <si>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</si>
  <si>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</si>
  <si>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</si>
  <si>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</si>
  <si>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</si>
  <si>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</si>
  <si>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</si>
  <si>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</si>
  <si>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</si>
  <si>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</si>
  <si>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</si>
  <si>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</si>
  <si>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</si>
  <si>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</si>
  <si>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</si>
  <si>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</si>
  <si>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</si>
  <si>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</si>
  <si>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</si>
  <si>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</si>
  <si>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</si>
  <si>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</si>
  <si>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</si>
  <si>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</si>
  <si>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</si>
  <si>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</si>
  <si>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</si>
  <si>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</si>
  <si>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</si>
  <si>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</si>
  <si>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</si>
  <si>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</si>
  <si>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</si>
  <si>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</si>
  <si>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</si>
  <si>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</si>
  <si>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</si>
  <si>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</si>
  <si>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</si>
  <si>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</si>
  <si>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</si>
  <si>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</si>
  <si>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</si>
  <si>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</si>
  <si>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</si>
  <si>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</si>
  <si>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</si>
  <si>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</si>
  <si>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</si>
  <si>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</si>
  <si>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</si>
  <si>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</si>
  <si>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</si>
  <si>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</si>
  <si>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</si>
  <si>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</si>
  <si>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</si>
  <si>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</si>
  <si>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</si>
  <si>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</si>
  <si>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</si>
  <si>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</si>
  <si>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</si>
  <si>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</si>
  <si>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</si>
  <si>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</si>
  <si>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</si>
  <si>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</si>
  <si>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</si>
  <si>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</si>
  <si>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</si>
  <si>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</si>
  <si>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</si>
  <si>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</si>
  <si>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</si>
  <si>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</si>
  <si>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</si>
  <si>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</si>
  <si>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</si>
  <si>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</si>
  <si>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</si>
  <si>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</si>
  <si>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</si>
  <si>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</si>
  <si>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</si>
  <si>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</si>
  <si>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</si>
  <si>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</si>
  <si>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</si>
  <si>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</si>
  <si>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</si>
  <si>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</si>
  <si>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</si>
  <si>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</si>
  <si>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</si>
  <si>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</si>
  <si>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</si>
  <si>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</si>
  <si>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</si>
  <si>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</si>
  <si>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</si>
  <si>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</si>
  <si>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</si>
  <si>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</si>
  <si>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</si>
  <si>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</si>
  <si>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</si>
  <si>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</si>
  <si>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</si>
  <si>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</si>
  <si>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</si>
  <si>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</si>
  <si>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</si>
  <si>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</si>
  <si>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</si>
  <si>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</si>
  <si>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</si>
  <si>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</si>
  <si>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</si>
  <si>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</si>
  <si>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</si>
  <si>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</si>
  <si>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</si>
  <si>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</si>
  <si>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</si>
  <si>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</si>
  <si>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</si>
  <si>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</si>
  <si>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</si>
  <si>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</si>
  <si>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</si>
  <si>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</si>
  <si>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</si>
  <si>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</si>
  <si>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</si>
  <si>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</si>
  <si>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</si>
  <si>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</si>
  <si>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</si>
  <si>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</si>
  <si>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</si>
  <si>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</si>
  <si>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</si>
  <si>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</si>
  <si>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</si>
  <si>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</si>
  <si>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</si>
  <si>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</si>
  <si>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</si>
  <si>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</si>
  <si>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</si>
  <si>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</si>
  <si>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</si>
  <si>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</si>
  <si>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</si>
  <si>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</si>
  <si>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</si>
  <si>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</si>
  <si>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</si>
  <si>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</si>
  <si>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</si>
  <si>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</si>
  <si>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</si>
  <si>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</si>
  <si>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</si>
  <si>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</si>
  <si>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</si>
  <si>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</si>
  <si>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</si>
  <si>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</si>
  <si>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</si>
  <si>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</si>
  <si>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</si>
  <si>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</si>
  <si>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</si>
  <si>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</si>
  <si>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</si>
  <si>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</si>
  <si>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</si>
  <si>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</si>
  <si>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</si>
  <si>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</si>
  <si>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</si>
  <si>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</si>
  <si>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</si>
  <si>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</si>
  <si>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</si>
  <si>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</si>
  <si>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</si>
  <si>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</si>
  <si>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</si>
  <si>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</si>
  <si>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</si>
  <si>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</si>
  <si>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</si>
  <si>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</si>
  <si>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</si>
  <si>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</si>
  <si>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</si>
  <si>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</si>
  <si>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</si>
  <si>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</si>
  <si>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</si>
  <si>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</si>
  <si>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</si>
  <si>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</si>
  <si>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</si>
  <si>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</si>
  <si>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</si>
  <si>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</si>
  <si>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</si>
  <si>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</si>
  <si>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</si>
  <si>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</si>
  <si>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</si>
  <si>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</si>
  <si>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</si>
  <si>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</si>
  <si>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</si>
  <si>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</si>
  <si>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</si>
  <si>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</si>
  <si>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</si>
  <si>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</si>
  <si>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</si>
  <si>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</si>
  <si>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</si>
  <si>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</si>
  <si>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</si>
  <si>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</si>
  <si>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</si>
  <si>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</si>
  <si>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</si>
  <si>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</si>
  <si>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</si>
  <si>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</si>
  <si>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</si>
  <si>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</si>
  <si>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</si>
  <si>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</si>
  <si>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</si>
  <si>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</si>
  <si>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</si>
  <si>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</si>
  <si>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</si>
  <si>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</si>
  <si>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</si>
  <si>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</si>
  <si>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</si>
  <si>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</si>
  <si>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</si>
  <si>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</si>
  <si>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</si>
  <si>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</si>
  <si>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</si>
  <si>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</si>
  <si>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</si>
  <si>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</si>
  <si>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</si>
  <si>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</si>
  <si>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</si>
  <si>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</si>
  <si>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</si>
  <si>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</si>
  <si>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</si>
  <si>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</si>
  <si>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</si>
  <si>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</si>
  <si>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</si>
  <si>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</si>
  <si>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</si>
  <si>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</si>
  <si>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</si>
  <si>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</si>
  <si>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</si>
  <si>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</si>
  <si>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</si>
  <si>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</si>
  <si>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</si>
  <si>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</si>
  <si>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</si>
  <si>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</si>
  <si>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</si>
  <si>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</si>
  <si>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</si>
  <si>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</si>
  <si>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</si>
  <si>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</si>
  <si>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</si>
  <si>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</si>
  <si>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</si>
  <si>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</si>
  <si>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</si>
  <si>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</si>
  <si>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</si>
  <si>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</si>
  <si>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</si>
  <si>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</si>
  <si>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</si>
  <si>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</si>
  <si>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</si>
  <si>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</si>
  <si>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</si>
  <si>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</si>
  <si>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</si>
  <si>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</si>
  <si>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</si>
  <si>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</si>
  <si>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</si>
  <si>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</si>
  <si>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</si>
  <si>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</si>
  <si>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</si>
  <si>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</si>
  <si>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</si>
  <si>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</si>
  <si>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</si>
  <si>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</si>
  <si>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</si>
  <si>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</si>
  <si>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</si>
  <si>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</si>
  <si>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</si>
  <si>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</si>
  <si>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</si>
  <si>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</si>
  <si>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</si>
  <si>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</si>
  <si>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</si>
  <si>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</si>
  <si>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</si>
  <si>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</si>
  <si>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</si>
  <si>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</si>
  <si>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</si>
  <si>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</si>
  <si>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</si>
  <si>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</si>
  <si>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</si>
  <si>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</si>
  <si>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</si>
  <si>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</si>
  <si>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</si>
  <si>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</si>
  <si>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</si>
  <si>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</si>
  <si>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</si>
  <si>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</si>
  <si>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</si>
  <si>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</si>
  <si>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</si>
  <si>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</si>
  <si>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</si>
  <si>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</si>
  <si>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</si>
  <si>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</si>
  <si>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</si>
  <si>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</si>
  <si>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</si>
  <si>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</si>
  <si>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</si>
  <si>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</si>
  <si>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</si>
  <si>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</si>
  <si>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</si>
  <si>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</si>
  <si>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</si>
  <si>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</si>
  <si>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</si>
  <si>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</si>
  <si>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</si>
  <si>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</si>
  <si>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</si>
  <si>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</si>
  <si>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</si>
  <si>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</si>
  <si>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</si>
  <si>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</si>
  <si>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</si>
  <si>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</si>
  <si>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</si>
  <si>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</si>
  <si>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</si>
  <si>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</si>
  <si>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</si>
  <si>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</si>
  <si>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</si>
  <si>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</si>
  <si>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</si>
  <si>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</si>
  <si>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</si>
  <si>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</si>
  <si>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</si>
  <si>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</si>
  <si>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</si>
  <si>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</si>
  <si>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</si>
  <si>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</si>
  <si>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</si>
  <si>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</si>
  <si>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</si>
  <si>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</si>
  <si>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</si>
  <si>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</si>
  <si>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</si>
  <si>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</si>
  <si>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</si>
  <si>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</si>
  <si>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</si>
  <si>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</si>
  <si>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</si>
  <si>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</si>
  <si>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</si>
  <si>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</si>
  <si>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</si>
  <si>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</si>
  <si>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</si>
  <si>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</si>
  <si>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</si>
  <si>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</si>
  <si>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</si>
  <si>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</si>
  <si>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</si>
  <si>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</si>
  <si>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</si>
  <si>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</si>
  <si>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</si>
  <si>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</si>
  <si>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</si>
  <si>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</si>
  <si>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</si>
  <si>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</si>
  <si>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</si>
  <si>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</si>
  <si>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</si>
  <si>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</si>
  <si>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</si>
  <si>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</si>
  <si>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</si>
  <si>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</si>
  <si>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</si>
  <si>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</si>
  <si>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</si>
  <si>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</si>
  <si>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</si>
  <si>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</si>
  <si>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</si>
  <si>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</si>
  <si>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</si>
  <si>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</si>
  <si>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</si>
  <si>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</si>
  <si>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</si>
  <si>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</si>
  <si>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</si>
  <si>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</si>
  <si>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</si>
  <si>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</si>
  <si>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</si>
  <si>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</si>
  <si>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</si>
  <si>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</si>
  <si>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</si>
  <si>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</si>
  <si>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</si>
  <si>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</si>
  <si>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</si>
  <si>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</si>
  <si>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</si>
  <si>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</si>
  <si>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</si>
  <si>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</si>
  <si>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</si>
  <si>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</si>
  <si>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</si>
  <si>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</si>
  <si>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</si>
  <si>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</si>
  <si>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</si>
  <si>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</si>
  <si>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</si>
  <si>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</si>
  <si>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</si>
  <si>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</si>
  <si>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</si>
  <si>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</si>
  <si>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</si>
  <si>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</si>
  <si>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</si>
  <si>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</si>
  <si>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</si>
  <si>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</si>
  <si>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</si>
  <si>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</si>
  <si>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</si>
  <si>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</si>
  <si>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</si>
  <si>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</si>
  <si>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</si>
  <si>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</si>
  <si>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</si>
  <si>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</si>
  <si>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</si>
  <si>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</si>
  <si>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</si>
  <si>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</si>
  <si>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</si>
  <si>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</si>
  <si>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</si>
  <si>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</si>
  <si>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</si>
  <si>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</si>
  <si>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</si>
  <si>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</si>
  <si>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</si>
  <si>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</si>
  <si>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</si>
  <si>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</si>
  <si>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</si>
  <si>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</si>
  <si>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</si>
  <si>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</si>
  <si>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</si>
  <si>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</si>
  <si>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</si>
  <si>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</si>
  <si>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</si>
  <si>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</si>
  <si>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</si>
  <si>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</si>
  <si>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</si>
  <si>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</si>
  <si>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</si>
  <si>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</si>
  <si>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</si>
  <si>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</si>
  <si>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</si>
  <si>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</si>
  <si>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</si>
  <si>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</si>
  <si>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</si>
  <si>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</si>
  <si>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</si>
  <si>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</si>
  <si>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</si>
  <si>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</si>
  <si>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</si>
  <si>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</si>
  <si>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</si>
  <si>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</si>
  <si>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</si>
  <si>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</si>
  <si>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</si>
  <si>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</si>
  <si>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</si>
  <si>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</si>
  <si>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</si>
  <si>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</si>
  <si>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</si>
  <si>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</si>
  <si>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</si>
  <si>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</si>
  <si>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</si>
  <si>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</si>
  <si>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</si>
  <si>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</si>
  <si>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</si>
  <si>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</si>
  <si>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</si>
  <si>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</si>
  <si>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</si>
  <si>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</si>
  <si>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</si>
  <si>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</si>
  <si>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</si>
  <si>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</si>
  <si>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</si>
  <si>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</si>
  <si>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</si>
  <si>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</si>
  <si>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</si>
  <si>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</si>
  <si>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</si>
  <si>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</si>
  <si>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</si>
  <si>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</si>
  <si>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</si>
  <si>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</si>
  <si>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</si>
  <si>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</si>
  <si>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</si>
  <si>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</si>
  <si>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</si>
  <si>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</si>
  <si>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</si>
  <si>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</si>
  <si>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</si>
  <si>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</si>
  <si>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</si>
  <si>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</si>
  <si>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</si>
  <si>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</si>
  <si>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</si>
  <si>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</si>
  <si>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</si>
  <si>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</si>
  <si>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</si>
  <si>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</si>
  <si>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</si>
  <si>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</si>
  <si>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</si>
  <si>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</si>
  <si>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</si>
  <si>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</si>
  <si>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</si>
  <si>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</si>
  <si>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</si>
  <si>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</si>
  <si>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</si>
  <si>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</si>
  <si>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</si>
  <si>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</si>
  <si>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</si>
  <si>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</si>
  <si>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</si>
  <si>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</si>
  <si>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</si>
  <si>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</si>
  <si>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</si>
  <si>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</si>
  <si>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</si>
  <si>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</si>
  <si>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</si>
  <si>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</si>
  <si>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</si>
  <si>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</si>
  <si>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</si>
  <si>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</si>
  <si>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</si>
  <si>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</si>
  <si>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</si>
  <si>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</si>
  <si>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</si>
  <si>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</si>
  <si>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</si>
  <si>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</si>
  <si>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</si>
  <si>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</si>
  <si>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</si>
  <si>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</si>
  <si>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</si>
  <si>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</si>
  <si>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</si>
  <si>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</si>
  <si>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</si>
  <si>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</si>
  <si>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</si>
  <si>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</si>
  <si>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</si>
  <si>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</si>
  <si>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</si>
  <si>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</si>
  <si>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</si>
  <si>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</si>
  <si>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</si>
  <si>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</si>
  <si>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</si>
  <si>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</si>
  <si>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</si>
  <si>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</si>
  <si>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</si>
  <si>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</si>
  <si>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</si>
  <si>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</si>
  <si>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</si>
  <si>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</si>
  <si>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</si>
  <si>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</si>
  <si>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</si>
  <si>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</si>
  <si>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</si>
  <si>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</si>
  <si>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</si>
  <si>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</si>
  <si>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</si>
  <si>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</si>
  <si>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</si>
  <si>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</si>
  <si>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</si>
  <si>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</si>
  <si>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</si>
  <si>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</si>
  <si>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</si>
  <si>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</si>
  <si>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</si>
  <si>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</si>
  <si>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</si>
  <si>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</si>
  <si>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</si>
  <si>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</si>
  <si>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</si>
  <si>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</si>
  <si>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</si>
  <si>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</si>
  <si>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</si>
  <si>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</si>
  <si>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</si>
  <si>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</si>
  <si>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</si>
  <si>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</si>
  <si>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</si>
  <si>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</si>
  <si>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</si>
  <si>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</si>
  <si>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</si>
  <si>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</si>
  <si>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</si>
  <si>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</si>
  <si>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</si>
  <si>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</si>
  <si>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</si>
  <si>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</si>
  <si>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</si>
  <si>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</si>
  <si>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</si>
  <si>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</si>
  <si>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</si>
  <si>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</si>
  <si>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</si>
  <si>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</si>
  <si>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</si>
  <si>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</si>
  <si>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</si>
  <si>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</si>
  <si>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</si>
  <si>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</si>
  <si>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</si>
  <si>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</si>
  <si>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</si>
  <si>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</si>
  <si>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</si>
  <si>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</si>
  <si>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</si>
  <si>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</si>
  <si>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</si>
  <si>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</si>
  <si>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</si>
  <si>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</si>
  <si>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</si>
  <si>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</si>
  <si>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</si>
  <si>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</si>
  <si>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</si>
  <si>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</si>
  <si>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</si>
  <si>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</si>
  <si>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</si>
  <si>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</si>
  <si>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</si>
  <si>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</si>
  <si>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</si>
  <si>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</si>
  <si>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</si>
  <si>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</si>
  <si>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</si>
  <si>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</si>
  <si>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</si>
  <si>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</si>
  <si>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</si>
  <si>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</si>
  <si>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</si>
  <si>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</si>
  <si>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</si>
  <si>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</si>
  <si>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</si>
  <si>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</si>
  <si>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</si>
  <si>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</si>
  <si>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</si>
  <si>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</si>
  <si>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</si>
  <si>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</si>
  <si>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</si>
  <si>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</si>
  <si>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</si>
  <si>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</si>
  <si>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</si>
  <si>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</si>
  <si>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</si>
  <si>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</si>
  <si>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</si>
  <si>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</si>
  <si>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</si>
  <si>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</si>
  <si>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</si>
  <si>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</si>
  <si>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</si>
  <si>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</si>
  <si>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</si>
  <si>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</si>
  <si>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</si>
  <si>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</si>
  <si>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</si>
  <si>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</si>
  <si>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</si>
  <si>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</si>
  <si>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</si>
  <si>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</si>
  <si>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</si>
  <si>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</si>
  <si>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</si>
  <si>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</si>
  <si>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</si>
  <si>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</si>
  <si>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</si>
  <si>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</si>
  <si>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</si>
  <si>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</si>
  <si>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</si>
  <si>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</si>
  <si>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</si>
  <si>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</si>
  <si>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</si>
  <si>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</si>
  <si>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</si>
  <si>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</si>
  <si>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</si>
  <si>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</si>
  <si>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</si>
  <si>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</si>
  <si>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</si>
  <si>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</si>
  <si>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</si>
  <si>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</si>
  <si>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</si>
  <si>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</si>
  <si>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</si>
  <si>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</si>
  <si>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</si>
  <si>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</si>
  <si>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</si>
  <si>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</si>
  <si>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</si>
  <si>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</si>
  <si>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</si>
  <si>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</si>
  <si>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</si>
  <si>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</si>
  <si>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</si>
  <si>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</si>
  <si>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</si>
  <si>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</si>
  <si>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</si>
  <si>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</si>
  <si>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</si>
  <si>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</si>
  <si>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</si>
  <si>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</si>
  <si>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</si>
  <si>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</si>
  <si>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</si>
  <si>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</si>
  <si>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</si>
  <si>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</si>
  <si>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</si>
  <si>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</si>
  <si>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</si>
  <si>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</si>
  <si>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</si>
  <si>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</si>
  <si>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</si>
  <si>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</si>
  <si>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</si>
  <si>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</si>
  <si>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</si>
  <si>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</si>
  <si>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</si>
  <si>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</si>
  <si>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</si>
  <si>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</si>
  <si>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</si>
  <si>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</si>
  <si>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</si>
  <si>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</si>
  <si>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</si>
  <si>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</si>
  <si>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</si>
  <si>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</si>
  <si>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</si>
  <si>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</si>
  <si>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</si>
  <si>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</si>
  <si>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</si>
  <si>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</si>
  <si>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</si>
  <si>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</si>
  <si>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</si>
  <si>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</si>
  <si>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</si>
  <si>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</si>
  <si>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</si>
  <si>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</si>
  <si>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</si>
  <si>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</si>
  <si>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</si>
  <si>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</si>
  <si>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</si>
  <si>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</si>
  <si>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</si>
  <si>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</si>
  <si>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</si>
  <si>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</si>
  <si>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</si>
  <si>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</si>
  <si>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</si>
  <si>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</si>
  <si>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</si>
  <si>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</si>
  <si>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</si>
  <si>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</si>
  <si>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</si>
  <si>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</si>
  <si>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</si>
  <si>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</si>
  <si>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</si>
  <si>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</si>
  <si>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</si>
  <si>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</si>
  <si>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</si>
  <si>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</si>
  <si>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</si>
  <si>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</si>
  <si>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</si>
  <si>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</si>
  <si>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</si>
  <si>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</si>
  <si>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</si>
  <si>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</si>
  <si>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</si>
  <si>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</si>
  <si>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</si>
  <si>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</si>
  <si>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</si>
  <si>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</si>
  <si>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</si>
  <si>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</si>
  <si>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</si>
  <si>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</si>
  <si>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</si>
  <si>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</si>
  <si>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</si>
  <si>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</si>
  <si>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</si>
  <si>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</si>
  <si>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</si>
  <si>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</si>
  <si>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</si>
  <si>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</si>
  <si>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</si>
  <si>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</si>
  <si>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</si>
  <si>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</si>
  <si>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</si>
  <si>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</si>
  <si>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</si>
  <si>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</si>
  <si>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</si>
  <si>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</si>
  <si>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</si>
  <si>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phoneticPr fontId="140" type="noConversion"/>
  </si>
  <si>
    <t>房号</t>
  </si>
  <si>
    <t>房号</t>
    <phoneticPr fontId="140" type="noConversion"/>
  </si>
  <si>
    <t>用途</t>
    <phoneticPr fontId="140" type="noConversion"/>
  </si>
  <si>
    <t>车库</t>
  </si>
  <si>
    <t>车库</t>
    <phoneticPr fontId="140" type="noConversion"/>
  </si>
  <si>
    <t>层数</t>
  </si>
  <si>
    <t>层数</t>
    <phoneticPr fontId="140" type="noConversion"/>
  </si>
  <si>
    <r>
      <t>1</t>
    </r>
    <r>
      <rPr>
        <sz val="11"/>
        <color theme="1"/>
        <rFont val="DengXian"/>
        <charset val="134"/>
        <scheme val="minor"/>
      </rPr>
      <t>-2</t>
    </r>
    <phoneticPr fontId="140" type="noConversion"/>
  </si>
  <si>
    <r>
      <t>-</t>
    </r>
    <r>
      <rPr>
        <sz val="11"/>
        <color theme="1"/>
        <rFont val="DengXian"/>
        <charset val="134"/>
        <scheme val="minor"/>
      </rPr>
      <t>1</t>
    </r>
    <phoneticPr fontId="140" type="noConversion"/>
  </si>
  <si>
    <r>
      <t>A座商业</t>
    </r>
    <r>
      <rPr>
        <sz val="11"/>
        <color theme="1"/>
        <rFont val="DengXian"/>
        <charset val="134"/>
        <scheme val="minor"/>
      </rPr>
      <t>11</t>
    </r>
    <phoneticPr fontId="140" type="noConversion"/>
  </si>
  <si>
    <t>A座商业11</t>
  </si>
  <si>
    <t>A座商业12</t>
  </si>
  <si>
    <t>A座商业12</t>
    <phoneticPr fontId="140" type="noConversion"/>
  </si>
  <si>
    <t>A座商业15</t>
  </si>
  <si>
    <t>A座商业15</t>
    <phoneticPr fontId="140" type="noConversion"/>
  </si>
  <si>
    <t>A座商业2</t>
  </si>
  <si>
    <t>A座商业2</t>
    <phoneticPr fontId="140" type="noConversion"/>
  </si>
  <si>
    <r>
      <t>B座商业</t>
    </r>
    <r>
      <rPr>
        <sz val="11"/>
        <color theme="1"/>
        <rFont val="DengXian"/>
        <charset val="134"/>
        <scheme val="minor"/>
      </rPr>
      <t>10</t>
    </r>
    <phoneticPr fontId="140" type="noConversion"/>
  </si>
  <si>
    <r>
      <t>B座商业</t>
    </r>
    <r>
      <rPr>
        <sz val="11"/>
        <color theme="1"/>
        <rFont val="DengXian"/>
        <charset val="134"/>
        <scheme val="minor"/>
      </rPr>
      <t>2</t>
    </r>
    <phoneticPr fontId="140" type="noConversion"/>
  </si>
  <si>
    <t>B座商业3</t>
  </si>
  <si>
    <t>B座商业3</t>
    <phoneticPr fontId="140" type="noConversion"/>
  </si>
  <si>
    <t>B座商业5</t>
  </si>
  <si>
    <t>B座商业6</t>
  </si>
  <si>
    <t>B座商业7</t>
  </si>
  <si>
    <t>B座商业8</t>
  </si>
  <si>
    <t>B座商业5</t>
    <phoneticPr fontId="140" type="noConversion"/>
  </si>
  <si>
    <t>B座商业6</t>
    <phoneticPr fontId="140" type="noConversion"/>
  </si>
  <si>
    <t>B座商业7</t>
    <phoneticPr fontId="140" type="noConversion"/>
  </si>
  <si>
    <t>B座商业8</t>
    <phoneticPr fontId="140" type="noConversion"/>
  </si>
  <si>
    <t>B座商业9</t>
  </si>
  <si>
    <t>B座商业9</t>
    <phoneticPr fontId="140" type="noConversion"/>
  </si>
  <si>
    <t>超市</t>
  </si>
  <si>
    <t>超市</t>
    <phoneticPr fontId="140" type="noConversion"/>
  </si>
  <si>
    <t>登记用途</t>
    <phoneticPr fontId="140" type="noConversion"/>
  </si>
  <si>
    <t>建筑面积</t>
    <phoneticPr fontId="140" type="noConversion"/>
  </si>
  <si>
    <t>配套</t>
  </si>
  <si>
    <t>配套</t>
    <phoneticPr fontId="140" type="noConversion"/>
  </si>
  <si>
    <r>
      <t>朝阳区百子湾路3</t>
    </r>
    <r>
      <rPr>
        <sz val="11"/>
        <color theme="1"/>
        <rFont val="DengXian"/>
        <charset val="134"/>
        <scheme val="minor"/>
      </rPr>
      <t>2号院3号楼-1层车库</t>
    </r>
    <phoneticPr fontId="140" type="noConversion"/>
  </si>
  <si>
    <t>朝阳区百子湾路32号院3号楼-1层超市</t>
    <phoneticPr fontId="140" type="noConversion"/>
  </si>
  <si>
    <t>朝阳区百子湾路32号院3号楼1至2层A座商业11</t>
    <phoneticPr fontId="140" type="noConversion"/>
  </si>
  <si>
    <t>朝阳区百子湾路32号院3号楼1至2层A座商业12</t>
    <phoneticPr fontId="140" type="noConversion"/>
  </si>
  <si>
    <t>朝阳区百子湾路32号院3号楼1至2层A座商业15</t>
    <phoneticPr fontId="140" type="noConversion"/>
  </si>
  <si>
    <t>朝阳区百子湾路32号院3号楼1至2层A座商业2</t>
    <phoneticPr fontId="140" type="noConversion"/>
  </si>
  <si>
    <t>朝阳区百子湾路32号院3号楼-2层车库</t>
    <phoneticPr fontId="140" type="noConversion"/>
  </si>
  <si>
    <t>车位</t>
  </si>
  <si>
    <t>车位</t>
    <phoneticPr fontId="140" type="noConversion"/>
  </si>
  <si>
    <t>登记坐落</t>
    <phoneticPr fontId="140" type="noConversion"/>
  </si>
  <si>
    <t>非配套公建</t>
  </si>
  <si>
    <t>非配套公建</t>
    <phoneticPr fontId="140" type="noConversion"/>
  </si>
  <si>
    <t>朝阳区百子湾路32号院3号楼1至2层B座商业10</t>
    <phoneticPr fontId="140" type="noConversion"/>
  </si>
  <si>
    <t>朝阳区百子湾路32号院3号楼1至2层B座商业2</t>
    <phoneticPr fontId="140" type="noConversion"/>
  </si>
  <si>
    <t>朝阳区百子湾路32号院3号楼1至2层B座商业3</t>
    <phoneticPr fontId="140" type="noConversion"/>
  </si>
  <si>
    <t>朝阳区百子湾路32号院3号楼1至2层B座商业5</t>
    <phoneticPr fontId="140" type="noConversion"/>
  </si>
  <si>
    <t>朝阳区百子湾路32号院3号楼1至2层B座商业6</t>
    <phoneticPr fontId="140" type="noConversion"/>
  </si>
  <si>
    <t>朝阳区百子湾路32号院3号楼1至2层B座商业7</t>
    <phoneticPr fontId="140" type="noConversion"/>
  </si>
  <si>
    <t>朝阳区百子湾路32号院3号楼1至2层B座商业8</t>
    <phoneticPr fontId="140" type="noConversion"/>
  </si>
  <si>
    <t>朝阳区百子湾路32号院3号楼1至2层B座商业9</t>
    <phoneticPr fontId="140" type="noConversion"/>
  </si>
  <si>
    <t>朝阳区百子湾路32号院3号楼1至2层超市</t>
    <phoneticPr fontId="140" type="noConversion"/>
  </si>
  <si>
    <t>陈颖</t>
  </si>
  <si>
    <t>梁津</t>
  </si>
  <si>
    <t>核定资产</t>
  </si>
  <si>
    <t>房地产市场价值</t>
  </si>
  <si>
    <t>北京市</t>
  </si>
  <si>
    <t>企业</t>
  </si>
  <si>
    <t>出让</t>
  </si>
  <si>
    <t>是</t>
  </si>
  <si>
    <t>居住项目</t>
  </si>
  <si>
    <t>现房</t>
  </si>
  <si>
    <t>C2区027</t>
  </si>
  <si>
    <t>C1区027</t>
  </si>
  <si>
    <t>C1区028</t>
  </si>
  <si>
    <t>C1区029</t>
  </si>
  <si>
    <t>C1区030</t>
  </si>
  <si>
    <t>C1区031</t>
  </si>
  <si>
    <t>C1区032</t>
  </si>
  <si>
    <t>C1区033</t>
  </si>
  <si>
    <t>C1区042</t>
  </si>
  <si>
    <t>C1区043</t>
  </si>
  <si>
    <t>C1区044</t>
  </si>
  <si>
    <t>C1区045</t>
  </si>
  <si>
    <t>C1区047</t>
  </si>
  <si>
    <t>C1区054</t>
  </si>
  <si>
    <t>C1区055</t>
  </si>
  <si>
    <t>C1区056</t>
  </si>
  <si>
    <t>C1区057</t>
  </si>
  <si>
    <t>C1区058</t>
  </si>
  <si>
    <t>C1区059</t>
  </si>
  <si>
    <t>C1区060</t>
  </si>
  <si>
    <t>C1区061</t>
  </si>
  <si>
    <t>C1区062</t>
  </si>
  <si>
    <t>C1区064</t>
  </si>
  <si>
    <t>C1区067</t>
  </si>
  <si>
    <t>C1区068</t>
  </si>
  <si>
    <t>C1区069</t>
  </si>
  <si>
    <t>C1区071</t>
  </si>
  <si>
    <t>C1区072</t>
  </si>
  <si>
    <t>C1区073</t>
  </si>
  <si>
    <t>C1区074</t>
  </si>
  <si>
    <t>C1区075</t>
  </si>
  <si>
    <t>C1区076</t>
  </si>
  <si>
    <t>C1区077</t>
  </si>
  <si>
    <t>C1区078</t>
  </si>
  <si>
    <t>C1区083</t>
  </si>
  <si>
    <t>C1区084</t>
  </si>
  <si>
    <t>C1区085</t>
  </si>
  <si>
    <t>C1区086</t>
  </si>
  <si>
    <t>C1区087</t>
  </si>
  <si>
    <t>C1区106</t>
  </si>
  <si>
    <t>C1区107</t>
  </si>
  <si>
    <t>C1区108</t>
  </si>
  <si>
    <t>C1区109</t>
  </si>
  <si>
    <t>C1区112</t>
  </si>
  <si>
    <t>C1区113</t>
  </si>
  <si>
    <t>C1区114</t>
  </si>
  <si>
    <t>C1区115</t>
  </si>
  <si>
    <t>C1区116</t>
  </si>
  <si>
    <t>C1区117</t>
  </si>
  <si>
    <t>C1区136</t>
  </si>
  <si>
    <t>C1区137</t>
  </si>
  <si>
    <t>C1区138</t>
  </si>
  <si>
    <t>C1区139</t>
  </si>
  <si>
    <t>C1区140</t>
  </si>
  <si>
    <t>C1区141</t>
  </si>
  <si>
    <t>C1区142</t>
  </si>
  <si>
    <t>C1区144</t>
  </si>
  <si>
    <t>C1区145</t>
  </si>
  <si>
    <t>C1区146</t>
  </si>
  <si>
    <t>C1区147</t>
  </si>
  <si>
    <t>C1区148</t>
  </si>
  <si>
    <t>C1区149</t>
  </si>
  <si>
    <t>C1区150</t>
  </si>
  <si>
    <t>C1区151</t>
  </si>
  <si>
    <t>C1区152</t>
  </si>
  <si>
    <t>C1区153</t>
  </si>
  <si>
    <t>C1区154</t>
  </si>
  <si>
    <t>C1区155</t>
  </si>
  <si>
    <t>C1区156</t>
  </si>
  <si>
    <t>C1区178</t>
  </si>
  <si>
    <t>C1区179</t>
  </si>
  <si>
    <t>C1区180</t>
  </si>
  <si>
    <t>C1区181</t>
  </si>
  <si>
    <t>C1区182</t>
  </si>
  <si>
    <t>C1区183</t>
  </si>
  <si>
    <t>C1区184</t>
  </si>
  <si>
    <t>C1区186</t>
  </si>
  <si>
    <t>C1区187</t>
  </si>
  <si>
    <t>C1区188</t>
  </si>
  <si>
    <t>C1区189</t>
  </si>
  <si>
    <t>C1区190</t>
  </si>
  <si>
    <t>C1区191</t>
  </si>
  <si>
    <t>C1区192</t>
  </si>
  <si>
    <t>C1区193</t>
  </si>
  <si>
    <t>C1区194</t>
  </si>
  <si>
    <t>C1区195</t>
  </si>
  <si>
    <t>C1区196</t>
  </si>
  <si>
    <t>C1区216</t>
  </si>
  <si>
    <t>C1区217</t>
  </si>
  <si>
    <t>C1区218</t>
  </si>
  <si>
    <t>C1区219</t>
  </si>
  <si>
    <t>C1区220</t>
  </si>
  <si>
    <t>C1区221</t>
  </si>
  <si>
    <t>C1区222</t>
  </si>
  <si>
    <t>C1区223</t>
  </si>
  <si>
    <t>C1区224</t>
  </si>
  <si>
    <t>C1区225</t>
  </si>
  <si>
    <t>C1区226</t>
  </si>
  <si>
    <t>C1区227</t>
  </si>
  <si>
    <t>C1区228</t>
  </si>
  <si>
    <t>C1区229</t>
  </si>
  <si>
    <t>C1区230</t>
  </si>
  <si>
    <t>C1区231</t>
  </si>
  <si>
    <t>C1区232</t>
  </si>
  <si>
    <t>C1区233</t>
  </si>
  <si>
    <t>C1区367</t>
  </si>
  <si>
    <t>C1区368</t>
  </si>
  <si>
    <t>C1区369</t>
  </si>
  <si>
    <t>C1区377</t>
  </si>
  <si>
    <t>C1区378</t>
  </si>
  <si>
    <t>C2区018</t>
  </si>
  <si>
    <t>C2区019</t>
  </si>
  <si>
    <t>C2区020</t>
  </si>
  <si>
    <t>C2区021</t>
  </si>
  <si>
    <t>C2区022</t>
  </si>
  <si>
    <t>C2区023</t>
  </si>
  <si>
    <t>C2区024</t>
  </si>
  <si>
    <t>C2区025</t>
  </si>
  <si>
    <t>C2区026</t>
  </si>
  <si>
    <t>C2区027B</t>
  </si>
  <si>
    <t>C2区028</t>
  </si>
  <si>
    <t>C2区029</t>
  </si>
  <si>
    <t>C2区030</t>
  </si>
  <si>
    <t>C2区031</t>
  </si>
  <si>
    <t>C2区032</t>
  </si>
  <si>
    <t>C2区033</t>
  </si>
  <si>
    <t>C2区034</t>
  </si>
  <si>
    <t>C2区051</t>
  </si>
  <si>
    <t>C2区052</t>
  </si>
  <si>
    <t>C2区053</t>
  </si>
  <si>
    <t>C2区054</t>
  </si>
  <si>
    <t>C2区055</t>
  </si>
  <si>
    <t>C2区056</t>
  </si>
  <si>
    <t>C2区057</t>
  </si>
  <si>
    <t>C2区058</t>
  </si>
  <si>
    <t>C2区059</t>
  </si>
  <si>
    <t>C2区060</t>
  </si>
  <si>
    <t>C2区061</t>
  </si>
  <si>
    <t>C2区062</t>
  </si>
  <si>
    <t>C2区062B</t>
  </si>
  <si>
    <t>C2区064</t>
  </si>
  <si>
    <t>C2区065</t>
  </si>
  <si>
    <t>C2区066</t>
  </si>
  <si>
    <t>C2区067</t>
  </si>
  <si>
    <t>C2区068</t>
  </si>
  <si>
    <t>C2区069</t>
  </si>
  <si>
    <t>C2区070</t>
  </si>
  <si>
    <t>C2区072</t>
  </si>
  <si>
    <t>C2区078</t>
  </si>
  <si>
    <t>C2区079</t>
  </si>
  <si>
    <t>C2区080</t>
  </si>
  <si>
    <t>C2区081</t>
  </si>
  <si>
    <t>C2区082</t>
  </si>
  <si>
    <t>C2区083</t>
  </si>
  <si>
    <t>C2区084</t>
  </si>
  <si>
    <t>C2区085</t>
  </si>
  <si>
    <t>C2区086</t>
  </si>
  <si>
    <t>C2区087</t>
  </si>
  <si>
    <t>C2区088</t>
  </si>
  <si>
    <t>C2区089</t>
  </si>
  <si>
    <t>C2区090</t>
  </si>
  <si>
    <t>C2区091</t>
  </si>
  <si>
    <t>C2区092</t>
  </si>
  <si>
    <t>C2区093</t>
  </si>
  <si>
    <t>C2区094</t>
  </si>
  <si>
    <t>C2区095</t>
  </si>
  <si>
    <t>C2区096</t>
  </si>
  <si>
    <t>C2区097</t>
  </si>
  <si>
    <t>C2区098</t>
  </si>
  <si>
    <t>C2区099</t>
  </si>
  <si>
    <t>C2区100</t>
  </si>
  <si>
    <t>C2区122</t>
  </si>
  <si>
    <t>C2区123</t>
  </si>
  <si>
    <t>C2区124</t>
  </si>
  <si>
    <t>C2区125</t>
  </si>
  <si>
    <t>C2区126</t>
  </si>
  <si>
    <t>C2区127</t>
  </si>
  <si>
    <t>C2区128</t>
  </si>
  <si>
    <t>C2区129</t>
  </si>
  <si>
    <t>C2区130</t>
  </si>
  <si>
    <t>C2区131</t>
  </si>
  <si>
    <t>C2区132</t>
  </si>
  <si>
    <t>C2区133</t>
  </si>
  <si>
    <t>C2区134</t>
  </si>
  <si>
    <t>C2区135</t>
  </si>
  <si>
    <t>C2区136</t>
  </si>
  <si>
    <t>C2区137</t>
  </si>
  <si>
    <t>C2区138</t>
  </si>
  <si>
    <t>C2区159</t>
  </si>
  <si>
    <t>C2区160</t>
  </si>
  <si>
    <t>C2区161</t>
  </si>
  <si>
    <t>C2区162</t>
  </si>
  <si>
    <t>C2区163</t>
  </si>
  <si>
    <t>C2区164</t>
  </si>
  <si>
    <t>C2区165</t>
  </si>
  <si>
    <t>C2区166</t>
  </si>
  <si>
    <t>C2区167</t>
  </si>
  <si>
    <t>C2区168</t>
  </si>
  <si>
    <t>C2区169</t>
  </si>
  <si>
    <t>C2区170</t>
  </si>
  <si>
    <t>C2区171</t>
  </si>
  <si>
    <t>C2区172</t>
  </si>
  <si>
    <t>C2区173</t>
  </si>
  <si>
    <t>C2区174</t>
  </si>
  <si>
    <t>C2区175</t>
  </si>
  <si>
    <t>C2区176</t>
  </si>
  <si>
    <t>C2区177</t>
  </si>
  <si>
    <t>C2区178</t>
  </si>
  <si>
    <t>C2区179</t>
  </si>
  <si>
    <t>C2区204</t>
  </si>
  <si>
    <t>C2区205</t>
  </si>
  <si>
    <t>C2区206</t>
  </si>
  <si>
    <t>C2区207</t>
  </si>
  <si>
    <t>C2区208</t>
  </si>
  <si>
    <t>C2区209</t>
  </si>
  <si>
    <t>C2区210</t>
  </si>
  <si>
    <t>C2区211</t>
  </si>
  <si>
    <t>C2区212</t>
  </si>
  <si>
    <t>C2区213</t>
  </si>
  <si>
    <t>C2区214</t>
  </si>
  <si>
    <t>C2区215</t>
  </si>
  <si>
    <t>C2区216</t>
  </si>
  <si>
    <t>C2区217</t>
  </si>
  <si>
    <t>C2区218</t>
  </si>
  <si>
    <t>C2区219</t>
  </si>
  <si>
    <t>C2区220</t>
  </si>
  <si>
    <t>C2区221</t>
  </si>
  <si>
    <t>C2区222</t>
  </si>
  <si>
    <t>C2区246</t>
  </si>
  <si>
    <t>C2区247</t>
  </si>
  <si>
    <t>C2区248</t>
  </si>
  <si>
    <t>C2区249</t>
  </si>
  <si>
    <t>C2区250</t>
  </si>
  <si>
    <t>C2区251</t>
  </si>
  <si>
    <t>C2区252</t>
  </si>
  <si>
    <t>C2区253</t>
  </si>
  <si>
    <t>C2区254</t>
  </si>
  <si>
    <t>C2区255</t>
  </si>
  <si>
    <t>C2区256</t>
  </si>
  <si>
    <t>C2区257</t>
  </si>
  <si>
    <t>C2区258</t>
  </si>
  <si>
    <t>C2区259</t>
  </si>
  <si>
    <t>C2区260</t>
  </si>
  <si>
    <t>C2区261</t>
  </si>
  <si>
    <t>C2区262</t>
  </si>
  <si>
    <t>C2区263</t>
  </si>
  <si>
    <t>C2区286</t>
  </si>
  <si>
    <t>C2区287</t>
  </si>
  <si>
    <t>C2区288</t>
  </si>
  <si>
    <t>C2区289</t>
  </si>
  <si>
    <t>C2区290</t>
  </si>
  <si>
    <t>C2区291</t>
  </si>
  <si>
    <t>C2区292</t>
  </si>
  <si>
    <t>C2区293</t>
  </si>
  <si>
    <t>C2区294</t>
  </si>
  <si>
    <t>C2区295</t>
  </si>
  <si>
    <t>C2区296</t>
  </si>
  <si>
    <t>C2区297</t>
  </si>
  <si>
    <t>C2区298</t>
  </si>
  <si>
    <t>C2区299</t>
  </si>
  <si>
    <t>C2区300</t>
  </si>
  <si>
    <t>C2区301</t>
  </si>
  <si>
    <t>C2区302</t>
  </si>
  <si>
    <t>C2区304</t>
  </si>
  <si>
    <t>C2区305</t>
  </si>
  <si>
    <t>C2区306</t>
  </si>
  <si>
    <t>C2区331</t>
  </si>
  <si>
    <t>C2区332</t>
  </si>
  <si>
    <t>C2区333</t>
  </si>
  <si>
    <t>C2区334</t>
  </si>
  <si>
    <t>C2区335</t>
  </si>
  <si>
    <t>C2区336</t>
  </si>
  <si>
    <t>C2区337</t>
  </si>
  <si>
    <t>C2区338</t>
  </si>
  <si>
    <t>C2区339</t>
  </si>
  <si>
    <t>C2区340</t>
  </si>
  <si>
    <t>C2区341</t>
  </si>
  <si>
    <t>C2区342</t>
  </si>
  <si>
    <t>C2区343</t>
  </si>
  <si>
    <t>C2区344</t>
  </si>
  <si>
    <t>C2区345</t>
  </si>
  <si>
    <t>C2区346</t>
  </si>
  <si>
    <t>C2区347</t>
  </si>
  <si>
    <t>C2区348</t>
  </si>
  <si>
    <t>C2区349</t>
  </si>
  <si>
    <t>C2区350</t>
  </si>
  <si>
    <t>C2区351</t>
  </si>
  <si>
    <t>C2区373</t>
  </si>
  <si>
    <t>C2区374</t>
  </si>
  <si>
    <t>C2区375</t>
  </si>
  <si>
    <t>C2区376</t>
  </si>
  <si>
    <t>C2区377</t>
  </si>
  <si>
    <t>C2区378</t>
  </si>
  <si>
    <t>C2区379</t>
  </si>
  <si>
    <t>C2区380</t>
  </si>
  <si>
    <t>C2区381</t>
  </si>
  <si>
    <t>C2区382</t>
  </si>
  <si>
    <t>C2区383</t>
  </si>
  <si>
    <t>C2区384</t>
  </si>
  <si>
    <t>C2区385</t>
  </si>
  <si>
    <t>C2区386</t>
  </si>
  <si>
    <t>C2区387</t>
  </si>
  <si>
    <t>C2区388</t>
  </si>
  <si>
    <t>C2区389</t>
  </si>
  <si>
    <t>C2区390</t>
  </si>
  <si>
    <t>C2区391</t>
  </si>
  <si>
    <t>C2区392</t>
  </si>
  <si>
    <t>C2区393</t>
  </si>
  <si>
    <t>C2区394</t>
  </si>
  <si>
    <t>C2区395</t>
  </si>
  <si>
    <t>C2区396</t>
  </si>
  <si>
    <t>C2区397</t>
  </si>
  <si>
    <t>C2区398</t>
  </si>
  <si>
    <t>C2区399</t>
  </si>
  <si>
    <t>C2区400</t>
  </si>
  <si>
    <t>C2区400B</t>
  </si>
  <si>
    <t>C2区401</t>
  </si>
  <si>
    <t>C2区401B</t>
  </si>
  <si>
    <t>C2区402</t>
  </si>
  <si>
    <t>C2区402B</t>
  </si>
  <si>
    <t>C2区403</t>
  </si>
  <si>
    <t>C2区404</t>
  </si>
  <si>
    <t>C2区405</t>
  </si>
  <si>
    <t>C2区406</t>
  </si>
  <si>
    <t>C2区407</t>
  </si>
  <si>
    <t>C2区408</t>
  </si>
  <si>
    <t>C2区409</t>
  </si>
  <si>
    <t>C2区410</t>
  </si>
  <si>
    <t>C2区411</t>
  </si>
  <si>
    <t>C2区412</t>
  </si>
  <si>
    <t>C2区413</t>
  </si>
  <si>
    <t>C2区414</t>
  </si>
  <si>
    <t>001</t>
  </si>
  <si>
    <t>002</t>
  </si>
  <si>
    <t>003</t>
  </si>
  <si>
    <t>004</t>
  </si>
  <si>
    <t>005</t>
  </si>
  <si>
    <t>005-2</t>
  </si>
  <si>
    <t>006</t>
  </si>
  <si>
    <t>006-2</t>
  </si>
  <si>
    <t>007</t>
  </si>
  <si>
    <t>007-2</t>
  </si>
  <si>
    <t>008</t>
  </si>
  <si>
    <t>008-2</t>
  </si>
  <si>
    <t>009</t>
  </si>
  <si>
    <t>009-2</t>
  </si>
  <si>
    <t>010</t>
  </si>
  <si>
    <t>010-2</t>
  </si>
  <si>
    <t>011</t>
  </si>
  <si>
    <t>011-2</t>
  </si>
  <si>
    <t>012</t>
  </si>
  <si>
    <t>012-2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</si>
  <si>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</si>
  <si>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</si>
  <si>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</si>
  <si>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</si>
  <si>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</si>
  <si>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</si>
  <si>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</si>
  <si>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</si>
  <si>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</si>
  <si>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</si>
  <si>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</si>
  <si>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</si>
  <si>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</si>
  <si>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</si>
  <si>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</si>
  <si>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</si>
  <si>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</si>
  <si>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</si>
  <si>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</si>
  <si>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</si>
  <si>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</si>
  <si>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</si>
  <si>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</si>
  <si>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</si>
  <si>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</si>
  <si>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</si>
  <si>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2-1</t>
  </si>
  <si>
    <t>2-10</t>
  </si>
  <si>
    <t>2-11</t>
  </si>
  <si>
    <t>2-12</t>
  </si>
  <si>
    <t>2-15</t>
  </si>
  <si>
    <t>2-17</t>
  </si>
  <si>
    <t>2-18</t>
  </si>
  <si>
    <t>2-19</t>
  </si>
  <si>
    <t>2-2</t>
  </si>
  <si>
    <t>2-20</t>
  </si>
  <si>
    <t>2-21</t>
  </si>
  <si>
    <t>2-22</t>
  </si>
  <si>
    <t>2-23</t>
  </si>
  <si>
    <t>2-25</t>
  </si>
  <si>
    <t>2-26</t>
  </si>
  <si>
    <t>2-27</t>
  </si>
  <si>
    <t>2-27-1</t>
  </si>
  <si>
    <t>2-28</t>
  </si>
  <si>
    <t>2-3</t>
  </si>
  <si>
    <t>2-30</t>
  </si>
  <si>
    <t>2-32</t>
  </si>
  <si>
    <t>2-36</t>
  </si>
  <si>
    <t>2-38</t>
  </si>
  <si>
    <t>2-5</t>
  </si>
  <si>
    <t>2-50</t>
  </si>
  <si>
    <t>2-52</t>
  </si>
  <si>
    <t>2-56</t>
  </si>
  <si>
    <t>2-58</t>
  </si>
  <si>
    <t>2-6</t>
  </si>
  <si>
    <t>2-60</t>
  </si>
  <si>
    <t>2-62</t>
  </si>
  <si>
    <t>2-66</t>
  </si>
  <si>
    <t>2-68</t>
  </si>
  <si>
    <t>2-7</t>
  </si>
  <si>
    <t>2-70</t>
  </si>
  <si>
    <t>2-72</t>
  </si>
  <si>
    <t>2-76</t>
  </si>
  <si>
    <t>2-8</t>
  </si>
  <si>
    <t>2-9</t>
  </si>
  <si>
    <t>-2</t>
  </si>
  <si>
    <t>1</t>
  </si>
  <si>
    <t>1-2</t>
  </si>
  <si>
    <t>-1</t>
  </si>
  <si>
    <r>
      <t>朝阳区百子湾路32号院2号楼</t>
    </r>
    <r>
      <rPr>
        <sz val="11"/>
        <color theme="1"/>
        <rFont val="DengXian"/>
        <charset val="134"/>
        <scheme val="minor"/>
      </rPr>
      <t>001</t>
    </r>
    <phoneticPr fontId="140" type="noConversion"/>
  </si>
  <si>
    <t>11区001</t>
  </si>
  <si>
    <t>11区002</t>
  </si>
  <si>
    <t>11区003</t>
  </si>
  <si>
    <t>11区004</t>
  </si>
  <si>
    <t>11区005</t>
  </si>
  <si>
    <t>11区006</t>
  </si>
  <si>
    <t>11区006-2</t>
  </si>
  <si>
    <t>11区007</t>
  </si>
  <si>
    <t>11区007-2</t>
  </si>
  <si>
    <t>11区008</t>
  </si>
  <si>
    <t>11区010</t>
  </si>
  <si>
    <t>11区014</t>
  </si>
  <si>
    <t>11区034</t>
  </si>
  <si>
    <t>11区035</t>
  </si>
  <si>
    <t>11区036</t>
  </si>
  <si>
    <t>11区037</t>
  </si>
  <si>
    <t>11区038</t>
  </si>
  <si>
    <t>11区039</t>
  </si>
  <si>
    <t>11区041</t>
  </si>
  <si>
    <t>11区042</t>
  </si>
  <si>
    <t>11区043</t>
  </si>
  <si>
    <t>11区044</t>
  </si>
  <si>
    <t>11区045</t>
  </si>
  <si>
    <t>11区046</t>
  </si>
  <si>
    <t>11区047</t>
  </si>
  <si>
    <t>11区048</t>
  </si>
  <si>
    <t>11区049</t>
  </si>
  <si>
    <t>11区050</t>
  </si>
  <si>
    <t>11区051</t>
  </si>
  <si>
    <t>11区052</t>
  </si>
  <si>
    <t>11区053</t>
  </si>
  <si>
    <t>11区054</t>
  </si>
  <si>
    <t>11区055</t>
  </si>
  <si>
    <t>11区056</t>
  </si>
  <si>
    <t>11区057</t>
  </si>
  <si>
    <t>11区059</t>
  </si>
  <si>
    <t>11区060</t>
  </si>
  <si>
    <t>11区061</t>
  </si>
  <si>
    <t>11区062</t>
  </si>
  <si>
    <t>11区063</t>
  </si>
  <si>
    <t>11区064</t>
  </si>
  <si>
    <t>11区065</t>
  </si>
  <si>
    <t>11区066</t>
  </si>
  <si>
    <t>11区067</t>
  </si>
  <si>
    <t>11区068</t>
  </si>
  <si>
    <t>11区069</t>
  </si>
  <si>
    <t>11区070</t>
  </si>
  <si>
    <t>11区071</t>
  </si>
  <si>
    <t>11区072</t>
  </si>
  <si>
    <t>11区073</t>
  </si>
  <si>
    <t>11区074</t>
  </si>
  <si>
    <t>11区075</t>
  </si>
  <si>
    <t>11区076</t>
  </si>
  <si>
    <t>11区077</t>
  </si>
  <si>
    <t>11区078</t>
  </si>
  <si>
    <t>11区079</t>
  </si>
  <si>
    <t>11区080</t>
  </si>
  <si>
    <t>11区081</t>
  </si>
  <si>
    <t>11区082</t>
  </si>
  <si>
    <t>11区083</t>
  </si>
  <si>
    <t>11区084</t>
  </si>
  <si>
    <t>11区086</t>
  </si>
  <si>
    <t>11区087</t>
  </si>
  <si>
    <t>11区088</t>
  </si>
  <si>
    <t>11区089</t>
  </si>
  <si>
    <t>11区090</t>
  </si>
  <si>
    <t>11区092</t>
  </si>
  <si>
    <t>11区093</t>
  </si>
  <si>
    <t>11区094</t>
  </si>
  <si>
    <t>11区095</t>
  </si>
  <si>
    <t>11区096</t>
  </si>
  <si>
    <t>11区097</t>
  </si>
  <si>
    <t>11区098</t>
  </si>
  <si>
    <t>11区099</t>
  </si>
  <si>
    <t>11区100</t>
  </si>
  <si>
    <t>11区101</t>
  </si>
  <si>
    <t>11区102</t>
  </si>
  <si>
    <t>11区103</t>
  </si>
  <si>
    <t>11区104</t>
  </si>
  <si>
    <t>11区107</t>
  </si>
  <si>
    <t>11区108</t>
  </si>
  <si>
    <t>11区109</t>
  </si>
  <si>
    <t>11区110</t>
  </si>
  <si>
    <t>11区111</t>
  </si>
  <si>
    <t>11区112</t>
  </si>
  <si>
    <t>11区113</t>
  </si>
  <si>
    <t>11区114</t>
  </si>
  <si>
    <t>11区116</t>
  </si>
  <si>
    <t>11区117</t>
  </si>
  <si>
    <t>11区119</t>
  </si>
  <si>
    <t>11区120</t>
  </si>
  <si>
    <t>11区121</t>
  </si>
  <si>
    <t>11区122</t>
  </si>
  <si>
    <t>11区123</t>
  </si>
  <si>
    <t>11区124</t>
  </si>
  <si>
    <t>11区125</t>
  </si>
  <si>
    <t>11区126</t>
  </si>
  <si>
    <t>11区127</t>
  </si>
  <si>
    <t>11区128</t>
  </si>
  <si>
    <t>11区129</t>
  </si>
  <si>
    <t>11区130</t>
  </si>
  <si>
    <t>11区131</t>
  </si>
  <si>
    <t>11区132</t>
  </si>
  <si>
    <t>11区133</t>
  </si>
  <si>
    <t>11区134</t>
  </si>
  <si>
    <t>11区135</t>
  </si>
  <si>
    <t>11区136</t>
  </si>
  <si>
    <t>11区137</t>
  </si>
  <si>
    <t>11区138</t>
  </si>
  <si>
    <t>11区139</t>
  </si>
  <si>
    <t>11区140</t>
  </si>
  <si>
    <t>11区141</t>
  </si>
  <si>
    <t>11区142</t>
  </si>
  <si>
    <t>11区143</t>
  </si>
  <si>
    <t>11区144</t>
  </si>
  <si>
    <t>11区145</t>
  </si>
  <si>
    <t>11区146</t>
  </si>
  <si>
    <t>11区147</t>
  </si>
  <si>
    <t>11区148</t>
  </si>
  <si>
    <t>11区174</t>
  </si>
  <si>
    <t>11区175</t>
  </si>
  <si>
    <t>11区184</t>
  </si>
  <si>
    <t>11区185</t>
  </si>
  <si>
    <t>11区186</t>
  </si>
  <si>
    <t>11区187</t>
  </si>
  <si>
    <t>11区188</t>
  </si>
  <si>
    <t>11区189</t>
  </si>
  <si>
    <t>11区190</t>
  </si>
  <si>
    <t>11区191</t>
  </si>
  <si>
    <t>11区192</t>
  </si>
  <si>
    <t>11区193</t>
  </si>
  <si>
    <t>11区194</t>
  </si>
  <si>
    <t>11区195</t>
  </si>
  <si>
    <t>11区196</t>
  </si>
  <si>
    <t>11区197</t>
  </si>
  <si>
    <t>11区198</t>
  </si>
  <si>
    <t>11区199</t>
  </si>
  <si>
    <t>11区200</t>
  </si>
  <si>
    <t>11区201</t>
  </si>
  <si>
    <t>11区202</t>
  </si>
  <si>
    <t>11区203</t>
  </si>
  <si>
    <t>11区204</t>
  </si>
  <si>
    <t>11区205</t>
  </si>
  <si>
    <t>11区206</t>
  </si>
  <si>
    <t>11区207</t>
  </si>
  <si>
    <t>11区208</t>
  </si>
  <si>
    <t>11区209</t>
  </si>
  <si>
    <t>11区210</t>
  </si>
  <si>
    <t>11区211</t>
  </si>
  <si>
    <t>11区212</t>
  </si>
  <si>
    <t>11区213</t>
  </si>
  <si>
    <t>11区214</t>
  </si>
  <si>
    <t>11区215</t>
  </si>
  <si>
    <t>11区216</t>
  </si>
  <si>
    <t>11区217</t>
  </si>
  <si>
    <t>11区218</t>
  </si>
  <si>
    <t>11区220</t>
  </si>
  <si>
    <t>11区221</t>
  </si>
  <si>
    <t>11区222</t>
  </si>
  <si>
    <t>11区223</t>
  </si>
  <si>
    <t>11区224</t>
  </si>
  <si>
    <t>11区225</t>
  </si>
  <si>
    <t>11区226</t>
  </si>
  <si>
    <t>11区227</t>
  </si>
  <si>
    <t>11区228</t>
  </si>
  <si>
    <t>11区229</t>
  </si>
  <si>
    <t>11区230</t>
  </si>
  <si>
    <t>11区231</t>
  </si>
  <si>
    <t>11区232</t>
  </si>
  <si>
    <t>11区233</t>
  </si>
  <si>
    <t>11区234</t>
  </si>
  <si>
    <t>11区235</t>
  </si>
  <si>
    <t>11区236</t>
  </si>
  <si>
    <t>11区237</t>
  </si>
  <si>
    <t>11区238</t>
  </si>
  <si>
    <t>11区239</t>
  </si>
  <si>
    <t>11区240</t>
  </si>
  <si>
    <t>11区241</t>
  </si>
  <si>
    <t>11区242</t>
  </si>
  <si>
    <t>11区243</t>
  </si>
  <si>
    <t>11区244</t>
  </si>
  <si>
    <t>11区245</t>
  </si>
  <si>
    <t>11区246</t>
  </si>
  <si>
    <t>11区247</t>
  </si>
  <si>
    <t>11区248</t>
  </si>
  <si>
    <t>11区249</t>
  </si>
  <si>
    <t>11区250</t>
  </si>
  <si>
    <t>11区251</t>
  </si>
  <si>
    <t>11区252</t>
  </si>
  <si>
    <t>11区253</t>
  </si>
  <si>
    <t>11区254</t>
  </si>
  <si>
    <t>11区255</t>
  </si>
  <si>
    <t>11区256</t>
  </si>
  <si>
    <t>11区257</t>
  </si>
  <si>
    <t>11区258</t>
  </si>
  <si>
    <t>11区259</t>
  </si>
  <si>
    <t>11区260</t>
  </si>
  <si>
    <t>11区261</t>
  </si>
  <si>
    <t>11区262</t>
  </si>
  <si>
    <t>11区263</t>
  </si>
  <si>
    <t>11区264</t>
  </si>
  <si>
    <t>11区265</t>
  </si>
  <si>
    <t>11区266</t>
  </si>
  <si>
    <t>11区267</t>
  </si>
  <si>
    <t>11区268</t>
  </si>
  <si>
    <t>11区269</t>
  </si>
  <si>
    <t>11区270</t>
  </si>
  <si>
    <t>11区271</t>
  </si>
  <si>
    <t>11区272</t>
  </si>
  <si>
    <t>11区273</t>
  </si>
  <si>
    <t>11区274</t>
  </si>
  <si>
    <t>11区275</t>
  </si>
  <si>
    <t>11区276</t>
  </si>
  <si>
    <t>11区277</t>
  </si>
  <si>
    <t>11区278</t>
  </si>
  <si>
    <t>11区279</t>
  </si>
  <si>
    <t>11区280</t>
  </si>
  <si>
    <t>11区281</t>
  </si>
  <si>
    <t>11区282</t>
  </si>
  <si>
    <t>11区283</t>
  </si>
  <si>
    <t>11区284</t>
  </si>
  <si>
    <t>11区285</t>
  </si>
  <si>
    <t>11区286</t>
  </si>
  <si>
    <t>11区287</t>
  </si>
  <si>
    <t>11区288</t>
  </si>
  <si>
    <t>11区289</t>
  </si>
  <si>
    <t>11区290</t>
  </si>
  <si>
    <t>11区291</t>
  </si>
  <si>
    <t>11区292</t>
  </si>
  <si>
    <t>11区293</t>
  </si>
  <si>
    <t>11区294</t>
  </si>
  <si>
    <t>11区295</t>
  </si>
  <si>
    <t>11区296</t>
  </si>
  <si>
    <t>11区297</t>
  </si>
  <si>
    <t>11区298</t>
  </si>
  <si>
    <t>11区299</t>
  </si>
  <si>
    <t>11区300</t>
  </si>
  <si>
    <t>11区301</t>
  </si>
  <si>
    <t>11区302</t>
  </si>
  <si>
    <t>11区303</t>
  </si>
  <si>
    <t>11区304</t>
  </si>
  <si>
    <t>11区305</t>
  </si>
  <si>
    <t>11区306</t>
  </si>
  <si>
    <t>11区307</t>
  </si>
  <si>
    <t>11区308</t>
  </si>
  <si>
    <t>11区309</t>
  </si>
  <si>
    <t>11区310</t>
  </si>
  <si>
    <t>11区311</t>
  </si>
  <si>
    <t>11区312</t>
  </si>
  <si>
    <t>11区313</t>
  </si>
  <si>
    <t>11区314</t>
  </si>
  <si>
    <t>11区315</t>
  </si>
  <si>
    <t>11区316</t>
  </si>
  <si>
    <t>11区317</t>
  </si>
  <si>
    <t>11区318</t>
  </si>
  <si>
    <t>11区319</t>
  </si>
  <si>
    <t>11区320</t>
  </si>
  <si>
    <t>11区321</t>
  </si>
  <si>
    <t>11区322-1</t>
  </si>
  <si>
    <t>11区323</t>
  </si>
  <si>
    <t>11区324</t>
  </si>
  <si>
    <t>11区325</t>
  </si>
  <si>
    <t>11区326</t>
  </si>
  <si>
    <t>11区327</t>
  </si>
  <si>
    <t>11区328</t>
  </si>
  <si>
    <t>11区329</t>
  </si>
  <si>
    <t>11区330</t>
  </si>
  <si>
    <t>11区331</t>
  </si>
  <si>
    <t>11区332</t>
  </si>
  <si>
    <t>11区333</t>
  </si>
  <si>
    <t>11区334</t>
  </si>
  <si>
    <t>11区335</t>
  </si>
  <si>
    <t>11区336</t>
  </si>
  <si>
    <t>11区337</t>
  </si>
  <si>
    <t>11区337-1</t>
  </si>
  <si>
    <t>11区338</t>
  </si>
  <si>
    <t>11区339</t>
  </si>
  <si>
    <t>11区340</t>
  </si>
  <si>
    <t>11区341</t>
  </si>
  <si>
    <t>11区342</t>
  </si>
  <si>
    <t>11区343</t>
  </si>
  <si>
    <t>11区344</t>
  </si>
  <si>
    <t>11区345</t>
  </si>
  <si>
    <t>11区346</t>
  </si>
  <si>
    <t>11区347</t>
  </si>
  <si>
    <t>11区348</t>
  </si>
  <si>
    <t>11区349</t>
  </si>
  <si>
    <t>11区350</t>
  </si>
  <si>
    <t>11区351</t>
  </si>
  <si>
    <t>11区352</t>
  </si>
  <si>
    <t>11区353</t>
  </si>
  <si>
    <t>11区354</t>
  </si>
  <si>
    <t>11区355</t>
  </si>
  <si>
    <t>11区356</t>
  </si>
  <si>
    <t>11区357</t>
  </si>
  <si>
    <t>11区358</t>
  </si>
  <si>
    <t>11区359</t>
  </si>
  <si>
    <t>11区360</t>
  </si>
  <si>
    <t>11区361</t>
  </si>
  <si>
    <t>11区362</t>
  </si>
  <si>
    <t>11区363</t>
  </si>
  <si>
    <t>11区364</t>
  </si>
  <si>
    <t>11区365</t>
  </si>
  <si>
    <t>11区366</t>
  </si>
  <si>
    <t>11区367</t>
  </si>
  <si>
    <t>11区368</t>
  </si>
  <si>
    <t>11区369</t>
  </si>
  <si>
    <t>11区370</t>
  </si>
  <si>
    <t>11区371</t>
  </si>
  <si>
    <t>11区372</t>
  </si>
  <si>
    <t>11区373</t>
  </si>
  <si>
    <t>11区374</t>
  </si>
  <si>
    <t>11区375</t>
  </si>
  <si>
    <t>11区376</t>
  </si>
  <si>
    <t>11区377</t>
  </si>
  <si>
    <t>11区378</t>
  </si>
  <si>
    <t>11区379</t>
  </si>
  <si>
    <t>11区380</t>
  </si>
  <si>
    <t>11区381</t>
  </si>
  <si>
    <t>11区382</t>
  </si>
  <si>
    <t>11区383</t>
  </si>
  <si>
    <t>11区384</t>
  </si>
  <si>
    <t>11区385</t>
  </si>
  <si>
    <t>11区386</t>
  </si>
  <si>
    <t>11区387</t>
  </si>
  <si>
    <t>11区388</t>
  </si>
  <si>
    <t>11区389</t>
  </si>
  <si>
    <t>11区390</t>
  </si>
  <si>
    <t>11区391</t>
  </si>
  <si>
    <t>11区392</t>
  </si>
  <si>
    <t>11区393</t>
  </si>
  <si>
    <t>11区394</t>
  </si>
  <si>
    <t>11区395</t>
  </si>
  <si>
    <t>11区396</t>
  </si>
  <si>
    <t>11区397</t>
  </si>
  <si>
    <t>11区398</t>
  </si>
  <si>
    <t>11区399</t>
  </si>
  <si>
    <t>11区400</t>
  </si>
  <si>
    <t>11区401</t>
  </si>
  <si>
    <t>11区402</t>
  </si>
  <si>
    <t>11区403</t>
  </si>
  <si>
    <t>11区404</t>
  </si>
  <si>
    <t>11区405</t>
  </si>
  <si>
    <t>11区406</t>
  </si>
  <si>
    <t>11区407</t>
  </si>
  <si>
    <t>11区408</t>
  </si>
  <si>
    <t>11区409</t>
  </si>
  <si>
    <t>11区410</t>
  </si>
  <si>
    <t>11区411</t>
  </si>
  <si>
    <t>11区412</t>
  </si>
  <si>
    <t>11区413</t>
  </si>
  <si>
    <t>11区414</t>
  </si>
  <si>
    <t>11区415</t>
  </si>
  <si>
    <t>11区416</t>
  </si>
  <si>
    <t>11区417</t>
  </si>
  <si>
    <t>11区418</t>
  </si>
  <si>
    <t>11区419</t>
  </si>
  <si>
    <t>21区039</t>
  </si>
  <si>
    <t>21区040</t>
  </si>
  <si>
    <t>21区041</t>
  </si>
  <si>
    <t>21区042</t>
  </si>
  <si>
    <t>21区043</t>
  </si>
  <si>
    <t>21区044</t>
  </si>
  <si>
    <t>21区045</t>
  </si>
  <si>
    <t>21区046</t>
  </si>
  <si>
    <t>21区047</t>
  </si>
  <si>
    <t>21区048</t>
  </si>
  <si>
    <t>21区049</t>
  </si>
  <si>
    <t>21区050</t>
  </si>
  <si>
    <t>21区051</t>
  </si>
  <si>
    <t>21区052</t>
  </si>
  <si>
    <t>21区053</t>
  </si>
  <si>
    <t>21区054</t>
  </si>
  <si>
    <t>21区055</t>
  </si>
  <si>
    <t>21区058</t>
  </si>
  <si>
    <t>21区061</t>
  </si>
  <si>
    <t>21区064</t>
  </si>
  <si>
    <t>21区065</t>
  </si>
  <si>
    <t>21区066</t>
  </si>
  <si>
    <t>21区068</t>
  </si>
  <si>
    <t>21区069</t>
  </si>
  <si>
    <t>21区070</t>
  </si>
  <si>
    <t>21区071</t>
  </si>
  <si>
    <t>21区072</t>
  </si>
  <si>
    <t>21区074</t>
  </si>
  <si>
    <t>21区075</t>
  </si>
  <si>
    <t>21区077</t>
  </si>
  <si>
    <t>21区079</t>
  </si>
  <si>
    <t>21区082</t>
  </si>
  <si>
    <t>21区083</t>
  </si>
  <si>
    <t>21区084</t>
  </si>
  <si>
    <t>21区086</t>
  </si>
  <si>
    <t>21区087</t>
  </si>
  <si>
    <t>21区088</t>
  </si>
  <si>
    <t>21区089</t>
  </si>
  <si>
    <t>21区090</t>
  </si>
  <si>
    <t>21区091</t>
  </si>
  <si>
    <t>21区092</t>
  </si>
  <si>
    <t>21区093</t>
  </si>
  <si>
    <t>21区094</t>
  </si>
  <si>
    <t>21区095</t>
  </si>
  <si>
    <t>21区097</t>
  </si>
  <si>
    <t>21区098</t>
  </si>
  <si>
    <t>21区099</t>
  </si>
  <si>
    <t>21区100</t>
  </si>
  <si>
    <t>21区101</t>
  </si>
  <si>
    <t>21区103</t>
  </si>
  <si>
    <t>21区104</t>
  </si>
  <si>
    <t>21区105</t>
  </si>
  <si>
    <t>21区106</t>
  </si>
  <si>
    <t>21区107</t>
  </si>
  <si>
    <t>21区109</t>
  </si>
  <si>
    <t>21区110</t>
  </si>
  <si>
    <t>21区111</t>
  </si>
  <si>
    <t>21区112</t>
  </si>
  <si>
    <t>21区113</t>
  </si>
  <si>
    <t>21区114</t>
  </si>
  <si>
    <t>21区115</t>
  </si>
  <si>
    <t>21区116</t>
  </si>
  <si>
    <t>21区117</t>
  </si>
  <si>
    <t>21区119</t>
  </si>
  <si>
    <t>21区120</t>
  </si>
  <si>
    <t>21区122</t>
  </si>
  <si>
    <t>21区123</t>
  </si>
  <si>
    <t>21区124</t>
  </si>
  <si>
    <t>21区125</t>
  </si>
  <si>
    <t>21区126</t>
  </si>
  <si>
    <t>21区127</t>
  </si>
  <si>
    <t>21区128</t>
  </si>
  <si>
    <t>21区129</t>
  </si>
  <si>
    <t>21区130</t>
  </si>
  <si>
    <t>21区131</t>
  </si>
  <si>
    <t>21区132</t>
  </si>
  <si>
    <t>21区133</t>
  </si>
  <si>
    <t>21区134</t>
  </si>
  <si>
    <t>21区135</t>
  </si>
  <si>
    <t>21区136</t>
  </si>
  <si>
    <t>21区147</t>
  </si>
  <si>
    <t>21区150</t>
  </si>
  <si>
    <t>21区157</t>
  </si>
  <si>
    <t>21区159</t>
  </si>
  <si>
    <t>21区174</t>
  </si>
  <si>
    <t>21区195</t>
  </si>
  <si>
    <t>21区198</t>
  </si>
  <si>
    <t>21区229</t>
  </si>
  <si>
    <t>21区230</t>
  </si>
  <si>
    <t>21区231</t>
  </si>
  <si>
    <t>21区232</t>
  </si>
  <si>
    <t>21区233</t>
  </si>
  <si>
    <t>21区234</t>
  </si>
  <si>
    <t>21区235</t>
  </si>
  <si>
    <t>21区237</t>
  </si>
  <si>
    <t>21区238</t>
  </si>
  <si>
    <t>21区239</t>
  </si>
  <si>
    <t>21区240</t>
  </si>
  <si>
    <t>21区241</t>
  </si>
  <si>
    <t>21区242</t>
  </si>
  <si>
    <t>21区243</t>
  </si>
  <si>
    <t>21区244</t>
  </si>
  <si>
    <t>21区245</t>
  </si>
  <si>
    <t>21区247</t>
  </si>
  <si>
    <t>21区248</t>
  </si>
  <si>
    <t>21区249</t>
  </si>
  <si>
    <t>21区250</t>
  </si>
  <si>
    <t>21区251</t>
  </si>
  <si>
    <t>21区252</t>
  </si>
  <si>
    <t>21区253</t>
  </si>
  <si>
    <t>21区254</t>
  </si>
  <si>
    <t>21区255</t>
  </si>
  <si>
    <t>21区256</t>
  </si>
  <si>
    <t>21区257</t>
  </si>
  <si>
    <t>21区258</t>
  </si>
  <si>
    <t>21区259</t>
  </si>
  <si>
    <t>21区260</t>
  </si>
  <si>
    <t>21区261</t>
  </si>
  <si>
    <t>21区262</t>
  </si>
  <si>
    <t>21区263</t>
  </si>
  <si>
    <t>21区264</t>
  </si>
  <si>
    <t>21区265</t>
  </si>
  <si>
    <t>21区266</t>
  </si>
  <si>
    <t>21区267</t>
  </si>
  <si>
    <t>21区268</t>
  </si>
  <si>
    <t>21区269</t>
  </si>
  <si>
    <t>21区270</t>
  </si>
  <si>
    <t>21区271</t>
  </si>
  <si>
    <t>21区272</t>
  </si>
  <si>
    <t>21区273</t>
  </si>
  <si>
    <t>21区274</t>
  </si>
  <si>
    <t>21区275</t>
  </si>
  <si>
    <t>21区276</t>
  </si>
  <si>
    <t>21区277</t>
  </si>
  <si>
    <t>21区278</t>
  </si>
  <si>
    <t>21区279</t>
  </si>
  <si>
    <t>21区280</t>
  </si>
  <si>
    <t>21区283</t>
  </si>
  <si>
    <t>21区284</t>
  </si>
  <si>
    <t>21区285</t>
  </si>
  <si>
    <t>21区286</t>
  </si>
  <si>
    <t>21区287</t>
  </si>
  <si>
    <t>21区288</t>
  </si>
  <si>
    <t>21区289</t>
  </si>
  <si>
    <t>21区290</t>
  </si>
  <si>
    <t>21区292</t>
  </si>
  <si>
    <t>21区293</t>
  </si>
  <si>
    <t>21区294</t>
  </si>
  <si>
    <t>21区295</t>
  </si>
  <si>
    <t>21区296</t>
  </si>
  <si>
    <t>21区297</t>
  </si>
  <si>
    <t>21区298</t>
  </si>
  <si>
    <t>21区299</t>
  </si>
  <si>
    <t>21区300</t>
  </si>
  <si>
    <t>21区301</t>
  </si>
  <si>
    <t>21区302</t>
  </si>
  <si>
    <t>21区303</t>
  </si>
  <si>
    <t>21区304</t>
  </si>
  <si>
    <t>21区305</t>
  </si>
  <si>
    <t>21区306</t>
  </si>
  <si>
    <t>21区307</t>
  </si>
  <si>
    <t>21区308</t>
  </si>
  <si>
    <t>21区309</t>
  </si>
  <si>
    <t>21区310</t>
  </si>
  <si>
    <t>21区311</t>
  </si>
  <si>
    <t>21区312</t>
  </si>
  <si>
    <t>21区313</t>
  </si>
  <si>
    <t>21区314</t>
  </si>
  <si>
    <t>21区315</t>
  </si>
  <si>
    <t>21区316</t>
  </si>
  <si>
    <t>21区317</t>
  </si>
  <si>
    <t>21区318</t>
  </si>
  <si>
    <t>21区319</t>
  </si>
  <si>
    <t>21区320</t>
  </si>
  <si>
    <t>21区321</t>
  </si>
  <si>
    <t>21区322</t>
  </si>
  <si>
    <t>21区323</t>
  </si>
  <si>
    <t>21区324</t>
  </si>
  <si>
    <t>21区325</t>
  </si>
  <si>
    <t>21区326</t>
  </si>
  <si>
    <t>21区327</t>
  </si>
  <si>
    <t>21区329</t>
  </si>
  <si>
    <t>31区001</t>
  </si>
  <si>
    <t>31区002</t>
  </si>
  <si>
    <t>31区003</t>
  </si>
  <si>
    <t>31区004</t>
  </si>
  <si>
    <t>31区006</t>
  </si>
  <si>
    <t>31区007</t>
  </si>
  <si>
    <t>31区016</t>
  </si>
  <si>
    <t>31区017</t>
  </si>
  <si>
    <t>31区024</t>
  </si>
  <si>
    <t>31区025</t>
  </si>
  <si>
    <t>31区026</t>
  </si>
  <si>
    <t>31区093</t>
  </si>
  <si>
    <t>31区096</t>
  </si>
  <si>
    <t>31区097</t>
  </si>
  <si>
    <t>31区098</t>
  </si>
  <si>
    <t>31区099</t>
  </si>
  <si>
    <t>31区100</t>
  </si>
  <si>
    <t>31区101</t>
  </si>
  <si>
    <t>31区104</t>
  </si>
  <si>
    <t>31区118</t>
  </si>
  <si>
    <t>31区119</t>
  </si>
  <si>
    <t>31区121</t>
  </si>
  <si>
    <t>31区122</t>
  </si>
  <si>
    <t>31区123</t>
  </si>
  <si>
    <t>31区124</t>
  </si>
  <si>
    <t>31区125</t>
  </si>
  <si>
    <t>31区126</t>
  </si>
  <si>
    <t>31区127</t>
  </si>
  <si>
    <t>31区128</t>
  </si>
  <si>
    <t>31区129</t>
  </si>
  <si>
    <t>31区130</t>
  </si>
  <si>
    <t>31区131</t>
  </si>
  <si>
    <t>31区132</t>
  </si>
  <si>
    <t>31区133</t>
  </si>
  <si>
    <t>31区134</t>
  </si>
  <si>
    <t>31区135</t>
  </si>
  <si>
    <t>31区160</t>
  </si>
  <si>
    <t>31区197</t>
  </si>
  <si>
    <t>31区198</t>
  </si>
  <si>
    <t>31区199</t>
  </si>
  <si>
    <t>31区200</t>
  </si>
  <si>
    <t>31区201</t>
  </si>
  <si>
    <t>31区202</t>
  </si>
  <si>
    <t>31区203</t>
  </si>
  <si>
    <t>31区204</t>
  </si>
  <si>
    <t>31区205</t>
  </si>
  <si>
    <t>31区206</t>
  </si>
  <si>
    <t>31区207</t>
  </si>
  <si>
    <t>31区208</t>
  </si>
  <si>
    <t>31区209</t>
  </si>
  <si>
    <t>31区210</t>
  </si>
  <si>
    <t>31区211</t>
  </si>
  <si>
    <t>31区212</t>
  </si>
  <si>
    <t>31区213</t>
  </si>
  <si>
    <t>31区214</t>
  </si>
  <si>
    <t>31区215</t>
  </si>
  <si>
    <t>31区234</t>
  </si>
  <si>
    <t>31区235</t>
  </si>
  <si>
    <t>31区236</t>
  </si>
  <si>
    <t>31区237</t>
  </si>
  <si>
    <t>31区238</t>
  </si>
  <si>
    <t>31区239</t>
  </si>
  <si>
    <t>31区241</t>
  </si>
  <si>
    <t>31区242</t>
  </si>
  <si>
    <t>31区243</t>
  </si>
  <si>
    <t>31区244</t>
  </si>
  <si>
    <t>31区245</t>
  </si>
  <si>
    <t>31区246</t>
  </si>
  <si>
    <t>31区248</t>
  </si>
  <si>
    <t>31区249</t>
  </si>
  <si>
    <t>31区252</t>
  </si>
  <si>
    <t>31区274</t>
  </si>
  <si>
    <t>31区275</t>
  </si>
  <si>
    <t>31区276</t>
  </si>
  <si>
    <t>31区277</t>
  </si>
  <si>
    <t>31区278</t>
  </si>
  <si>
    <t>31区279</t>
  </si>
  <si>
    <t>31区280</t>
  </si>
  <si>
    <t>31区281</t>
  </si>
  <si>
    <t>31区282</t>
  </si>
  <si>
    <t>31区283</t>
  </si>
  <si>
    <t>31区284</t>
  </si>
  <si>
    <t>31区285</t>
  </si>
  <si>
    <t>31区286</t>
  </si>
  <si>
    <t>31区287</t>
  </si>
  <si>
    <t>31区288</t>
  </si>
  <si>
    <t>31区289</t>
  </si>
  <si>
    <t>31区290</t>
  </si>
  <si>
    <t>31区291</t>
  </si>
  <si>
    <t>31区292</t>
  </si>
  <si>
    <t>31区293</t>
  </si>
  <si>
    <t>31区294</t>
  </si>
  <si>
    <t>31区316</t>
  </si>
  <si>
    <t>31区317</t>
  </si>
  <si>
    <t>31区318</t>
  </si>
  <si>
    <t>31区319</t>
  </si>
  <si>
    <t>31区320</t>
  </si>
  <si>
    <t>31区321</t>
  </si>
  <si>
    <t>31区322</t>
  </si>
  <si>
    <t>31区323</t>
  </si>
  <si>
    <t>31区324</t>
  </si>
  <si>
    <t>31区325</t>
  </si>
  <si>
    <t>31区326</t>
  </si>
  <si>
    <t>31区327</t>
  </si>
  <si>
    <t>31区328</t>
  </si>
  <si>
    <t>31区329</t>
  </si>
  <si>
    <t>31区330</t>
  </si>
  <si>
    <t>31区331</t>
  </si>
  <si>
    <t>31区332</t>
  </si>
  <si>
    <t>31区333</t>
  </si>
  <si>
    <t>31区334</t>
  </si>
  <si>
    <t>31区335</t>
  </si>
  <si>
    <t>31区336</t>
  </si>
  <si>
    <t>22区048</t>
  </si>
  <si>
    <t>22区049</t>
  </si>
  <si>
    <t>22区050</t>
  </si>
  <si>
    <t>22区303</t>
  </si>
  <si>
    <t>22区304</t>
  </si>
  <si>
    <t>22区305</t>
  </si>
  <si>
    <t>22区306</t>
  </si>
  <si>
    <t>22区307</t>
  </si>
  <si>
    <t>22区308</t>
  </si>
  <si>
    <t>22区309</t>
  </si>
  <si>
    <t>22区310</t>
  </si>
  <si>
    <t>22区311</t>
  </si>
  <si>
    <t>22区312</t>
  </si>
  <si>
    <t>32区182</t>
  </si>
  <si>
    <t>32区183</t>
  </si>
  <si>
    <t>32区184</t>
  </si>
  <si>
    <t>32区185</t>
  </si>
  <si>
    <t>32区186</t>
  </si>
  <si>
    <t>32区187</t>
  </si>
  <si>
    <t>32区188</t>
  </si>
  <si>
    <t>32区189</t>
  </si>
  <si>
    <t>32区190</t>
  </si>
  <si>
    <t>32区191</t>
  </si>
  <si>
    <t>32区192</t>
  </si>
  <si>
    <t>32区193</t>
  </si>
  <si>
    <t>32区194</t>
  </si>
  <si>
    <t>32区195</t>
  </si>
  <si>
    <t>32区196</t>
  </si>
  <si>
    <t>32区197</t>
  </si>
  <si>
    <t>32区198</t>
  </si>
  <si>
    <t>32区199</t>
  </si>
  <si>
    <t>32区200</t>
  </si>
  <si>
    <t>32区201</t>
  </si>
  <si>
    <t>32区202</t>
  </si>
  <si>
    <t>32区203</t>
  </si>
  <si>
    <t>32区223</t>
  </si>
  <si>
    <t>32区224</t>
  </si>
  <si>
    <t>32区225</t>
  </si>
  <si>
    <t>32区226</t>
  </si>
  <si>
    <t>32区227</t>
  </si>
  <si>
    <t>32区228</t>
  </si>
  <si>
    <t>32区229</t>
  </si>
  <si>
    <t>32区230</t>
  </si>
  <si>
    <t>32区231</t>
  </si>
  <si>
    <t>32区232</t>
  </si>
  <si>
    <t>32区233</t>
  </si>
  <si>
    <t>32区234</t>
  </si>
  <si>
    <t>32区235</t>
  </si>
  <si>
    <t>32区236</t>
  </si>
  <si>
    <t>32区237</t>
  </si>
  <si>
    <t>32区238</t>
  </si>
  <si>
    <t>32区239</t>
  </si>
  <si>
    <t>32区240</t>
  </si>
  <si>
    <t>32区241</t>
  </si>
  <si>
    <t>32区242</t>
  </si>
  <si>
    <t>32区243</t>
  </si>
  <si>
    <t>32区244</t>
  </si>
  <si>
    <t>32区245</t>
  </si>
  <si>
    <t>32区264</t>
  </si>
  <si>
    <t>32区265</t>
  </si>
  <si>
    <t>32区266</t>
  </si>
  <si>
    <t>32区267</t>
  </si>
  <si>
    <t>32区268</t>
  </si>
  <si>
    <t>32区269</t>
  </si>
  <si>
    <t>32区270</t>
  </si>
  <si>
    <t>32区271</t>
  </si>
  <si>
    <t>32区272</t>
  </si>
  <si>
    <t>32区273</t>
  </si>
  <si>
    <t>32区274</t>
  </si>
  <si>
    <t>32区275</t>
  </si>
  <si>
    <t>32区276</t>
  </si>
  <si>
    <t>32区277</t>
  </si>
  <si>
    <t>32区278</t>
  </si>
  <si>
    <t>32区279</t>
  </si>
  <si>
    <t>32区280</t>
  </si>
  <si>
    <t>32区281</t>
  </si>
  <si>
    <t>32区282</t>
  </si>
  <si>
    <t>32区283</t>
  </si>
  <si>
    <t>32区284</t>
  </si>
  <si>
    <t>32区285</t>
  </si>
  <si>
    <t>32区307</t>
  </si>
  <si>
    <t>32区308</t>
  </si>
  <si>
    <t>32区309</t>
  </si>
  <si>
    <t>32区310</t>
  </si>
  <si>
    <t>32区311</t>
  </si>
  <si>
    <t>32区312</t>
  </si>
  <si>
    <t>32区313</t>
  </si>
  <si>
    <t>32区314</t>
  </si>
  <si>
    <t>32区315</t>
  </si>
  <si>
    <t>32区316</t>
  </si>
  <si>
    <t>32区317</t>
  </si>
  <si>
    <t>32区318</t>
  </si>
  <si>
    <t>32区319</t>
  </si>
  <si>
    <t>32区320</t>
  </si>
  <si>
    <t>32区321</t>
  </si>
  <si>
    <t>32区322</t>
  </si>
  <si>
    <t>32区323</t>
  </si>
  <si>
    <t>32区324</t>
  </si>
  <si>
    <t>32区325</t>
  </si>
  <si>
    <t>32区326</t>
  </si>
  <si>
    <t>32区327</t>
  </si>
  <si>
    <t>32区328</t>
  </si>
  <si>
    <t>32区329</t>
  </si>
  <si>
    <t>32区330</t>
  </si>
  <si>
    <t>32区352</t>
  </si>
  <si>
    <t>32区353</t>
  </si>
  <si>
    <t>32区354</t>
  </si>
  <si>
    <t>32区355</t>
  </si>
  <si>
    <t>32区356</t>
  </si>
  <si>
    <t>32区357</t>
  </si>
  <si>
    <t>32区358</t>
  </si>
  <si>
    <t>32区359</t>
  </si>
  <si>
    <t>32区360</t>
  </si>
  <si>
    <t>32区361</t>
  </si>
  <si>
    <t>32区362</t>
  </si>
  <si>
    <t>32区363</t>
  </si>
  <si>
    <t>32区364</t>
  </si>
  <si>
    <t>32区365</t>
  </si>
  <si>
    <t>32区366</t>
  </si>
  <si>
    <t>32区367</t>
  </si>
  <si>
    <t>32区368</t>
  </si>
  <si>
    <t>32区369</t>
  </si>
  <si>
    <t>32区370</t>
  </si>
  <si>
    <t>32区371</t>
  </si>
  <si>
    <t>32区372</t>
  </si>
  <si>
    <t>-3</t>
  </si>
  <si>
    <r>
      <t>朝阳区百子湾路32号院7号楼</t>
    </r>
    <r>
      <rPr>
        <sz val="11"/>
        <color theme="1"/>
        <rFont val="DengXian"/>
        <charset val="134"/>
        <scheme val="minor"/>
      </rPr>
      <t>11区001</t>
    </r>
    <phoneticPr fontId="140" type="noConversion"/>
  </si>
  <si>
    <t>总计</t>
    <phoneticPr fontId="140" type="noConversion"/>
  </si>
  <si>
    <t>楼层</t>
    <phoneticPr fontId="140" type="noConversion"/>
  </si>
  <si>
    <t>面积</t>
    <phoneticPr fontId="140" type="noConversion"/>
  </si>
  <si>
    <t>抵押物清单</t>
  </si>
  <si>
    <r>
      <rPr>
        <sz val="10"/>
        <rFont val="宋体"/>
        <family val="3"/>
        <charset val="134"/>
      </rPr>
      <t>坐落：朝阳区百子湾路32号院（1</t>
    </r>
    <r>
      <rPr>
        <sz val="10"/>
        <rFont val="宋体"/>
        <family val="3"/>
        <charset val="134"/>
      </rPr>
      <t>号楼、</t>
    </r>
    <r>
      <rPr>
        <sz val="10"/>
        <rFont val="宋体"/>
        <family val="3"/>
        <charset val="134"/>
      </rPr>
      <t>2号楼、3号楼、7号楼</t>
    </r>
    <r>
      <rPr>
        <sz val="10"/>
        <rFont val="宋体"/>
        <family val="3"/>
        <charset val="134"/>
      </rPr>
      <t>）</t>
    </r>
  </si>
  <si>
    <t>幢号</t>
  </si>
  <si>
    <t>结构</t>
  </si>
  <si>
    <t>竣工
日期</t>
  </si>
  <si>
    <t>房屋规划用途</t>
  </si>
  <si>
    <t>户型或间数</t>
  </si>
  <si>
    <t>建筑面积 （平方米）</t>
  </si>
  <si>
    <t>地上</t>
  </si>
  <si>
    <t>所在</t>
  </si>
  <si>
    <t>地下</t>
  </si>
  <si>
    <t>1号楼</t>
  </si>
  <si>
    <t>钢筋混凝土结构</t>
  </si>
  <si>
    <t/>
  </si>
  <si>
    <t>33/3</t>
  </si>
  <si>
    <t>其它</t>
  </si>
  <si>
    <t>1号楼332套小计面积</t>
  </si>
  <si>
    <t>2号楼</t>
  </si>
  <si>
    <t>21( -3)</t>
  </si>
  <si>
    <t>复式</t>
  </si>
  <si>
    <t>2号楼85套小计面积</t>
  </si>
  <si>
    <t>3号楼</t>
  </si>
  <si>
    <t>12/3</t>
  </si>
  <si>
    <t>B座商业10</t>
  </si>
  <si>
    <t>B座商业2</t>
  </si>
  <si>
    <t>3号楼16套小计面积</t>
  </si>
  <si>
    <t>7号楼</t>
  </si>
  <si>
    <t>0/3</t>
  </si>
  <si>
    <t>7号楼777套小计面积</t>
  </si>
  <si>
    <r>
      <rPr>
        <sz val="10"/>
        <rFont val="Times New Roman"/>
        <family val="1"/>
      </rPr>
      <t>1210</t>
    </r>
    <r>
      <rPr>
        <sz val="10"/>
        <rFont val="宋体"/>
        <family val="3"/>
        <charset val="134"/>
      </rPr>
      <t>套面积合计</t>
    </r>
  </si>
  <si>
    <r>
      <rPr>
        <sz val="10"/>
        <rFont val="宋体"/>
        <family val="3"/>
        <charset val="134"/>
      </rPr>
      <t xml:space="preserve">   上述抵押物清单内坐落于朝阳区百子湾路32号院1号楼-3层C2区400等332套房;</t>
    </r>
    <r>
      <rPr>
        <sz val="10"/>
        <rFont val="宋体"/>
        <family val="3"/>
        <charset val="134"/>
      </rPr>
      <t>2号楼1层2-68等85套房，</t>
    </r>
    <r>
      <rPr>
        <sz val="10"/>
        <rFont val="宋体"/>
        <family val="3"/>
        <charset val="134"/>
      </rPr>
      <t>3号楼-2层车库、-1层超市等16套房;7号楼-3层22区048等777套房总建筑面积51698.54平方米。</t>
    </r>
  </si>
  <si>
    <t>抵押人:北京今典鸿运房地产开发有限公司                         抵押权人:</t>
  </si>
  <si>
    <r>
      <t>7</t>
    </r>
    <r>
      <rPr>
        <sz val="11"/>
        <color theme="1"/>
        <rFont val="DengXian"/>
        <charset val="134"/>
        <scheme val="minor"/>
      </rPr>
      <t>#</t>
    </r>
    <phoneticPr fontId="140" type="noConversion"/>
  </si>
  <si>
    <t>1#2#3#</t>
    <phoneticPr fontId="140" type="noConversion"/>
  </si>
  <si>
    <t>（刘朝阳、常畅）</t>
    <phoneticPr fontId="140" type="noConversion"/>
  </si>
  <si>
    <t>（钱金霞、彭雅博）</t>
    <phoneticPr fontId="140" type="noConversion"/>
  </si>
  <si>
    <t>（宁小鳗、李诗霖）</t>
    <phoneticPr fontId="140" type="noConversion"/>
  </si>
  <si>
    <t>21、31、32区</t>
    <phoneticPr fontId="140" type="noConversion"/>
  </si>
  <si>
    <t>11区</t>
    <phoneticPr fontId="140" type="noConversion"/>
  </si>
  <si>
    <t>收益法-商业</t>
    <rPh sb="0" eb="1">
      <t>shou yi fa</t>
    </rPh>
    <rPh sb="4" eb="5">
      <t>shang ye</t>
    </rPh>
    <phoneticPr fontId="16" type="noConversion"/>
  </si>
  <si>
    <t>收益法-车位</t>
    <rPh sb="0" eb="1">
      <t>shou yi fa</t>
    </rPh>
    <rPh sb="4" eb="5">
      <t>che wei</t>
    </rPh>
    <phoneticPr fontId="16" type="noConversion"/>
  </si>
  <si>
    <t>成本法-商业</t>
    <rPh sb="0" eb="1">
      <t>cehng ben fa</t>
    </rPh>
    <rPh sb="4" eb="5">
      <t>shang ye</t>
    </rPh>
    <phoneticPr fontId="16" type="noConversion"/>
  </si>
  <si>
    <t>成本法-车位</t>
    <rPh sb="0" eb="1">
      <t>cheng ben fa</t>
    </rPh>
    <rPh sb="4" eb="5">
      <t>che wei</t>
    </rPh>
    <phoneticPr fontId="16" type="noConversion"/>
  </si>
  <si>
    <r>
      <t>朝阳区百子湾路3</t>
    </r>
    <r>
      <rPr>
        <sz val="11"/>
        <color theme="1"/>
        <rFont val="DengXian"/>
        <charset val="134"/>
        <scheme val="minor"/>
      </rPr>
      <t>2号院1号楼</t>
    </r>
    <phoneticPr fontId="140" type="noConversion"/>
  </si>
  <si>
    <t>物业租金收入</t>
  </si>
  <si>
    <t>房产证号</t>
  </si>
  <si>
    <t>楼号</t>
  </si>
  <si>
    <t>房产证房号</t>
  </si>
  <si>
    <t>面积</t>
  </si>
  <si>
    <t>抵押物清单面积</t>
  </si>
  <si>
    <t>现铺位号</t>
  </si>
  <si>
    <t>承租人名称</t>
  </si>
  <si>
    <t>实际租赁面积</t>
  </si>
  <si>
    <t>合同租赁期</t>
  </si>
  <si>
    <t>年均租金（不含税）</t>
  </si>
  <si>
    <t>是否抵押</t>
  </si>
  <si>
    <t>备注</t>
  </si>
  <si>
    <t>X京房权证朝字第615659号</t>
  </si>
  <si>
    <t>1、2</t>
  </si>
  <si>
    <t>1号：59.26
2号：57.21</t>
  </si>
  <si>
    <t>柒一拾壹（北京）有限公司</t>
  </si>
  <si>
    <t>3、5</t>
  </si>
  <si>
    <t>北京蓝城兄弟信息技术有限公司</t>
  </si>
  <si>
    <t>2#楼二层5号，一层3号</t>
  </si>
  <si>
    <t>5</t>
  </si>
  <si>
    <t>淡蓝（北京）传媒有限公司</t>
  </si>
  <si>
    <t>2#楼一层5#</t>
  </si>
  <si>
    <t>6、8</t>
  </si>
  <si>
    <t>6号：42.57
8号：46.34</t>
  </si>
  <si>
    <t>北京鸿翔记餐饮管理有限公司</t>
  </si>
  <si>
    <t>7</t>
  </si>
  <si>
    <t>北京猩球互动网络科技有限公司</t>
  </si>
  <si>
    <t>7A</t>
  </si>
  <si>
    <t>北京蓝城兄弟文化传媒有限公司</t>
  </si>
  <si>
    <t>9</t>
  </si>
  <si>
    <t>盛宏祥（北京）国际商业管理顾问有限公司</t>
  </si>
  <si>
    <t>11、17</t>
  </si>
  <si>
    <t>11号：44.26
17号：120.17</t>
  </si>
  <si>
    <t>北京快乐蜂连锁商业有限公司</t>
  </si>
  <si>
    <t>12、16</t>
  </si>
  <si>
    <t>12号：46.9
16号：无</t>
  </si>
  <si>
    <t>北京香飘意浓咖啡有限责任公司</t>
  </si>
  <si>
    <t>16为物业用房</t>
  </si>
  <si>
    <t>15</t>
  </si>
  <si>
    <t>北京新宇腾达商贸有限公司</t>
  </si>
  <si>
    <t>18</t>
  </si>
  <si>
    <t>苏日娜</t>
  </si>
  <si>
    <t>19</t>
  </si>
  <si>
    <t>李振雨</t>
  </si>
  <si>
    <t>19C</t>
  </si>
  <si>
    <t>刘彦希</t>
  </si>
  <si>
    <t>19B</t>
  </si>
  <si>
    <t>20</t>
  </si>
  <si>
    <t>北京蓁果餐饮管理有限公司</t>
  </si>
  <si>
    <t>20A</t>
  </si>
  <si>
    <t>耿乐</t>
  </si>
  <si>
    <t>21</t>
  </si>
  <si>
    <t>北京祥鼎科技发展有限公司</t>
  </si>
  <si>
    <t>23</t>
  </si>
  <si>
    <t>姜丽</t>
  </si>
  <si>
    <t>25、76</t>
  </si>
  <si>
    <t>25号:88.45
76号:99.51</t>
  </si>
  <si>
    <t>北京红雀酒吧管理公司</t>
  </si>
  <si>
    <t>26</t>
  </si>
  <si>
    <t>北京蓝城佑宁健康管理有限公司</t>
  </si>
  <si>
    <t>28</t>
  </si>
  <si>
    <t>30</t>
  </si>
  <si>
    <t>北京盛壹服装设计有限公司</t>
  </si>
  <si>
    <t>32</t>
  </si>
  <si>
    <t>威妮唯你（北京）商贸有限公司</t>
  </si>
  <si>
    <t>36</t>
  </si>
  <si>
    <t>周静静</t>
  </si>
  <si>
    <t>38</t>
  </si>
  <si>
    <t>舒雨帆</t>
  </si>
  <si>
    <t>50</t>
  </si>
  <si>
    <t>北京倾花漾商务管理有限公司</t>
  </si>
  <si>
    <t>52</t>
  </si>
  <si>
    <t>北京柚你大麦科技有限公司</t>
  </si>
  <si>
    <t>56</t>
  </si>
  <si>
    <t>北京佰利林顿贸易有限公司</t>
  </si>
  <si>
    <t>58</t>
  </si>
  <si>
    <t>孙睿宝</t>
  </si>
  <si>
    <t>60、62</t>
  </si>
  <si>
    <t>60号：48.96
62号：48.61</t>
  </si>
  <si>
    <t>北京栖木寄卖行有限公司</t>
  </si>
  <si>
    <t>66</t>
  </si>
  <si>
    <t>北京集舍服装商贸有限公司（换租）</t>
  </si>
  <si>
    <t>68</t>
  </si>
  <si>
    <t>屈阳</t>
  </si>
  <si>
    <t>70</t>
  </si>
  <si>
    <t>北京杂品无章艺术品店</t>
  </si>
  <si>
    <t>72</t>
  </si>
  <si>
    <t>SYER IAN ALAN CHRISTORHER</t>
  </si>
  <si>
    <t>缺22、27</t>
  </si>
  <si>
    <t>B1-1</t>
  </si>
  <si>
    <t>北京爱上布丁文化传媒有限公司</t>
  </si>
  <si>
    <t>B1-1K</t>
  </si>
  <si>
    <t>朱永建</t>
  </si>
  <si>
    <t>B1-2、12</t>
  </si>
  <si>
    <t>周常琼</t>
  </si>
  <si>
    <t>B1-3、13</t>
  </si>
  <si>
    <t>B1-4</t>
  </si>
  <si>
    <t>北京天宇印象文化传媒有限公司</t>
  </si>
  <si>
    <t>B1-5、16</t>
  </si>
  <si>
    <t>北京稚焰体育科技有限公司</t>
  </si>
  <si>
    <t>B1-6、18</t>
  </si>
  <si>
    <t>B1-8K</t>
  </si>
  <si>
    <t>陈大伟</t>
  </si>
  <si>
    <t>B1-7</t>
  </si>
  <si>
    <t>北京二五二九建筑设计咨询有限公司</t>
  </si>
  <si>
    <t>B1-9</t>
  </si>
  <si>
    <t>张天游</t>
  </si>
  <si>
    <t>B1-11</t>
  </si>
  <si>
    <t>北京米苏视觉婚纱摄影工作室</t>
  </si>
  <si>
    <t>B1-10</t>
  </si>
  <si>
    <t>北京春日魔法商贸有限责任公司</t>
  </si>
  <si>
    <t>B1-15</t>
  </si>
  <si>
    <t>樊广雨</t>
  </si>
  <si>
    <t>B1-15K</t>
  </si>
  <si>
    <t>铂约意堤（北京）国际贸易有限公司</t>
  </si>
  <si>
    <t>B1-14</t>
  </si>
  <si>
    <t>胡云</t>
  </si>
  <si>
    <t>B1-17</t>
  </si>
  <si>
    <t>北京菩美娜贸易有限公司</t>
  </si>
  <si>
    <t>B1-18K</t>
  </si>
  <si>
    <t>北京今日亮陶艺文化有限公司</t>
  </si>
  <si>
    <t>B1-20</t>
  </si>
  <si>
    <t>卢尚弘</t>
  </si>
  <si>
    <t>B1-21</t>
  </si>
  <si>
    <t>陈丙清</t>
  </si>
  <si>
    <t>B1-25、B2-22</t>
  </si>
  <si>
    <t>马志明</t>
  </si>
  <si>
    <t>B2-6</t>
  </si>
  <si>
    <t>B2-13、20</t>
  </si>
  <si>
    <t>石啸</t>
  </si>
  <si>
    <t>B2-15</t>
  </si>
  <si>
    <t>刘敏</t>
  </si>
  <si>
    <t>B2-18</t>
  </si>
  <si>
    <t>方禾（北京）文化传媒有限公司（扩租）</t>
  </si>
  <si>
    <t>B2-21</t>
  </si>
  <si>
    <t>李想</t>
  </si>
  <si>
    <t>B2-9、10、11</t>
  </si>
  <si>
    <t>北京墨魂文化传播有限公司</t>
  </si>
  <si>
    <t>B2-4</t>
  </si>
  <si>
    <t>北京沉银文化有限公司</t>
  </si>
  <si>
    <t>B2-7</t>
  </si>
  <si>
    <t>北京银河国际拍卖有限公司</t>
  </si>
  <si>
    <t>B3-11</t>
  </si>
  <si>
    <t>郝国柱</t>
  </si>
  <si>
    <t>B3-2</t>
  </si>
  <si>
    <t>路明宇</t>
  </si>
  <si>
    <t>B3-1</t>
  </si>
  <si>
    <t>北京诺泽建筑装饰工程有限公司</t>
  </si>
  <si>
    <t>B3-5</t>
  </si>
  <si>
    <t>北京李子艺林服饰有限公司</t>
  </si>
  <si>
    <t>B3-7</t>
  </si>
  <si>
    <t>北京华星远大文化传媒有限公司</t>
  </si>
  <si>
    <t>B3-3、4</t>
  </si>
  <si>
    <t>北京艾多文化传媒有限公司</t>
  </si>
  <si>
    <t>X京房权证朝其字第550572号</t>
  </si>
  <si>
    <t>5（2层）</t>
  </si>
  <si>
    <t>粟秋萍</t>
  </si>
  <si>
    <t>5（1层）</t>
  </si>
  <si>
    <t>满刚</t>
  </si>
  <si>
    <t>11</t>
  </si>
  <si>
    <t>黄丹</t>
  </si>
  <si>
    <t>王华平</t>
  </si>
  <si>
    <t>16</t>
  </si>
  <si>
    <t>乔宇</t>
  </si>
  <si>
    <t>王嘉禹</t>
  </si>
  <si>
    <t>杨凯（扩租）</t>
  </si>
  <si>
    <t>22</t>
  </si>
  <si>
    <t>北京法图映像摄影文化发展有限公司</t>
  </si>
  <si>
    <t>北京墨苏科技有限公司</t>
  </si>
  <si>
    <t>北京微客科技有限公司</t>
  </si>
  <si>
    <t>王杰娜</t>
  </si>
  <si>
    <t>刘凯</t>
  </si>
  <si>
    <t>A1-7\8\9\10</t>
  </si>
  <si>
    <t>北京法映像文化发展有限公司</t>
    <phoneticPr fontId="140" type="noConversion"/>
  </si>
  <si>
    <t>负1层：353.11
负2层：1389.34</t>
  </si>
  <si>
    <t>A1-11</t>
  </si>
  <si>
    <t>北京法映像文化发展有限公司</t>
  </si>
  <si>
    <t>A1-12</t>
  </si>
  <si>
    <t>A1-11A</t>
  </si>
  <si>
    <t>B1-19</t>
  </si>
  <si>
    <t>赵文勇</t>
  </si>
  <si>
    <t>何桂青</t>
  </si>
  <si>
    <t>楼号</t>
    <phoneticPr fontId="140" type="noConversion"/>
  </si>
  <si>
    <t>登记房号</t>
    <phoneticPr fontId="140" type="noConversion"/>
  </si>
  <si>
    <t>现状房号</t>
    <rPh sb="0" eb="1">
      <t>xian zhuang</t>
    </rPh>
    <rPh sb="2" eb="3">
      <t>fang hao</t>
    </rPh>
    <phoneticPr fontId="140" type="noConversion"/>
  </si>
  <si>
    <t>登记建面</t>
    <phoneticPr fontId="140" type="noConversion"/>
  </si>
  <si>
    <t>实际租赁面积</t>
    <phoneticPr fontId="140" type="noConversion"/>
  </si>
  <si>
    <t>出租比率</t>
    <rPh sb="0" eb="1">
      <t>chu zu</t>
    </rPh>
    <rPh sb="2" eb="3">
      <t>bi lü</t>
    </rPh>
    <phoneticPr fontId="140" type="noConversion"/>
  </si>
  <si>
    <t>合同租赁期</t>
    <phoneticPr fontId="140" type="noConversion"/>
  </si>
  <si>
    <t>剩余租期</t>
    <rPh sb="0" eb="1">
      <t>shng yu</t>
    </rPh>
    <rPh sb="2" eb="3">
      <t>zu qi</t>
    </rPh>
    <phoneticPr fontId="140" type="noConversion"/>
  </si>
  <si>
    <t>年均租金（不含税）</t>
    <phoneticPr fontId="140" type="noConversion"/>
  </si>
  <si>
    <t>建筑面积租金</t>
    <rPh sb="0" eb="1">
      <t>jian zhu mian ji</t>
    </rPh>
    <rPh sb="4" eb="5">
      <t>zu jin</t>
    </rPh>
    <phoneticPr fontId="140" type="noConversion"/>
  </si>
  <si>
    <t>实际租金</t>
    <rPh sb="0" eb="1">
      <t>shi ji</t>
    </rPh>
    <rPh sb="2" eb="3">
      <t>zu jin</t>
    </rPh>
    <phoneticPr fontId="140" type="noConversion"/>
  </si>
  <si>
    <t>5</t>
    <phoneticPr fontId="140" type="noConversion"/>
  </si>
  <si>
    <t>11</t>
    <phoneticPr fontId="140" type="noConversion"/>
  </si>
  <si>
    <t>15</t>
    <phoneticPr fontId="140" type="noConversion"/>
  </si>
  <si>
    <t>3号楼</t>
    <phoneticPr fontId="140" type="noConversion"/>
  </si>
  <si>
    <t>A座商业11</t>
    <phoneticPr fontId="140" type="noConversion"/>
  </si>
  <si>
    <t>16</t>
    <phoneticPr fontId="140" type="noConversion"/>
  </si>
  <si>
    <t>1-2</t>
    <phoneticPr fontId="140" type="noConversion"/>
  </si>
  <si>
    <t>18</t>
    <phoneticPr fontId="140" type="noConversion"/>
  </si>
  <si>
    <t>20</t>
    <phoneticPr fontId="140" type="noConversion"/>
  </si>
  <si>
    <t>22</t>
    <phoneticPr fontId="140" type="noConversion"/>
  </si>
  <si>
    <t>26</t>
    <phoneticPr fontId="140" type="noConversion"/>
  </si>
  <si>
    <t>28</t>
    <phoneticPr fontId="140" type="noConversion"/>
  </si>
  <si>
    <t>30</t>
    <phoneticPr fontId="140" type="noConversion"/>
  </si>
  <si>
    <t>32</t>
    <phoneticPr fontId="140" type="noConversion"/>
  </si>
  <si>
    <t>36</t>
    <phoneticPr fontId="140" type="noConversion"/>
  </si>
  <si>
    <t>-</t>
    <phoneticPr fontId="140" type="noConversion"/>
  </si>
  <si>
    <t>0</t>
    <phoneticPr fontId="140" type="noConversion"/>
  </si>
  <si>
    <t>1-2层</t>
    <rPh sb="3" eb="4">
      <t>ceng</t>
    </rPh>
    <phoneticPr fontId="140" type="noConversion"/>
  </si>
  <si>
    <t>7A</t>
    <phoneticPr fontId="140" type="noConversion"/>
  </si>
  <si>
    <t>19B</t>
    <phoneticPr fontId="140" type="noConversion"/>
  </si>
  <si>
    <t xml:space="preserve">19C </t>
    <phoneticPr fontId="140" type="noConversion"/>
  </si>
  <si>
    <t>20A</t>
    <phoneticPr fontId="140" type="noConversion"/>
  </si>
  <si>
    <t>1层</t>
    <rPh sb="1" eb="2">
      <t>ceng</t>
    </rPh>
    <phoneticPr fontId="140" type="noConversion"/>
  </si>
  <si>
    <t>负1层</t>
    <rPh sb="0" eb="1">
      <t>fu</t>
    </rPh>
    <rPh sb="2" eb="3">
      <t>ceng</t>
    </rPh>
    <phoneticPr fontId="140" type="noConversion"/>
  </si>
  <si>
    <t>商业</t>
    <rPh sb="0" eb="1">
      <t>shang ye</t>
    </rPh>
    <phoneticPr fontId="7" type="noConversion"/>
  </si>
  <si>
    <t>成新度</t>
  </si>
  <si>
    <t>已包含在土地取得成本中</t>
  </si>
  <si>
    <t>未包含在土地购买价格中</t>
  </si>
  <si>
    <t>押一</t>
  </si>
  <si>
    <t>按租金收入计税</t>
  </si>
  <si>
    <t>钢混</t>
  </si>
  <si>
    <t>非生产用房</t>
  </si>
  <si>
    <t>-</t>
  </si>
  <si>
    <t>项目局部</t>
  </si>
  <si>
    <t>单价</t>
    <rPh sb="0" eb="1">
      <t>dan jia</t>
    </rPh>
    <phoneticPr fontId="140" type="noConversion"/>
  </si>
  <si>
    <t>总价</t>
    <rPh sb="0" eb="1">
      <t>zong jia</t>
    </rPh>
    <phoneticPr fontId="140" type="noConversion"/>
  </si>
  <si>
    <t>1#</t>
    <phoneticPr fontId="140" type="noConversion"/>
  </si>
  <si>
    <t>建筑总面积（不含人防）</t>
    <phoneticPr fontId="3" type="noConversion"/>
  </si>
  <si>
    <r>
      <t>其</t>
    </r>
    <r>
      <rPr>
        <sz val="10"/>
        <rFont val="Times New Roman"/>
        <family val="1"/>
      </rPr>
      <t xml:space="preserve">  </t>
    </r>
    <r>
      <rPr>
        <sz val="10"/>
        <rFont val="宋体"/>
        <family val="3"/>
        <charset val="134"/>
      </rPr>
      <t>中</t>
    </r>
    <phoneticPr fontId="3" type="noConversion"/>
  </si>
  <si>
    <r>
      <t xml:space="preserve">地上主体面积 </t>
    </r>
    <r>
      <rPr>
        <vertAlign val="superscript"/>
        <sz val="10"/>
        <rFont val="宋体"/>
        <family val="3"/>
        <charset val="134"/>
      </rPr>
      <t xml:space="preserve"> </t>
    </r>
    <phoneticPr fontId="3" type="noConversion"/>
  </si>
  <si>
    <t xml:space="preserve">地下面积 </t>
    <phoneticPr fontId="3" type="noConversion"/>
  </si>
  <si>
    <t xml:space="preserve">屋面附属用房面积 </t>
    <phoneticPr fontId="3" type="noConversion"/>
  </si>
  <si>
    <t>车位</t>
    <rPh sb="0" eb="1">
      <t>ceh wei</t>
    </rPh>
    <phoneticPr fontId="140" type="noConversion"/>
  </si>
  <si>
    <t>非配套公建</t>
    <rPh sb="0" eb="1">
      <t>fei pei tao</t>
    </rPh>
    <rPh sb="3" eb="4">
      <t>gong jian</t>
    </rPh>
    <phoneticPr fontId="140" type="noConversion"/>
  </si>
  <si>
    <t>房屋用途</t>
    <rPh sb="0" eb="1">
      <t>fang wu</t>
    </rPh>
    <rPh sb="2" eb="3">
      <t>yong tu</t>
    </rPh>
    <phoneticPr fontId="140" type="noConversion"/>
  </si>
  <si>
    <t>套数</t>
    <rPh sb="0" eb="1">
      <t>tao shu</t>
    </rPh>
    <phoneticPr fontId="140" type="noConversion"/>
  </si>
  <si>
    <t>建筑面积</t>
    <rPh sb="0" eb="1">
      <t>jian zhu mian ji</t>
    </rPh>
    <phoneticPr fontId="140" type="noConversion"/>
  </si>
  <si>
    <t>公寓</t>
    <rPh sb="0" eb="1">
      <t>gong yu</t>
    </rPh>
    <phoneticPr fontId="140" type="noConversion"/>
  </si>
  <si>
    <t>总计</t>
    <rPh sb="0" eb="1">
      <t>zong ji</t>
    </rPh>
    <phoneticPr fontId="140" type="noConversion"/>
  </si>
  <si>
    <t>层  次</t>
  </si>
  <si>
    <t>01</t>
  </si>
  <si>
    <t>02</t>
  </si>
  <si>
    <t>2#</t>
    <phoneticPr fontId="140" type="noConversion"/>
  </si>
  <si>
    <t xml:space="preserve">另有人防面积 </t>
    <phoneticPr fontId="3" type="noConversion"/>
  </si>
  <si>
    <t>地上层数</t>
    <phoneticPr fontId="3" type="noConversion"/>
  </si>
  <si>
    <t>地下层数</t>
    <phoneticPr fontId="3" type="noConversion"/>
  </si>
  <si>
    <t>3</t>
  </si>
  <si>
    <t>33</t>
  </si>
  <si>
    <t>配套公建</t>
    <rPh sb="2" eb="3">
      <t>gong jian</t>
    </rPh>
    <phoneticPr fontId="140" type="noConversion"/>
  </si>
  <si>
    <t>住宅</t>
    <rPh sb="0" eb="1">
      <t>zhu zahi</t>
    </rPh>
    <phoneticPr fontId="140" type="noConversion"/>
  </si>
  <si>
    <t>总计</t>
    <rPh sb="0" eb="1">
      <t>zng ji</t>
    </rPh>
    <phoneticPr fontId="140" type="noConversion"/>
  </si>
  <si>
    <t>含人防1898.51平方米</t>
  </si>
  <si>
    <t>备    注</t>
    <phoneticPr fontId="3" type="noConversion"/>
  </si>
  <si>
    <t>3#</t>
    <phoneticPr fontId="140" type="noConversion"/>
  </si>
  <si>
    <r>
      <t>建筑总面积</t>
    </r>
    <r>
      <rPr>
        <sz val="10"/>
        <rFont val="宋体"/>
        <family val="3"/>
        <charset val="134"/>
      </rPr>
      <t>（含人防）</t>
    </r>
    <phoneticPr fontId="3" type="noConversion"/>
  </si>
  <si>
    <t xml:space="preserve">人防面积 </t>
    <phoneticPr fontId="3" type="noConversion"/>
  </si>
  <si>
    <t>12</t>
  </si>
  <si>
    <t xml:space="preserve">备注： "位于本楼地下二层的本楼超市、车库、管理用房、商业、住宅共同分摊的中水机房、报警阀室251.28平方米,本楼分得0.00平方米"
"位于本楼地下一层的本楼超市、车库、商业共同分摊的5#变配电室447.97平方米,本楼分得0.00平方米"
"位于1号楼、2号楼、3号楼、院街的本楼超市、车库、管理用房、商业、住宅共同分摊的1号楼、2号楼、3号楼、院街、超市、车库、公交场站、美术馆共有1821.14平方米,本楼分得201.49平方米"
"位于2号楼地下三层的本楼超市、管理用房、商业、住宅共同分摊的热交换站、生活水池及泵房934.00平方米,本楼分得120.76平方米"
"位于2号楼、3号楼地下一层的本楼超市、车库、商业共同分摊的2号变配电室、5号变配电室963.40平方米,本楼分得59.40平方米"
"位于2号楼地下三层的本楼超市、商业共同分摊的空调机房260.86平方米,本楼分得21.34平方米"
"位于院街的本楼超市、车库共同分摊的1号出口、2号出口、16号出口、19号出口、21号出口、1号卫生间、2号卫生间、6号卫生间768.22平方米,本楼分得24.17平方米"
本楼建筑面积29809.68平米，从本楼分摊出公用建筑面积699.25平米
</t>
    <phoneticPr fontId="3" type="noConversion"/>
  </si>
  <si>
    <t>含人防2129.07平方米</t>
  </si>
  <si>
    <t>7#</t>
    <phoneticPr fontId="140" type="noConversion"/>
  </si>
  <si>
    <t>0</t>
  </si>
  <si>
    <t>车位</t>
    <rPh sb="0" eb="1">
      <t>che wei</t>
    </rPh>
    <phoneticPr fontId="140" type="noConversion"/>
  </si>
  <si>
    <t>总计</t>
    <rPh sb="0" eb="1">
      <t>zon ji g</t>
    </rPh>
    <phoneticPr fontId="140" type="noConversion"/>
  </si>
  <si>
    <t>含人防18128.10平方米</t>
  </si>
  <si>
    <t>其中有人防面积214.90平方米实际所在层为01层,含人防332.54平方米</t>
  </si>
  <si>
    <t>土地面积</t>
    <rPh sb="0" eb="1">
      <t>tu di mian ji</t>
    </rPh>
    <phoneticPr fontId="140" type="noConversion"/>
  </si>
  <si>
    <t>建筑面积</t>
    <rPh sb="0" eb="1">
      <t>jian zhu mi a ji</t>
    </rPh>
    <rPh sb="2" eb="3">
      <t>mian ji</t>
    </rPh>
    <phoneticPr fontId="140" type="noConversion"/>
  </si>
  <si>
    <t>地上建筑面积</t>
    <rPh sb="0" eb="1">
      <t>di hsang</t>
    </rPh>
    <rPh sb="2" eb="3">
      <t>jian zhu min ji</t>
    </rPh>
    <rPh sb="4" eb="5">
      <t>mian ji</t>
    </rPh>
    <phoneticPr fontId="140" type="noConversion"/>
  </si>
  <si>
    <t>租金</t>
  </si>
  <si>
    <t>苹果社区北区</t>
    <rPh sb="0" eb="1">
      <t>ping guo she qu</t>
    </rPh>
    <rPh sb="4" eb="5">
      <t>bei qu</t>
    </rPh>
    <phoneticPr fontId="3" type="noConversion"/>
  </si>
  <si>
    <t>百子湾路32号</t>
    <rPh sb="0" eb="1">
      <t>bai zi wan lu</t>
    </rPh>
    <rPh sb="6" eb="7">
      <t>hao</t>
    </rPh>
    <phoneticPr fontId="3" type="noConversion"/>
  </si>
  <si>
    <t>正常</t>
  </si>
  <si>
    <t>商业</t>
    <rPh sb="0" eb="1">
      <t>shang ye</t>
    </rPh>
    <phoneticPr fontId="31" type="noConversion"/>
  </si>
  <si>
    <t>20-30（含）</t>
  </si>
  <si>
    <t>6号院</t>
    <rPh sb="1" eb="2">
      <t>hao yuan</t>
    </rPh>
    <phoneticPr fontId="140" type="noConversion"/>
  </si>
  <si>
    <t>建筑面积租金比例</t>
    <rPh sb="0" eb="1">
      <t>jian zhu</t>
    </rPh>
    <rPh sb="2" eb="3">
      <t>mian ji</t>
    </rPh>
    <rPh sb="4" eb="5">
      <t>zu jin</t>
    </rPh>
    <rPh sb="6" eb="7">
      <t>bi li</t>
    </rPh>
    <phoneticPr fontId="140" type="noConversion"/>
  </si>
  <si>
    <t>套内面积租金比例</t>
    <rPh sb="0" eb="1">
      <t>tao nei</t>
    </rPh>
    <rPh sb="2" eb="3">
      <t>mian ji</t>
    </rPh>
    <rPh sb="4" eb="5">
      <t>zu jin</t>
    </rPh>
    <rPh sb="6" eb="7">
      <t>bi li</t>
    </rPh>
    <phoneticPr fontId="140" type="noConversion"/>
  </si>
  <si>
    <t>平均值</t>
    <rPh sb="0" eb="1">
      <t>ping jun zhi</t>
    </rPh>
    <phoneticPr fontId="140" type="noConversion"/>
  </si>
  <si>
    <t>租约统计</t>
    <rPh sb="0" eb="1">
      <t>zu yue</t>
    </rPh>
    <rPh sb="2" eb="3">
      <t>tong ji</t>
    </rPh>
    <phoneticPr fontId="140" type="noConversion"/>
  </si>
  <si>
    <t>楼层修正系数</t>
    <rPh sb="0" eb="1">
      <t>lou ceng xiu zheng</t>
    </rPh>
    <rPh sb="4" eb="5">
      <t>xi shu</t>
    </rPh>
    <phoneticPr fontId="140" type="noConversion"/>
  </si>
  <si>
    <t>价格</t>
    <rPh sb="0" eb="1">
      <t>jia ge</t>
    </rPh>
    <phoneticPr fontId="140" type="noConversion"/>
  </si>
  <si>
    <t>建筑面积</t>
    <rPh sb="0" eb="1">
      <t>jian zhu</t>
    </rPh>
    <rPh sb="2" eb="3">
      <t>mian ji</t>
    </rPh>
    <phoneticPr fontId="140" type="noConversion"/>
  </si>
  <si>
    <t>平均售价</t>
    <rPh sb="0" eb="1">
      <t>ping jun shou ia</t>
    </rPh>
    <rPh sb="2" eb="3">
      <t>shou jia</t>
    </rPh>
    <phoneticPr fontId="140" type="noConversion"/>
  </si>
  <si>
    <t>小计</t>
    <rPh sb="0" eb="1">
      <t>xiao ji</t>
    </rPh>
    <rPh sb="1" eb="2">
      <t>ji suan</t>
    </rPh>
    <phoneticPr fontId="140" type="noConversion"/>
  </si>
  <si>
    <t>合计</t>
    <rPh sb="0" eb="1">
      <t>he ji</t>
    </rPh>
    <phoneticPr fontId="140" type="noConversion"/>
  </si>
  <si>
    <t>1#</t>
    <phoneticPr fontId="140" type="noConversion"/>
  </si>
  <si>
    <t>2#</t>
    <phoneticPr fontId="140" type="noConversion"/>
  </si>
  <si>
    <t>3#</t>
    <phoneticPr fontId="140" type="noConversion"/>
  </si>
  <si>
    <t>7#</t>
    <phoneticPr fontId="140" type="noConversion"/>
  </si>
  <si>
    <t>楼号</t>
    <rPh sb="0" eb="1">
      <t>lou hao</t>
    </rPh>
    <phoneticPr fontId="140" type="noConversion"/>
  </si>
  <si>
    <t>评估值</t>
    <rPh sb="0" eb="1">
      <t>ping gu zh</t>
    </rPh>
    <phoneticPr fontId="140" type="noConversion"/>
  </si>
  <si>
    <t>收费</t>
    <rPh sb="0" eb="1">
      <t>shou fei</t>
    </rPh>
    <phoneticPr fontId="140" type="noConversion"/>
  </si>
  <si>
    <t>商业</t>
    <rPh sb="0" eb="1">
      <t>shang ye</t>
    </rPh>
    <phoneticPr fontId="140" type="noConversion"/>
  </si>
  <si>
    <t>建筑面积平均租金</t>
    <rPh sb="0" eb="1">
      <t>jian zhu</t>
    </rPh>
    <rPh sb="2" eb="3">
      <t>mian ji</t>
    </rPh>
    <rPh sb="4" eb="5">
      <t>ping jun</t>
    </rPh>
    <rPh sb="6" eb="7">
      <t>zu jin</t>
    </rPh>
    <phoneticPr fontId="140" type="noConversion"/>
  </si>
  <si>
    <t>套内面积平均租金</t>
    <rPh sb="0" eb="1">
      <t>tao nei</t>
    </rPh>
    <rPh sb="4" eb="5">
      <t>ping jun zu jin</t>
    </rPh>
    <phoneticPr fontId="140" type="noConversion"/>
  </si>
  <si>
    <t>楼层</t>
    <rPh sb="0" eb="1">
      <t>lou ceng</t>
    </rPh>
    <phoneticPr fontId="140" type="noConversion"/>
  </si>
  <si>
    <t>测算结果</t>
    <rPh sb="0" eb="1">
      <t>ce suan</t>
    </rPh>
    <rPh sb="2" eb="3">
      <t>jie guo</t>
    </rPh>
    <phoneticPr fontId="140" type="noConversion"/>
  </si>
  <si>
    <t>租金</t>
    <rPh sb="0" eb="1">
      <t>zu jin</t>
    </rPh>
    <phoneticPr fontId="140" type="noConversion"/>
  </si>
  <si>
    <t>总值收费</t>
    <rPh sb="0" eb="1">
      <t>zong zhi</t>
    </rPh>
    <rPh sb="1" eb="2">
      <t>zhi</t>
    </rPh>
    <rPh sb="2" eb="3">
      <t>shou fei</t>
    </rPh>
    <phoneticPr fontId="140" type="noConversion"/>
  </si>
  <si>
    <t>2#1-2层</t>
    <rPh sb="5" eb="6">
      <t>ceng</t>
    </rPh>
    <phoneticPr fontId="140" type="noConversion"/>
  </si>
  <si>
    <t>3#1-2层</t>
    <rPh sb="5" eb="6">
      <t>ceng</t>
    </rPh>
    <phoneticPr fontId="140" type="noConversion"/>
  </si>
  <si>
    <t>全部缴纳</t>
  </si>
  <si>
    <t>23</t>
    <phoneticPr fontId="140" type="noConversion"/>
  </si>
  <si>
    <t>商业街内</t>
    <rPh sb="0" eb="1">
      <t>sahng ye jie</t>
    </rPh>
    <rPh sb="3" eb="4">
      <t>nei</t>
    </rPh>
    <phoneticPr fontId="140" type="noConversion"/>
  </si>
  <si>
    <t>临路</t>
    <rPh sb="0" eb="1">
      <t>lin</t>
    </rPh>
    <rPh sb="1" eb="2">
      <t>lu</t>
    </rPh>
    <phoneticPr fontId="140" type="noConversion"/>
  </si>
  <si>
    <t>建筑面积</t>
    <rPh sb="0" eb="1">
      <t>jian zhu mian ji</t>
    </rPh>
    <phoneticPr fontId="31" type="noConversion"/>
  </si>
  <si>
    <t>市调租金</t>
    <rPh sb="2" eb="3">
      <t>zu jin</t>
    </rPh>
    <phoneticPr fontId="140" type="noConversion"/>
  </si>
  <si>
    <t>商业街1层</t>
    <rPh sb="0" eb="1">
      <t>shnag ye jie</t>
    </rPh>
    <rPh sb="4" eb="5">
      <t>ceng</t>
    </rPh>
    <phoneticPr fontId="140" type="noConversion"/>
  </si>
  <si>
    <t>租金水平</t>
    <rPh sb="0" eb="1">
      <t>zu jin</t>
    </rPh>
    <rPh sb="2" eb="3">
      <t>shui ping</t>
    </rPh>
    <phoneticPr fontId="140" type="noConversion"/>
  </si>
  <si>
    <t>10-11</t>
    <phoneticPr fontId="140" type="noConversion"/>
  </si>
  <si>
    <t>临街1层</t>
    <rPh sb="0" eb="1">
      <t>lin jie</t>
    </rPh>
    <rPh sb="3" eb="4">
      <t>ceng</t>
    </rPh>
    <phoneticPr fontId="140" type="noConversion"/>
  </si>
  <si>
    <t>11.5</t>
    <phoneticPr fontId="140" type="noConversion"/>
  </si>
  <si>
    <t>9</t>
    <phoneticPr fontId="140" type="noConversion"/>
  </si>
  <si>
    <t>4.5</t>
    <phoneticPr fontId="140" type="noConversion"/>
  </si>
  <si>
    <t>利息：取LPR加浮动点数</t>
  </si>
  <si>
    <t>较好</t>
  </si>
  <si>
    <t>较好</t>
    <rPh sb="0" eb="1">
      <t>jiao hao</t>
    </rPh>
    <phoneticPr fontId="31" type="noConversion"/>
  </si>
  <si>
    <t>七通</t>
  </si>
  <si>
    <t>七通</t>
    <phoneticPr fontId="31" type="noConversion"/>
  </si>
  <si>
    <t>一般</t>
    <rPh sb="0" eb="1">
      <t>yi ban</t>
    </rPh>
    <phoneticPr fontId="31" type="noConversion"/>
  </si>
  <si>
    <t>钢混</t>
    <rPh sb="0" eb="1">
      <t>gang hun</t>
    </rPh>
    <phoneticPr fontId="31" type="noConversion"/>
  </si>
  <si>
    <t>一般</t>
    <rPh sb="0" eb="1">
      <t>yi bna</t>
    </rPh>
    <phoneticPr fontId="31" type="noConversion"/>
  </si>
  <si>
    <t>五通</t>
    <rPh sb="0" eb="1">
      <t>wu tong</t>
    </rPh>
    <phoneticPr fontId="31" type="noConversion"/>
  </si>
  <si>
    <t>标准层高</t>
    <rPh sb="0" eb="1">
      <t>biao zhun ceng gao</t>
    </rPh>
    <phoneticPr fontId="31" type="noConversion"/>
  </si>
  <si>
    <t>临街</t>
    <rPh sb="0" eb="1">
      <t>lin jie</t>
    </rPh>
    <phoneticPr fontId="140" type="noConversion"/>
  </si>
  <si>
    <t>临街</t>
    <rPh sb="0" eb="1">
      <t>lin jei</t>
    </rPh>
    <phoneticPr fontId="140" type="noConversion"/>
  </si>
  <si>
    <t>商业街</t>
    <rPh sb="0" eb="1">
      <t>shang ye jie</t>
    </rPh>
    <phoneticPr fontId="140" type="noConversion"/>
  </si>
  <si>
    <t>地下</t>
    <rPh sb="0" eb="1">
      <t>di xia</t>
    </rPh>
    <phoneticPr fontId="140" type="noConversion"/>
  </si>
  <si>
    <t>位置</t>
    <rPh sb="0" eb="1">
      <t>wei zhi</t>
    </rPh>
    <phoneticPr fontId="140" type="noConversion"/>
  </si>
  <si>
    <t>商业街内</t>
    <rPh sb="0" eb="1">
      <t>shang ye jie nei</t>
    </rPh>
    <phoneticPr fontId="140" type="noConversion"/>
  </si>
  <si>
    <t>对比</t>
    <rPh sb="0" eb="1">
      <t>dui bi</t>
    </rPh>
    <phoneticPr fontId="140" type="noConversion"/>
  </si>
  <si>
    <t>测算依据</t>
    <phoneticPr fontId="140" type="noConversion"/>
  </si>
  <si>
    <t>建筑面积</t>
    <phoneticPr fontId="140" type="noConversion"/>
  </si>
  <si>
    <t>收益面积</t>
    <phoneticPr fontId="140" type="noConversion"/>
  </si>
  <si>
    <t>地上设备用房面积</t>
    <phoneticPr fontId="140" type="noConversion"/>
  </si>
  <si>
    <t>负一层</t>
    <phoneticPr fontId="140" type="noConversion"/>
  </si>
  <si>
    <t>一层</t>
    <phoneticPr fontId="140" type="noConversion"/>
  </si>
  <si>
    <t>二层</t>
    <phoneticPr fontId="140" type="noConversion"/>
  </si>
  <si>
    <t>合计</t>
    <phoneticPr fontId="140" type="noConversion"/>
  </si>
  <si>
    <t>一层单价</t>
    <phoneticPr fontId="140" type="noConversion"/>
  </si>
  <si>
    <t>6#</t>
    <phoneticPr fontId="140" type="noConversion"/>
  </si>
  <si>
    <t>成本法</t>
    <rPh sb="0" eb="1">
      <t>cehng ben fa</t>
    </rPh>
    <phoneticPr fontId="140" type="noConversion"/>
  </si>
  <si>
    <t>序号</t>
    <rPh sb="0" eb="1">
      <t>xu hao</t>
    </rPh>
    <phoneticPr fontId="140" type="noConversion"/>
  </si>
  <si>
    <t>1</t>
    <phoneticPr fontId="140" type="noConversion"/>
  </si>
  <si>
    <t>2</t>
    <phoneticPr fontId="140" type="noConversion"/>
  </si>
  <si>
    <t>3</t>
    <phoneticPr fontId="140" type="noConversion"/>
  </si>
  <si>
    <t>4</t>
  </si>
  <si>
    <t>6</t>
  </si>
  <si>
    <t>8</t>
  </si>
  <si>
    <t>10</t>
  </si>
  <si>
    <t>13</t>
  </si>
  <si>
    <t>14</t>
  </si>
  <si>
    <t>17</t>
  </si>
  <si>
    <t>24</t>
  </si>
  <si>
    <t>25</t>
  </si>
  <si>
    <t>27</t>
  </si>
  <si>
    <t>29</t>
  </si>
  <si>
    <t>31</t>
  </si>
  <si>
    <t>34</t>
  </si>
  <si>
    <t>35</t>
  </si>
  <si>
    <t>37</t>
  </si>
  <si>
    <t>39</t>
  </si>
  <si>
    <t>40</t>
  </si>
  <si>
    <t>41</t>
  </si>
  <si>
    <t>42</t>
  </si>
  <si>
    <t>43</t>
  </si>
  <si>
    <t>44</t>
  </si>
  <si>
    <t>45</t>
  </si>
  <si>
    <t>46</t>
  </si>
  <si>
    <t>47</t>
  </si>
  <si>
    <t>48</t>
  </si>
  <si>
    <t>49</t>
  </si>
  <si>
    <t>51</t>
  </si>
  <si>
    <t>53</t>
  </si>
  <si>
    <t>54</t>
  </si>
  <si>
    <t>55</t>
  </si>
  <si>
    <t>57</t>
  </si>
  <si>
    <t>59</t>
  </si>
  <si>
    <t>60</t>
  </si>
  <si>
    <t>61</t>
  </si>
  <si>
    <t>62</t>
  </si>
  <si>
    <t>63</t>
  </si>
  <si>
    <t>64</t>
  </si>
  <si>
    <t>65</t>
  </si>
  <si>
    <t>67</t>
  </si>
  <si>
    <t>69</t>
  </si>
  <si>
    <t>71</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</si>
  <si>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</si>
  <si>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</si>
  <si>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</si>
  <si>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</si>
  <si>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</si>
  <si>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</si>
  <si>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</si>
  <si>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</si>
  <si>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</si>
  <si>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</si>
  <si>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</si>
  <si>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</si>
  <si>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</si>
  <si>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</si>
  <si>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</si>
  <si>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</si>
  <si>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</si>
  <si>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</si>
  <si>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</si>
  <si>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</si>
  <si>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</si>
  <si>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</si>
  <si>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</si>
  <si>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</si>
  <si>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</si>
  <si>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</si>
  <si>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</si>
  <si>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</si>
  <si>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</si>
  <si>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</si>
  <si>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</si>
  <si>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</si>
  <si>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</si>
  <si>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</si>
  <si>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</si>
  <si>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</si>
  <si>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</si>
  <si>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</si>
  <si>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</si>
  <si>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</si>
  <si>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</si>
  <si>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</si>
  <si>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</si>
  <si>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</si>
  <si>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</si>
  <si>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</si>
  <si>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</si>
  <si>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</si>
  <si>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</si>
  <si>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</si>
  <si>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</si>
  <si>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</si>
  <si>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</si>
  <si>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</si>
  <si>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</si>
  <si>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</si>
  <si>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</si>
  <si>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</si>
  <si>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</si>
  <si>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</si>
  <si>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</si>
  <si>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</si>
  <si>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</si>
  <si>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</si>
  <si>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</si>
  <si>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</si>
  <si>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</si>
  <si>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</si>
  <si>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</si>
  <si>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</si>
  <si>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</si>
  <si>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</si>
  <si>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</si>
  <si>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</si>
  <si>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</si>
  <si>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</si>
  <si>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</si>
  <si>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</si>
  <si>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</si>
  <si>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</si>
  <si>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</si>
  <si>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</si>
  <si>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</si>
  <si>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</si>
  <si>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</si>
  <si>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</si>
  <si>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</si>
  <si>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</si>
  <si>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</si>
  <si>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</si>
  <si>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</si>
  <si>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</si>
  <si>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</si>
  <si>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</si>
  <si>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</si>
  <si>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</si>
  <si>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</si>
  <si>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</si>
  <si>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</si>
  <si>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</si>
  <si>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</si>
  <si>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</si>
  <si>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</si>
  <si>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</si>
  <si>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</si>
  <si>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</si>
  <si>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</si>
  <si>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</si>
  <si>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</si>
  <si>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</si>
  <si>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</si>
  <si>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</si>
  <si>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</si>
  <si>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</si>
  <si>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</si>
  <si>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</si>
  <si>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</si>
  <si>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</si>
  <si>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</si>
  <si>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</si>
  <si>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</si>
  <si>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</si>
  <si>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</si>
  <si>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</si>
  <si>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</si>
  <si>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</si>
  <si>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</si>
  <si>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</si>
  <si>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</si>
  <si>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</si>
  <si>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</si>
  <si>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</si>
  <si>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</si>
  <si>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</si>
  <si>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</si>
  <si>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</si>
  <si>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</si>
  <si>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</si>
  <si>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</si>
  <si>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</si>
  <si>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</si>
  <si>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</si>
  <si>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</si>
  <si>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</si>
  <si>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</si>
  <si>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</si>
  <si>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</si>
  <si>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</si>
  <si>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</si>
  <si>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</si>
  <si>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</si>
  <si>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</si>
  <si>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</si>
  <si>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</si>
  <si>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</si>
  <si>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</si>
  <si>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</si>
  <si>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</si>
  <si>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</si>
  <si>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</si>
  <si>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</si>
  <si>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</si>
  <si>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</si>
  <si>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</si>
  <si>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</si>
  <si>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</si>
  <si>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</si>
  <si>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</si>
  <si>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</si>
  <si>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</si>
  <si>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</si>
  <si>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</si>
  <si>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</si>
  <si>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</si>
  <si>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</si>
  <si>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</si>
  <si>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</si>
  <si>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</si>
  <si>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</si>
  <si>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</si>
  <si>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</si>
  <si>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</si>
  <si>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</si>
  <si>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</si>
  <si>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</si>
  <si>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</si>
  <si>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</si>
  <si>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</si>
  <si>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</si>
  <si>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</si>
  <si>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</si>
  <si>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</si>
  <si>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</si>
  <si>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</si>
  <si>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</si>
  <si>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</si>
  <si>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</si>
  <si>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</si>
  <si>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</si>
  <si>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</si>
  <si>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</si>
  <si>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</si>
  <si>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</si>
  <si>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</si>
  <si>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</si>
  <si>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</si>
  <si>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</si>
  <si>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</si>
  <si>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</si>
  <si>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</si>
  <si>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</si>
  <si>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</si>
  <si>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</si>
  <si>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</si>
  <si>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</si>
  <si>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</si>
  <si>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</si>
  <si>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</si>
  <si>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</si>
  <si>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</si>
  <si>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</si>
  <si>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</si>
  <si>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</si>
  <si>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</si>
  <si>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</si>
  <si>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</si>
  <si>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</si>
  <si>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</si>
  <si>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</si>
  <si>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</si>
  <si>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</si>
  <si>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</si>
  <si>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</si>
  <si>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</si>
  <si>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</si>
  <si>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</si>
  <si>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</si>
  <si>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</si>
  <si>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</si>
  <si>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</si>
  <si>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</si>
  <si>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</si>
  <si>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</si>
  <si>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</si>
  <si>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</si>
  <si>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</si>
  <si>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</si>
  <si>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</si>
  <si>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</si>
  <si>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</si>
  <si>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</si>
  <si>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</si>
  <si>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</si>
  <si>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</si>
  <si>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</si>
  <si>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</si>
  <si>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</si>
  <si>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</si>
  <si>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</si>
  <si>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</si>
  <si>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</si>
  <si>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</si>
  <si>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</si>
  <si>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</si>
  <si>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</si>
  <si>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</si>
  <si>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</si>
  <si>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</si>
  <si>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</si>
  <si>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</si>
  <si>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</si>
  <si>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</si>
  <si>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</si>
  <si>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</si>
  <si>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</si>
  <si>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</si>
  <si>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</si>
  <si>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</si>
  <si>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</si>
  <si>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</si>
  <si>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</si>
  <si>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</si>
  <si>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</si>
  <si>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</si>
  <si>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</si>
  <si>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</si>
  <si>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</si>
  <si>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</si>
  <si>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</si>
  <si>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</si>
  <si>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</si>
  <si>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</si>
  <si>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</si>
  <si>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</si>
  <si>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</si>
  <si>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</si>
  <si>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</si>
  <si>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</si>
  <si>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</si>
  <si>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</si>
  <si>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</si>
  <si>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</si>
  <si>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</si>
  <si>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</si>
  <si>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</si>
  <si>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</si>
  <si>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</si>
  <si>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</si>
  <si>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</si>
  <si>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</si>
  <si>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</si>
  <si>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</si>
  <si>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</si>
  <si>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</si>
  <si>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</si>
  <si>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</si>
  <si>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</si>
  <si>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</si>
  <si>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</si>
  <si>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</si>
  <si>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</si>
  <si>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</si>
  <si>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</si>
  <si>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</si>
  <si>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</si>
  <si>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</si>
  <si>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</si>
  <si>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</si>
  <si>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</si>
  <si>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</si>
  <si>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</si>
  <si>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</si>
  <si>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</si>
  <si>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</si>
  <si>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</si>
  <si>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</si>
  <si>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</si>
  <si>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</si>
  <si>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</si>
  <si>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</si>
  <si>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</si>
  <si>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</si>
  <si>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</si>
  <si>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</si>
  <si>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</si>
  <si>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</si>
  <si>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</si>
  <si>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</si>
  <si>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</si>
  <si>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</si>
  <si>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</si>
  <si>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</si>
  <si>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</si>
  <si>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</si>
  <si>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</si>
  <si>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</si>
  <si>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</si>
  <si>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</si>
  <si>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</si>
  <si>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</si>
  <si>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</si>
  <si>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</si>
  <si>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</si>
  <si>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</si>
  <si>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</si>
  <si>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</si>
  <si>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</si>
  <si>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</si>
  <si>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</si>
  <si>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</si>
  <si>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</si>
  <si>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</si>
  <si>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</si>
  <si>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</si>
  <si>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</si>
  <si>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</si>
  <si>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</si>
  <si>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</si>
  <si>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</si>
  <si>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</si>
  <si>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</si>
  <si>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</si>
  <si>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</si>
  <si>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</si>
  <si>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</si>
  <si>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</si>
  <si>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</si>
  <si>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</si>
  <si>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</si>
  <si>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</si>
  <si>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</si>
  <si>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</si>
  <si>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</si>
  <si>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</si>
  <si>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</si>
  <si>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</si>
  <si>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</si>
  <si>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</si>
  <si>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</si>
  <si>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</si>
  <si>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</si>
  <si>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</si>
  <si>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</si>
  <si>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</si>
  <si>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</si>
  <si>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</si>
  <si>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</si>
  <si>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</si>
  <si>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</si>
  <si>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</si>
  <si>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</si>
  <si>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</si>
  <si>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</si>
  <si>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</si>
  <si>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</si>
  <si>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</si>
  <si>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</si>
  <si>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</si>
  <si>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</si>
  <si>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</si>
  <si>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</si>
  <si>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</si>
  <si>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</si>
  <si>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</si>
  <si>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</si>
  <si>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</si>
  <si>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</si>
  <si>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</si>
  <si>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</si>
  <si>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</si>
  <si>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</si>
  <si>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</si>
  <si>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</si>
  <si>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</si>
  <si>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</si>
  <si>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</si>
  <si>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</si>
  <si>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</si>
  <si>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</si>
  <si>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</si>
  <si>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</si>
  <si>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</si>
  <si>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</si>
  <si>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</si>
  <si>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</si>
  <si>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</si>
  <si>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</si>
  <si>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</si>
  <si>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</si>
  <si>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</si>
  <si>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</si>
  <si>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</si>
  <si>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</si>
  <si>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</si>
  <si>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</si>
  <si>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</si>
  <si>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</si>
  <si>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</si>
  <si>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</si>
  <si>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</si>
  <si>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</si>
  <si>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</si>
  <si>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</si>
  <si>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</si>
  <si>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</si>
  <si>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</si>
  <si>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</si>
  <si>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</si>
  <si>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</si>
  <si>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</si>
  <si>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</si>
  <si>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</si>
  <si>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</si>
  <si>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</si>
  <si>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</si>
  <si>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</si>
  <si>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</si>
  <si>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</si>
  <si>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</si>
  <si>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</si>
  <si>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</si>
  <si>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</si>
  <si>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</si>
  <si>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</si>
  <si>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</si>
  <si>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</si>
  <si>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</si>
  <si>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</si>
  <si>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</si>
  <si>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</si>
  <si>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</si>
  <si>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</si>
  <si>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</si>
  <si>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</si>
  <si>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</si>
  <si>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</si>
  <si>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</si>
  <si>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</si>
  <si>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</si>
  <si>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</si>
  <si>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</si>
  <si>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</si>
  <si>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</si>
  <si>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</si>
  <si>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</si>
  <si>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</si>
  <si>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</si>
  <si>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</si>
  <si>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</si>
  <si>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</si>
  <si>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</si>
  <si>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</si>
  <si>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</si>
  <si>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</si>
  <si>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</si>
  <si>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</si>
  <si>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</si>
  <si>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</si>
  <si>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</si>
  <si>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</si>
  <si>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</si>
  <si>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</si>
  <si>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</si>
  <si>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</si>
  <si>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</si>
  <si>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</si>
  <si>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</si>
  <si>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</si>
  <si>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</si>
  <si>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</si>
  <si>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</si>
  <si>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</si>
  <si>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</si>
  <si>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</si>
  <si>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</si>
  <si>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</si>
  <si>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</si>
  <si>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</si>
  <si>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</si>
  <si>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</si>
  <si>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</si>
  <si>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</si>
  <si>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</si>
  <si>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</si>
  <si>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</si>
  <si>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</si>
  <si>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</si>
  <si>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</si>
  <si>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</si>
  <si>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</si>
  <si>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</si>
  <si>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</si>
  <si>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</si>
  <si>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</si>
  <si>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</si>
  <si>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</si>
  <si>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</si>
  <si>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</si>
  <si>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</si>
  <si>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</si>
  <si>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</si>
  <si>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</si>
  <si>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</si>
  <si>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</si>
  <si>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</si>
  <si>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</si>
  <si>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</si>
  <si>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</si>
  <si>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</si>
  <si>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</si>
  <si>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</si>
  <si>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</si>
  <si>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</si>
  <si>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</si>
  <si>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</si>
  <si>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</si>
  <si>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</si>
  <si>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</si>
  <si>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</si>
  <si>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</si>
  <si>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</si>
  <si>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</si>
  <si>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</si>
  <si>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</si>
  <si>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</si>
  <si>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</si>
  <si>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</si>
  <si>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</si>
  <si>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</si>
  <si>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</si>
  <si>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</si>
  <si>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</si>
  <si>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</si>
  <si>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</si>
  <si>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</si>
  <si>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</si>
  <si>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</si>
  <si>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</si>
  <si>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</si>
  <si>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</si>
  <si>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</si>
  <si>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</si>
  <si>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</si>
  <si>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</si>
  <si>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</si>
  <si>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</si>
  <si>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</si>
  <si>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</si>
  <si>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</si>
  <si>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</si>
  <si>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</si>
  <si>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</si>
  <si>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</si>
  <si>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</si>
  <si>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</si>
  <si>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</si>
  <si>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</si>
  <si>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</si>
  <si>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</si>
  <si>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</si>
  <si>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</si>
  <si>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</si>
  <si>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</si>
  <si>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</si>
  <si>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</si>
  <si>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</si>
  <si>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</si>
  <si>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</si>
  <si>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</si>
  <si>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</si>
  <si>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</si>
  <si>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</si>
  <si>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</si>
  <si>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</si>
  <si>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</si>
  <si>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</si>
  <si>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</si>
  <si>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</si>
  <si>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</si>
  <si>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</si>
  <si>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</si>
  <si>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</si>
  <si>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</si>
  <si>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</si>
  <si>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</si>
  <si>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</si>
  <si>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</si>
  <si>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</si>
  <si>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</si>
  <si>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</si>
  <si>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</si>
  <si>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</si>
  <si>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</si>
  <si>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</si>
  <si>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</si>
  <si>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</si>
  <si>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</si>
  <si>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</si>
  <si>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</si>
  <si>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</si>
  <si>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</si>
  <si>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</si>
  <si>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</si>
  <si>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</si>
  <si>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</si>
  <si>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</si>
  <si>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</si>
  <si>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</si>
  <si>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</si>
  <si>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</si>
  <si>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</si>
  <si>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</si>
  <si>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</si>
  <si>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</si>
  <si>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</si>
  <si>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</si>
  <si>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</si>
  <si>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</si>
  <si>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</si>
  <si>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</si>
  <si>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</si>
  <si>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</si>
  <si>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</si>
  <si>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</si>
  <si>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</si>
  <si>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</si>
  <si>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</si>
  <si>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</si>
  <si>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</si>
  <si>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</si>
  <si>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</si>
  <si>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</si>
  <si>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</si>
  <si>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</si>
  <si>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</si>
  <si>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</si>
  <si>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</si>
  <si>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</si>
  <si>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</si>
  <si>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</si>
  <si>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</si>
  <si>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</si>
  <si>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</si>
  <si>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</si>
  <si>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</si>
  <si>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16</t>
    <phoneticPr fontId="140" type="noConversion"/>
  </si>
  <si>
    <t>好</t>
  </si>
  <si>
    <t>临街状况</t>
    <rPh sb="0" eb="1">
      <t>lin jie</t>
    </rPh>
    <rPh sb="2" eb="3">
      <t>zhuang kuang</t>
    </rPh>
    <phoneticPr fontId="31" type="noConversion"/>
  </si>
  <si>
    <t>较差</t>
    <rPh sb="0" eb="1">
      <t>jiao cha</t>
    </rPh>
    <phoneticPr fontId="31" type="noConversion"/>
  </si>
  <si>
    <t>幢号</t>
    <rPh sb="0" eb="1">
      <t>zhuang</t>
    </rPh>
    <rPh sb="1" eb="2">
      <t>hao</t>
    </rPh>
    <phoneticPr fontId="140" type="noConversion"/>
  </si>
  <si>
    <t>临街状况</t>
    <rPh sb="0" eb="1">
      <t>lin jie</t>
    </rPh>
    <rPh sb="2" eb="3">
      <t>zhuang kuang</t>
    </rPh>
    <phoneticPr fontId="140" type="noConversion"/>
  </si>
  <si>
    <t>修正系数</t>
    <rPh sb="0" eb="1">
      <t>xiu zheng xi shu</t>
    </rPh>
    <phoneticPr fontId="140" type="noConversion"/>
  </si>
  <si>
    <t>修正系数</t>
    <rPh sb="0" eb="1">
      <t>xiu zehng xi shu</t>
    </rPh>
    <phoneticPr fontId="140" type="noConversion"/>
  </si>
  <si>
    <t>临街商铺</t>
  </si>
  <si>
    <t>临街商铺</t>
    <rPh sb="2" eb="3">
      <t>sahng pu</t>
    </rPh>
    <phoneticPr fontId="140" type="noConversion"/>
  </si>
  <si>
    <t>商业街商铺</t>
    <rPh sb="0" eb="1">
      <t>sahng ye jie</t>
    </rPh>
    <rPh sb="3" eb="4">
      <t>shang pu</t>
    </rPh>
    <phoneticPr fontId="140" type="noConversion"/>
  </si>
  <si>
    <t>地下1层商铺</t>
    <rPh sb="0" eb="1">
      <t>di xia</t>
    </rPh>
    <rPh sb="3" eb="4">
      <t>ceng</t>
    </rPh>
    <rPh sb="4" eb="5">
      <t>shang pu</t>
    </rPh>
    <phoneticPr fontId="140" type="noConversion"/>
  </si>
  <si>
    <t>临街商铺</t>
    <rPh sb="0" eb="1">
      <t>lin jie</t>
    </rPh>
    <rPh sb="2" eb="3">
      <t>sahng pu</t>
    </rPh>
    <phoneticPr fontId="140" type="noConversion"/>
  </si>
  <si>
    <t>标准户型</t>
    <rPh sb="0" eb="1">
      <t>biao zhun hu xing</t>
    </rPh>
    <phoneticPr fontId="140" type="noConversion"/>
  </si>
  <si>
    <t>押三</t>
  </si>
  <si>
    <t>21(-3)</t>
  </si>
  <si>
    <t>登记房号</t>
  </si>
  <si>
    <t>现状房号</t>
  </si>
  <si>
    <t>楼层</t>
  </si>
  <si>
    <t>登记建面（平方米）</t>
  </si>
  <si>
    <t>实际租赁面积（平方米）</t>
  </si>
  <si>
    <r>
      <t>合同租赁期（年</t>
    </r>
    <r>
      <rPr>
        <sz val="8"/>
        <color theme="1"/>
        <rFont val="Arial"/>
        <family val="2"/>
      </rPr>
      <t>/</t>
    </r>
    <r>
      <rPr>
        <sz val="8"/>
        <color theme="1"/>
        <rFont val="宋体"/>
        <family val="3"/>
        <charset val="134"/>
      </rPr>
      <t>月</t>
    </r>
    <r>
      <rPr>
        <sz val="8"/>
        <color theme="1"/>
        <rFont val="Arial"/>
        <family val="2"/>
      </rPr>
      <t>/</t>
    </r>
    <r>
      <rPr>
        <sz val="8"/>
        <color theme="1"/>
        <rFont val="宋体"/>
        <family val="3"/>
        <charset val="134"/>
      </rPr>
      <t>日）</t>
    </r>
  </si>
  <si>
    <r>
      <t>2</t>
    </r>
    <r>
      <rPr>
        <sz val="8"/>
        <color theme="1"/>
        <rFont val="宋体"/>
        <family val="3"/>
        <charset val="134"/>
      </rPr>
      <t>号楼</t>
    </r>
  </si>
  <si>
    <t xml:space="preserve">19C </t>
  </si>
  <si>
    <r>
      <t>3</t>
    </r>
    <r>
      <rPr>
        <sz val="8"/>
        <color theme="1"/>
        <rFont val="宋体"/>
        <family val="3"/>
        <charset val="134"/>
      </rPr>
      <t>号楼</t>
    </r>
  </si>
  <si>
    <r>
      <t>A</t>
    </r>
    <r>
      <rPr>
        <sz val="8"/>
        <color theme="1"/>
        <rFont val="宋体"/>
        <family val="3"/>
        <charset val="134"/>
      </rPr>
      <t>座商业</t>
    </r>
    <r>
      <rPr>
        <sz val="8"/>
        <color theme="1"/>
        <rFont val="Arial"/>
        <family val="2"/>
      </rPr>
      <t>2</t>
    </r>
  </si>
  <si>
    <r>
      <t>A</t>
    </r>
    <r>
      <rPr>
        <sz val="8"/>
        <color theme="1"/>
        <rFont val="宋体"/>
        <family val="3"/>
        <charset val="134"/>
      </rPr>
      <t>座商业</t>
    </r>
    <r>
      <rPr>
        <sz val="8"/>
        <color theme="1"/>
        <rFont val="Arial"/>
        <family val="2"/>
      </rPr>
      <t>15</t>
    </r>
  </si>
  <si>
    <r>
      <t>B</t>
    </r>
    <r>
      <rPr>
        <sz val="8"/>
        <color theme="1"/>
        <rFont val="宋体"/>
        <family val="3"/>
        <charset val="134"/>
      </rPr>
      <t>座商业</t>
    </r>
    <r>
      <rPr>
        <sz val="8"/>
        <color theme="1"/>
        <rFont val="Arial"/>
        <family val="2"/>
      </rPr>
      <t>2</t>
    </r>
  </si>
  <si>
    <r>
      <t>A</t>
    </r>
    <r>
      <rPr>
        <sz val="8"/>
        <color theme="1"/>
        <rFont val="宋体"/>
        <family val="3"/>
        <charset val="134"/>
      </rPr>
      <t>座商业</t>
    </r>
    <r>
      <rPr>
        <sz val="8"/>
        <color theme="1"/>
        <rFont val="Arial"/>
        <family val="2"/>
      </rPr>
      <t>11</t>
    </r>
  </si>
  <si>
    <r>
      <t>A</t>
    </r>
    <r>
      <rPr>
        <sz val="8"/>
        <color theme="1"/>
        <rFont val="宋体"/>
        <family val="3"/>
        <charset val="134"/>
      </rPr>
      <t>座商业</t>
    </r>
    <r>
      <rPr>
        <sz val="8"/>
        <color theme="1"/>
        <rFont val="Arial"/>
        <family val="2"/>
      </rPr>
      <t>12</t>
    </r>
  </si>
  <si>
    <r>
      <t>B</t>
    </r>
    <r>
      <rPr>
        <sz val="8"/>
        <color theme="1"/>
        <rFont val="宋体"/>
        <family val="3"/>
        <charset val="134"/>
      </rPr>
      <t>座商业</t>
    </r>
    <r>
      <rPr>
        <sz val="8"/>
        <color theme="1"/>
        <rFont val="Arial"/>
        <family val="2"/>
      </rPr>
      <t>3</t>
    </r>
  </si>
  <si>
    <r>
      <t>B</t>
    </r>
    <r>
      <rPr>
        <sz val="8"/>
        <color theme="1"/>
        <rFont val="宋体"/>
        <family val="3"/>
        <charset val="134"/>
      </rPr>
      <t>座商业</t>
    </r>
    <r>
      <rPr>
        <sz val="8"/>
        <color theme="1"/>
        <rFont val="Arial"/>
        <family val="2"/>
      </rPr>
      <t>5</t>
    </r>
  </si>
  <si>
    <r>
      <t>B</t>
    </r>
    <r>
      <rPr>
        <sz val="8"/>
        <color theme="1"/>
        <rFont val="宋体"/>
        <family val="3"/>
        <charset val="134"/>
      </rPr>
      <t>座商业</t>
    </r>
    <r>
      <rPr>
        <sz val="8"/>
        <color theme="1"/>
        <rFont val="Arial"/>
        <family val="2"/>
      </rPr>
      <t>6</t>
    </r>
  </si>
  <si>
    <r>
      <t>B</t>
    </r>
    <r>
      <rPr>
        <sz val="8"/>
        <color theme="1"/>
        <rFont val="宋体"/>
        <family val="3"/>
        <charset val="134"/>
      </rPr>
      <t>座商业</t>
    </r>
    <r>
      <rPr>
        <sz val="8"/>
        <color theme="1"/>
        <rFont val="Arial"/>
        <family val="2"/>
      </rPr>
      <t>7</t>
    </r>
  </si>
  <si>
    <r>
      <t>B</t>
    </r>
    <r>
      <rPr>
        <sz val="8"/>
        <color theme="1"/>
        <rFont val="宋体"/>
        <family val="3"/>
        <charset val="134"/>
      </rPr>
      <t>座商业</t>
    </r>
    <r>
      <rPr>
        <sz val="8"/>
        <color theme="1"/>
        <rFont val="Arial"/>
        <family val="2"/>
      </rPr>
      <t>8</t>
    </r>
  </si>
  <si>
    <r>
      <t>B</t>
    </r>
    <r>
      <rPr>
        <sz val="8"/>
        <color theme="1"/>
        <rFont val="宋体"/>
        <family val="3"/>
        <charset val="134"/>
      </rPr>
      <t>座商业</t>
    </r>
    <r>
      <rPr>
        <sz val="8"/>
        <color theme="1"/>
        <rFont val="Arial"/>
        <family val="2"/>
      </rPr>
      <t>9</t>
    </r>
  </si>
  <si>
    <r>
      <t>B</t>
    </r>
    <r>
      <rPr>
        <sz val="8"/>
        <color theme="1"/>
        <rFont val="宋体"/>
        <family val="3"/>
        <charset val="134"/>
      </rPr>
      <t>座商业</t>
    </r>
    <r>
      <rPr>
        <sz val="8"/>
        <color theme="1"/>
        <rFont val="Arial"/>
        <family val="2"/>
      </rPr>
      <t>10</t>
    </r>
  </si>
  <si>
    <r>
      <t>-</t>
    </r>
    <r>
      <rPr>
        <sz val="8"/>
        <color theme="1"/>
        <rFont val="宋体"/>
        <family val="3"/>
        <charset val="134"/>
      </rPr>
      <t>　</t>
    </r>
  </si>
  <si>
    <t>否</t>
  </si>
  <si>
    <t>1-2</t>
    <phoneticPr fontId="274" type="noConversion"/>
  </si>
  <si>
    <t>2-1</t>
    <phoneticPr fontId="274" type="noConversion"/>
  </si>
  <si>
    <t>2-2</t>
    <phoneticPr fontId="274" type="noConversion"/>
  </si>
  <si>
    <t>2-3</t>
    <phoneticPr fontId="274" type="noConversion"/>
  </si>
  <si>
    <t>2-5</t>
    <phoneticPr fontId="274" type="noConversion"/>
  </si>
  <si>
    <t>2-6</t>
    <phoneticPr fontId="274" type="noConversion"/>
  </si>
  <si>
    <t>2-8</t>
    <phoneticPr fontId="274" type="noConversion"/>
  </si>
  <si>
    <t>2-7</t>
    <phoneticPr fontId="274" type="noConversion"/>
  </si>
  <si>
    <t>2-9</t>
    <phoneticPr fontId="274" type="noConversion"/>
  </si>
  <si>
    <t>2-10</t>
    <phoneticPr fontId="274" type="noConversion"/>
  </si>
  <si>
    <t>2-11</t>
    <phoneticPr fontId="274" type="noConversion"/>
  </si>
  <si>
    <t>2-17</t>
    <phoneticPr fontId="274" type="noConversion"/>
  </si>
  <si>
    <t>2-12</t>
    <phoneticPr fontId="274" type="noConversion"/>
  </si>
  <si>
    <t>2-15</t>
    <phoneticPr fontId="274" type="noConversion"/>
  </si>
  <si>
    <t>2-18</t>
    <phoneticPr fontId="274" type="noConversion"/>
  </si>
  <si>
    <t>2-19</t>
    <phoneticPr fontId="274" type="noConversion"/>
  </si>
  <si>
    <t>2-20</t>
    <phoneticPr fontId="274" type="noConversion"/>
  </si>
  <si>
    <t>2-21</t>
    <phoneticPr fontId="274" type="noConversion"/>
  </si>
  <si>
    <t>2-22</t>
    <phoneticPr fontId="274" type="noConversion"/>
  </si>
  <si>
    <t>2-23</t>
    <phoneticPr fontId="274" type="noConversion"/>
  </si>
  <si>
    <t>2-25</t>
    <phoneticPr fontId="274" type="noConversion"/>
  </si>
  <si>
    <t>2-26</t>
    <phoneticPr fontId="274" type="noConversion"/>
  </si>
  <si>
    <t>2-27</t>
    <phoneticPr fontId="274" type="noConversion"/>
  </si>
  <si>
    <t>2-28</t>
    <phoneticPr fontId="274" type="noConversion"/>
  </si>
  <si>
    <t>修正系数</t>
    <phoneticPr fontId="140" type="noConversion"/>
  </si>
  <si>
    <t>面积标准</t>
    <phoneticPr fontId="140" type="noConversion"/>
  </si>
  <si>
    <t>0-60</t>
    <phoneticPr fontId="31" type="noConversion"/>
  </si>
  <si>
    <t>60-120</t>
    <phoneticPr fontId="31" type="noConversion"/>
  </si>
  <si>
    <r>
      <t>120</t>
    </r>
    <r>
      <rPr>
        <sz val="11"/>
        <rFont val="宋体"/>
        <family val="3"/>
        <charset val="134"/>
      </rPr>
      <t>以上</t>
    </r>
    <phoneticPr fontId="31" type="noConversion"/>
  </si>
  <si>
    <t>1000-2000</t>
    <phoneticPr fontId="140" type="noConversion"/>
  </si>
  <si>
    <t>300-500</t>
    <phoneticPr fontId="140" type="noConversion"/>
  </si>
  <si>
    <t>100-300</t>
    <phoneticPr fontId="140" type="noConversion"/>
  </si>
  <si>
    <t>楼层修正</t>
    <phoneticPr fontId="140" type="noConversion"/>
  </si>
  <si>
    <t>2#1-2</t>
    <phoneticPr fontId="140" type="noConversion"/>
  </si>
  <si>
    <t>3#1-2</t>
    <phoneticPr fontId="140" type="noConversion"/>
  </si>
  <si>
    <t>楼层</t>
    <phoneticPr fontId="140" type="noConversion"/>
  </si>
  <si>
    <t>面积修正</t>
    <phoneticPr fontId="140" type="noConversion"/>
  </si>
  <si>
    <t>临街状况</t>
    <phoneticPr fontId="140" type="noConversion"/>
  </si>
  <si>
    <t>临街商铺</t>
    <phoneticPr fontId="140" type="noConversion"/>
  </si>
  <si>
    <t>商业街商铺</t>
    <phoneticPr fontId="140" type="noConversion"/>
  </si>
  <si>
    <t>0-100</t>
    <phoneticPr fontId="140" type="noConversion"/>
  </si>
  <si>
    <t>2000以上</t>
    <phoneticPr fontId="140" type="noConversion"/>
  </si>
  <si>
    <t>500-800</t>
    <phoneticPr fontId="140" type="noConversion"/>
  </si>
  <si>
    <t>800-1000</t>
    <phoneticPr fontId="140" type="noConversion"/>
  </si>
  <si>
    <t>市场案例</t>
    <rPh sb="0" eb="1">
      <t>shi chang zu jinan li</t>
    </rPh>
    <phoneticPr fontId="140" type="noConversion"/>
  </si>
  <si>
    <t>0-100（含）</t>
    <phoneticPr fontId="140" type="noConversion"/>
  </si>
  <si>
    <t>100-300（含）</t>
    <phoneticPr fontId="140" type="noConversion"/>
  </si>
  <si>
    <t>300-500（含）</t>
    <phoneticPr fontId="140" type="noConversion"/>
  </si>
  <si>
    <t>500-800（含）</t>
    <phoneticPr fontId="140" type="noConversion"/>
  </si>
  <si>
    <t>800-1000（含）</t>
    <phoneticPr fontId="140" type="noConversion"/>
  </si>
  <si>
    <t>1000-2000（含）</t>
    <phoneticPr fontId="140" type="noConversion"/>
  </si>
  <si>
    <t>面积标准（平方米）</t>
    <phoneticPr fontId="140" type="noConversion"/>
  </si>
  <si>
    <t>商业</t>
    <phoneticPr fontId="140" type="noConversion"/>
  </si>
  <si>
    <t>车位</t>
    <phoneticPr fontId="140" type="noConversion"/>
  </si>
  <si>
    <t>车位</t>
    <phoneticPr fontId="140" type="noConversion"/>
  </si>
  <si>
    <t>楼号</t>
    <phoneticPr fontId="274" type="noConversion"/>
  </si>
  <si>
    <t>用途</t>
    <phoneticPr fontId="274" type="noConversion"/>
  </si>
  <si>
    <t>非配套公建用房</t>
    <phoneticPr fontId="274" type="noConversion"/>
  </si>
  <si>
    <t>配套用房</t>
    <phoneticPr fontId="274" type="noConversion"/>
  </si>
  <si>
    <t>车位用房</t>
    <phoneticPr fontId="274" type="noConversion"/>
  </si>
  <si>
    <t>7号楼</t>
    <phoneticPr fontId="274" type="noConversion"/>
  </si>
  <si>
    <t>3号楼</t>
    <phoneticPr fontId="274" type="noConversion"/>
  </si>
  <si>
    <t>2号楼</t>
    <phoneticPr fontId="274" type="noConversion"/>
  </si>
  <si>
    <t>1号楼</t>
    <phoneticPr fontId="274" type="noConversion"/>
  </si>
  <si>
    <t>总计</t>
    <phoneticPr fontId="274" type="noConversion"/>
  </si>
  <si>
    <t>-</t>
    <phoneticPr fontId="274" type="noConversion"/>
  </si>
  <si>
    <t>建筑面积（㎡）</t>
    <phoneticPr fontId="274" type="noConversion"/>
  </si>
  <si>
    <t>总价（万元）</t>
    <phoneticPr fontId="274" type="noConversion"/>
  </si>
  <si>
    <t>均价（元/㎡）</t>
    <phoneticPr fontId="274" type="noConversion"/>
  </si>
  <si>
    <t>小计</t>
    <phoneticPr fontId="274" type="noConversion"/>
  </si>
  <si>
    <t>可收益面积</t>
    <phoneticPr fontId="274" type="noConversion"/>
  </si>
  <si>
    <r>
      <t>建筑面积</t>
    </r>
    <r>
      <rPr>
        <sz val="9"/>
        <color rgb="FF000000"/>
        <rFont val="Arial"/>
        <family val="2"/>
      </rPr>
      <t xml:space="preserve"> </t>
    </r>
    <r>
      <rPr>
        <sz val="9"/>
        <color rgb="FF000000"/>
        <rFont val="华文细黑"/>
        <family val="3"/>
        <charset val="134"/>
      </rPr>
      <t>（㎡）</t>
    </r>
  </si>
  <si>
    <r>
      <t>综合单价（元</t>
    </r>
    <r>
      <rPr>
        <sz val="9"/>
        <color rgb="FF000000"/>
        <rFont val="Arial"/>
        <family val="2"/>
      </rPr>
      <t>/</t>
    </r>
    <r>
      <rPr>
        <sz val="9"/>
        <color rgb="FF000000"/>
        <rFont val="华文细黑"/>
        <family val="3"/>
        <charset val="134"/>
      </rPr>
      <t>㎡）</t>
    </r>
  </si>
  <si>
    <t>非配套公建、配套用途</t>
  </si>
  <si>
    <t>车位用途</t>
  </si>
  <si>
    <t>车位</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</si>
</sst>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409]mmm/yy;@"/>
    <numFmt numFmtId="199" formatCode="0.0000_);[Red]\(0.0000\)"/>
  </numFmts>
  <fonts count="28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22"/>
      <name val="宋体"/>
      <family val="3"/>
      <charset val="134"/>
    </font>
    <font>
      <sz val="11"/>
      <color theme="1"/>
      <name val="Times New Roman"/>
      <family val="1"/>
    </font>
    <font>
      <b/>
      <sz val="10"/>
      <name val="DengXian"/>
      <family val="3"/>
      <charset val="134"/>
      <scheme val="minor"/>
    </font>
    <font>
      <b/>
      <sz val="10"/>
      <color rgb="FFFF0000"/>
      <name val="DengXian"/>
      <family val="3"/>
      <charset val="134"/>
      <scheme val="minor"/>
    </font>
    <font>
      <sz val="10"/>
      <name val="DengXian"/>
      <family val="3"/>
      <charset val="134"/>
      <scheme val="minor"/>
    </font>
    <font>
      <b/>
      <sz val="9"/>
      <name val="宋体"/>
      <family val="3"/>
      <charset val="134"/>
    </font>
    <font>
      <b/>
      <sz val="9"/>
      <name val="Tahoma"/>
      <family val="2"/>
    </font>
    <font>
      <sz val="9"/>
      <name val="Tahoma"/>
      <family val="2"/>
    </font>
    <font>
      <sz val="10"/>
      <color rgb="FFFF0000"/>
      <name val="DengXian"/>
      <family val="3"/>
      <charset val="134"/>
      <scheme val="minor"/>
    </font>
    <font>
      <sz val="11"/>
      <color rgb="FFFF0000"/>
      <name val="DengXian"/>
      <family val="3"/>
      <charset val="134"/>
      <scheme val="minor"/>
    </font>
    <font>
      <b/>
      <sz val="11"/>
      <color indexed="81"/>
      <name val="ＭＳ Ｐゴシック"/>
      <family val="2"/>
      <charset val="128"/>
    </font>
    <font>
      <vertAlign val="superscript"/>
      <sz val="10"/>
      <name val="宋体"/>
      <family val="3"/>
      <charset val="134"/>
    </font>
    <font>
      <sz val="11"/>
      <color indexed="81"/>
      <name val="ＭＳ Ｐゴシック"/>
      <family val="2"/>
      <charset val="128"/>
    </font>
    <font>
      <u/>
      <sz val="11"/>
      <color theme="10"/>
      <name val="DengXian"/>
      <family val="4"/>
      <charset val="134"/>
      <scheme val="minor"/>
    </font>
    <font>
      <u/>
      <sz val="11"/>
      <color theme="11"/>
      <name val="DengXian"/>
      <family val="4"/>
      <charset val="134"/>
      <scheme val="minor"/>
    </font>
    <font>
      <sz val="10"/>
      <color theme="1"/>
      <name val="Times New Roman"/>
      <family val="1"/>
    </font>
    <font>
      <sz val="8"/>
      <color theme="1"/>
      <name val="宋体"/>
      <family val="3"/>
      <charset val="134"/>
    </font>
    <font>
      <sz val="8"/>
      <color theme="1"/>
      <name val="Arial"/>
      <family val="2"/>
    </font>
    <font>
      <sz val="9"/>
      <name val="DengXian"/>
      <charset val="134"/>
      <scheme val="minor"/>
    </font>
    <font>
      <sz val="10"/>
      <color theme="1"/>
      <name val="DengXian"/>
      <charset val="134"/>
      <scheme val="minor"/>
    </font>
    <font>
      <sz val="10"/>
      <color rgb="FFFF0000"/>
      <name val="DengXian"/>
      <charset val="134"/>
      <scheme val="minor"/>
    </font>
    <font>
      <b/>
      <sz val="10"/>
      <color rgb="FFFF0000"/>
      <name val="DengXian"/>
      <charset val="134"/>
      <scheme val="minor"/>
    </font>
    <font>
      <sz val="11"/>
      <color rgb="FFFF0000"/>
      <name val="DengXian"/>
      <charset val="134"/>
      <scheme val="minor"/>
    </font>
    <font>
      <sz val="9"/>
      <color rgb="FF000000"/>
      <name val="华文细黑"/>
      <family val="3"/>
      <charset val="134"/>
    </font>
    <font>
      <sz val="9"/>
      <color rgb="FF000000"/>
      <name val="Arial"/>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FCF305"/>
        <bgColor rgb="FF000000"/>
      </patternFill>
    </fill>
    <fill>
      <patternFill patternType="solid">
        <fgColor theme="9" tint="0.39997558519241921"/>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5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8"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cellStyleXfs>
  <cellXfs count="39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8" fillId="0" borderId="0" xfId="0" applyFont="1" applyAlignment="1">
      <alignment horizontal="center" vertical="center"/>
    </xf>
    <xf numFmtId="0" fontId="0" fillId="0" borderId="0" xfId="0" applyAlignment="1">
      <alignment horizontal="center" vertical="center"/>
    </xf>
    <xf numFmtId="49" fontId="98" fillId="0" borderId="0" xfId="0" applyNumberFormat="1" applyFont="1" applyAlignment="1">
      <alignment horizontal="center" vertical="center"/>
    </xf>
    <xf numFmtId="49" fontId="0" fillId="0" borderId="0" xfId="0" applyNumberFormat="1" applyAlignment="1">
      <alignment horizontal="center" vertical="center"/>
    </xf>
    <xf numFmtId="14" fontId="0" fillId="0" borderId="0" xfId="0" applyNumberFormat="1" applyAlignment="1">
      <alignment horizontal="center" vertical="center"/>
    </xf>
    <xf numFmtId="49" fontId="255"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lignment vertical="center"/>
    </xf>
    <xf numFmtId="0" fontId="19" fillId="0" borderId="0" xfId="0" applyFont="1" applyAlignment="1"/>
    <xf numFmtId="0" fontId="37" fillId="0" borderId="0" xfId="0" applyFont="1" applyAlignment="1"/>
    <xf numFmtId="179" fontId="255" fillId="0" borderId="1" xfId="0" applyNumberFormat="1" applyFont="1" applyBorder="1" applyAlignment="1">
      <alignment horizontal="center" vertical="center" wrapText="1"/>
    </xf>
    <xf numFmtId="49" fontId="0" fillId="0" borderId="1" xfId="0" applyNumberFormat="1" applyBorder="1" applyAlignment="1">
      <alignment horizontal="center" vertical="center" wrapText="1"/>
    </xf>
    <xf numFmtId="2" fontId="255" fillId="0" borderId="1" xfId="0" applyNumberFormat="1" applyFont="1" applyBorder="1" applyAlignment="1">
      <alignment horizontal="center" vertical="center" wrapText="1"/>
    </xf>
    <xf numFmtId="0" fontId="0" fillId="0" borderId="1" xfId="0" applyBorder="1" applyAlignment="1"/>
    <xf numFmtId="179" fontId="257" fillId="0" borderId="1" xfId="0" applyNumberFormat="1" applyFont="1" applyBorder="1" applyAlignment="1"/>
    <xf numFmtId="0" fontId="0" fillId="0" borderId="1" xfId="0" applyFont="1" applyBorder="1" applyAlignment="1" applyProtection="1">
      <alignment horizontal="left" vertical="center"/>
      <protection locked="0"/>
    </xf>
    <xf numFmtId="0" fontId="98"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258" fillId="7" borderId="0" xfId="0" applyFont="1" applyFill="1" applyAlignment="1">
      <alignment horizontal="center" vertical="center"/>
    </xf>
    <xf numFmtId="0" fontId="258" fillId="7" borderId="0" xfId="0" applyFont="1" applyFill="1" applyAlignment="1">
      <alignment horizontal="center" vertical="center" wrapText="1"/>
    </xf>
    <xf numFmtId="0" fontId="19" fillId="20" borderId="1" xfId="0" applyFont="1" applyFill="1" applyBorder="1" applyAlignment="1">
      <alignment horizontal="center" vertical="center" wrapText="1"/>
    </xf>
    <xf numFmtId="49" fontId="19" fillId="20" borderId="1" xfId="0" applyNumberFormat="1" applyFont="1" applyFill="1" applyBorder="1" applyAlignment="1">
      <alignment horizontal="center" vertical="center" wrapText="1" shrinkToFit="1"/>
    </xf>
    <xf numFmtId="197" fontId="19" fillId="20" borderId="1" xfId="0" applyNumberFormat="1" applyFont="1" applyFill="1" applyBorder="1" applyAlignment="1">
      <alignment horizontal="right" vertical="center" wrapText="1"/>
    </xf>
    <xf numFmtId="197" fontId="135" fillId="20" borderId="1" xfId="0" applyNumberFormat="1" applyFont="1" applyFill="1" applyBorder="1" applyAlignment="1">
      <alignment horizontal="right" vertical="center" wrapText="1"/>
    </xf>
    <xf numFmtId="0" fontId="19" fillId="20" borderId="1" xfId="0" applyFont="1" applyFill="1" applyBorder="1" applyAlignment="1">
      <alignment horizontal="left" vertical="center" wrapText="1"/>
    </xf>
    <xf numFmtId="40" fontId="19" fillId="20" borderId="1" xfId="0" applyNumberFormat="1" applyFont="1" applyFill="1" applyBorder="1" applyAlignment="1">
      <alignment vertical="center" wrapText="1"/>
    </xf>
    <xf numFmtId="14" fontId="19" fillId="20" borderId="1" xfId="0" applyNumberFormat="1" applyFont="1" applyFill="1" applyBorder="1" applyAlignment="1">
      <alignment vertical="center"/>
    </xf>
    <xf numFmtId="40" fontId="19" fillId="20" borderId="1" xfId="0" applyNumberFormat="1" applyFont="1" applyFill="1" applyBorder="1" applyAlignment="1">
      <alignment horizontal="right" vertical="center"/>
    </xf>
    <xf numFmtId="179" fontId="19" fillId="20" borderId="1" xfId="0" applyNumberFormat="1" applyFont="1" applyFill="1" applyBorder="1" applyAlignment="1">
      <alignment horizontal="right" vertical="center"/>
    </xf>
    <xf numFmtId="0" fontId="19" fillId="20" borderId="0" xfId="0" applyFont="1" applyFill="1" applyBorder="1" applyAlignment="1">
      <alignment vertical="center"/>
    </xf>
    <xf numFmtId="197" fontId="19" fillId="20" borderId="1" xfId="0" applyNumberFormat="1" applyFont="1" applyFill="1" applyBorder="1" applyAlignment="1">
      <alignment vertical="center" wrapText="1"/>
    </xf>
    <xf numFmtId="0" fontId="19" fillId="20" borderId="1" xfId="0" applyFont="1" applyFill="1" applyBorder="1" applyAlignment="1">
      <alignment vertical="center" wrapText="1"/>
    </xf>
    <xf numFmtId="0" fontId="19" fillId="0"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40" fontId="19" fillId="0" borderId="1" xfId="0" applyNumberFormat="1" applyFont="1" applyFill="1" applyBorder="1" applyAlignment="1">
      <alignment vertical="center" wrapText="1"/>
    </xf>
    <xf numFmtId="40" fontId="135"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14" fontId="19" fillId="0" borderId="1" xfId="0" applyNumberFormat="1" applyFont="1" applyFill="1" applyBorder="1" applyAlignment="1">
      <alignment vertical="center"/>
    </xf>
    <xf numFmtId="40" fontId="19" fillId="0" borderId="1" xfId="0" applyNumberFormat="1" applyFont="1" applyFill="1" applyBorder="1" applyAlignment="1">
      <alignment horizontal="right" vertical="center"/>
    </xf>
    <xf numFmtId="179" fontId="19" fillId="0" borderId="1" xfId="0" applyNumberFormat="1" applyFont="1" applyFill="1" applyBorder="1" applyAlignment="1">
      <alignment horizontal="right" vertical="center"/>
    </xf>
    <xf numFmtId="0" fontId="19" fillId="0" borderId="0" xfId="0" applyFont="1" applyFill="1" applyBorder="1" applyAlignment="1">
      <alignment vertical="center"/>
    </xf>
    <xf numFmtId="197" fontId="19" fillId="0" borderId="1" xfId="0" applyNumberFormat="1" applyFont="1" applyFill="1" applyBorder="1" applyAlignment="1">
      <alignment horizontal="right" vertical="center" wrapText="1"/>
    </xf>
    <xf numFmtId="197" fontId="135" fillId="0" borderId="1" xfId="0" applyNumberFormat="1" applyFont="1" applyFill="1" applyBorder="1" applyAlignment="1">
      <alignment horizontal="right" vertical="center" wrapText="1"/>
    </xf>
    <xf numFmtId="0" fontId="19" fillId="5" borderId="0" xfId="0" applyFont="1" applyFill="1" applyBorder="1" applyAlignment="1">
      <alignment vertical="center"/>
    </xf>
    <xf numFmtId="197" fontId="135" fillId="20" borderId="1" xfId="0" applyNumberFormat="1" applyFont="1" applyFill="1" applyBorder="1" applyAlignment="1">
      <alignment vertical="center" wrapText="1"/>
    </xf>
    <xf numFmtId="40" fontId="135" fillId="20" borderId="1" xfId="0" applyNumberFormat="1" applyFont="1" applyFill="1" applyBorder="1" applyAlignment="1">
      <alignment vertical="center" wrapText="1"/>
    </xf>
    <xf numFmtId="0" fontId="19" fillId="21" borderId="1" xfId="0" applyFont="1" applyFill="1" applyBorder="1" applyAlignment="1">
      <alignment horizontal="center" vertical="center" wrapText="1"/>
    </xf>
    <xf numFmtId="49" fontId="19" fillId="21" borderId="1" xfId="0" applyNumberFormat="1" applyFont="1" applyFill="1" applyBorder="1" applyAlignment="1">
      <alignment horizontal="center" vertical="center" wrapText="1" shrinkToFit="1"/>
    </xf>
    <xf numFmtId="40" fontId="19" fillId="21" borderId="1" xfId="0" applyNumberFormat="1" applyFont="1" applyFill="1" applyBorder="1" applyAlignment="1">
      <alignment vertical="center" wrapText="1"/>
    </xf>
    <xf numFmtId="40" fontId="135" fillId="21" borderId="1" xfId="0" applyNumberFormat="1" applyFont="1" applyFill="1" applyBorder="1" applyAlignment="1">
      <alignment horizontal="right" vertical="center" wrapText="1"/>
    </xf>
    <xf numFmtId="0" fontId="19" fillId="21" borderId="1" xfId="0" applyFont="1" applyFill="1" applyBorder="1" applyAlignment="1">
      <alignment horizontal="left" vertical="center" wrapText="1"/>
    </xf>
    <xf numFmtId="14" fontId="19" fillId="21" borderId="1" xfId="0" applyNumberFormat="1" applyFont="1" applyFill="1" applyBorder="1" applyAlignment="1">
      <alignment vertical="center"/>
    </xf>
    <xf numFmtId="40" fontId="19" fillId="21" borderId="1" xfId="0" applyNumberFormat="1" applyFont="1" applyFill="1" applyBorder="1" applyAlignment="1">
      <alignment horizontal="right" vertical="center"/>
    </xf>
    <xf numFmtId="179" fontId="19" fillId="21" borderId="1" xfId="0" applyNumberFormat="1" applyFont="1" applyFill="1" applyBorder="1" applyAlignment="1">
      <alignment horizontal="right" vertical="center"/>
    </xf>
    <xf numFmtId="0" fontId="19" fillId="21" borderId="0" xfId="0" applyFont="1" applyFill="1" applyBorder="1" applyAlignment="1">
      <alignment vertical="center"/>
    </xf>
    <xf numFmtId="0" fontId="19" fillId="20" borderId="0" xfId="0" applyFont="1" applyFill="1" applyBorder="1" applyAlignment="1">
      <alignment horizontal="left" vertical="center"/>
    </xf>
    <xf numFmtId="0" fontId="19" fillId="0" borderId="1" xfId="17" applyNumberFormat="1" applyFont="1" applyBorder="1" applyAlignment="1" applyProtection="1">
      <alignment horizontal="center" vertical="center" wrapText="1"/>
      <protection locked="0"/>
    </xf>
    <xf numFmtId="40" fontId="135" fillId="0" borderId="1" xfId="0" applyNumberFormat="1" applyFont="1" applyFill="1" applyBorder="1" applyAlignment="1">
      <alignment vertical="center" wrapText="1"/>
    </xf>
    <xf numFmtId="49" fontId="19" fillId="5" borderId="1" xfId="0" applyNumberFormat="1" applyFont="1" applyFill="1" applyBorder="1" applyAlignment="1">
      <alignment horizontal="center" vertical="center" wrapText="1" shrinkToFit="1"/>
    </xf>
    <xf numFmtId="197" fontId="19" fillId="0" borderId="1" xfId="0" applyNumberFormat="1" applyFont="1" applyFill="1" applyBorder="1" applyAlignment="1">
      <alignment vertical="center" wrapText="1"/>
    </xf>
    <xf numFmtId="197" fontId="135" fillId="0" borderId="1" xfId="0" applyNumberFormat="1" applyFont="1" applyFill="1" applyBorder="1" applyAlignment="1">
      <alignment vertical="center" wrapText="1"/>
    </xf>
    <xf numFmtId="0" fontId="19" fillId="0" borderId="1" xfId="0" applyFont="1" applyFill="1" applyBorder="1" applyAlignment="1">
      <alignment vertical="center" wrapText="1"/>
    </xf>
    <xf numFmtId="0" fontId="19" fillId="0" borderId="1" xfId="17" applyNumberFormat="1" applyFont="1" applyBorder="1" applyAlignment="1" applyProtection="1">
      <alignment horizontal="center" wrapText="1"/>
      <protection locked="0"/>
    </xf>
    <xf numFmtId="197" fontId="83" fillId="0" borderId="1" xfId="0" applyNumberFormat="1" applyFont="1" applyFill="1" applyBorder="1" applyAlignment="1">
      <alignment horizontal="right" vertical="center" wrapText="1"/>
    </xf>
    <xf numFmtId="197" fontId="135" fillId="0" borderId="13" xfId="0" applyNumberFormat="1" applyFont="1" applyFill="1" applyBorder="1" applyAlignment="1">
      <alignment horizontal="right" vertical="center" wrapText="1"/>
    </xf>
    <xf numFmtId="49" fontId="19" fillId="7" borderId="1" xfId="17" applyNumberFormat="1" applyFont="1" applyFill="1" applyBorder="1" applyAlignment="1" applyProtection="1">
      <alignment horizontal="center" vertical="center" wrapText="1"/>
    </xf>
    <xf numFmtId="49" fontId="19" fillId="7" borderId="1" xfId="0" applyNumberFormat="1" applyFont="1" applyFill="1" applyBorder="1" applyAlignment="1">
      <alignment horizontal="center" vertical="center" wrapText="1" shrinkToFit="1"/>
    </xf>
    <xf numFmtId="0" fontId="258" fillId="7" borderId="1" xfId="0" applyFont="1" applyFill="1" applyBorder="1" applyAlignment="1">
      <alignment vertical="center" wrapText="1"/>
    </xf>
    <xf numFmtId="179" fontId="258" fillId="7" borderId="1" xfId="0" applyNumberFormat="1" applyFont="1" applyFill="1" applyBorder="1" applyAlignment="1">
      <alignment vertical="center" wrapText="1"/>
    </xf>
    <xf numFmtId="0" fontId="259" fillId="0" borderId="1" xfId="0" applyFont="1" applyFill="1" applyBorder="1" applyAlignment="1">
      <alignment vertical="center" wrapText="1"/>
    </xf>
    <xf numFmtId="40" fontId="258" fillId="7" borderId="1" xfId="0" applyNumberFormat="1" applyFont="1" applyFill="1" applyBorder="1" applyAlignment="1">
      <alignment vertical="center"/>
    </xf>
    <xf numFmtId="0" fontId="260" fillId="7" borderId="0" xfId="0" applyFont="1" applyFill="1">
      <alignment vertical="center"/>
    </xf>
    <xf numFmtId="0" fontId="260" fillId="7" borderId="0" xfId="0" applyFont="1" applyFill="1" applyAlignment="1">
      <alignment vertical="center" wrapText="1"/>
    </xf>
    <xf numFmtId="40" fontId="260" fillId="7" borderId="0" xfId="0" applyNumberFormat="1" applyFont="1" applyFill="1" applyAlignment="1">
      <alignment vertical="center"/>
    </xf>
    <xf numFmtId="49" fontId="19" fillId="13" borderId="1" xfId="0" applyNumberFormat="1" applyFont="1" applyFill="1" applyBorder="1" applyAlignment="1">
      <alignment horizontal="center" vertical="center" wrapText="1"/>
    </xf>
    <xf numFmtId="49" fontId="19" fillId="15" borderId="1" xfId="0" applyNumberFormat="1" applyFont="1" applyFill="1" applyBorder="1" applyAlignment="1">
      <alignment horizontal="center" vertical="center" wrapText="1"/>
    </xf>
    <xf numFmtId="176" fontId="19" fillId="22" borderId="1" xfId="0" applyNumberFormat="1" applyFont="1" applyFill="1" applyBorder="1" applyAlignment="1">
      <alignment horizontal="center" vertical="center" wrapText="1"/>
    </xf>
    <xf numFmtId="14" fontId="19" fillId="20" borderId="1" xfId="0" applyNumberFormat="1" applyFont="1" applyFill="1" applyBorder="1" applyAlignment="1">
      <alignment horizontal="center" vertical="center"/>
    </xf>
    <xf numFmtId="176" fontId="135" fillId="20" borderId="1" xfId="0" applyNumberFormat="1" applyFont="1" applyFill="1" applyBorder="1" applyAlignment="1">
      <alignment horizontal="center" vertical="center"/>
    </xf>
    <xf numFmtId="176" fontId="260" fillId="20" borderId="1" xfId="0" applyNumberFormat="1" applyFont="1" applyFill="1" applyBorder="1" applyAlignment="1">
      <alignment horizontal="center" vertical="center" wrapText="1"/>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176" fontId="260" fillId="22" borderId="1" xfId="0" applyNumberFormat="1" applyFont="1" applyFill="1" applyBorder="1" applyAlignment="1">
      <alignment horizontal="center" vertical="center" wrapText="1"/>
    </xf>
    <xf numFmtId="14" fontId="260" fillId="20" borderId="1" xfId="0" applyNumberFormat="1" applyFont="1" applyFill="1" applyBorder="1" applyAlignment="1">
      <alignment horizontal="center" vertical="center"/>
    </xf>
    <xf numFmtId="176" fontId="19" fillId="20" borderId="1" xfId="0" applyNumberFormat="1" applyFont="1" applyFill="1" applyBorder="1" applyAlignment="1">
      <alignment horizontal="center" vertical="center"/>
    </xf>
    <xf numFmtId="176" fontId="264" fillId="22" borderId="1" xfId="0" applyNumberFormat="1" applyFont="1" applyFill="1" applyBorder="1" applyAlignment="1">
      <alignment horizontal="center" vertical="center" wrapText="1"/>
    </xf>
    <xf numFmtId="0" fontId="0" fillId="0" borderId="1" xfId="0" applyBorder="1" applyAlignment="1">
      <alignment horizontal="center" vertical="center"/>
    </xf>
    <xf numFmtId="176" fontId="0" fillId="0" borderId="1" xfId="0" applyNumberFormat="1" applyBorder="1" applyAlignment="1">
      <alignment horizontal="center" vertical="center"/>
    </xf>
    <xf numFmtId="176" fontId="260" fillId="0" borderId="1" xfId="0" applyNumberFormat="1" applyFont="1" applyFill="1" applyBorder="1" applyAlignment="1">
      <alignment horizontal="center" vertical="center" wrapText="1"/>
    </xf>
    <xf numFmtId="0" fontId="0" fillId="22" borderId="1" xfId="0" applyFill="1" applyBorder="1" applyAlignment="1">
      <alignment horizontal="center" vertical="center"/>
    </xf>
    <xf numFmtId="179" fontId="0" fillId="20" borderId="1" xfId="0" applyNumberFormat="1" applyFill="1" applyBorder="1" applyAlignment="1">
      <alignment horizontal="center" vertical="center"/>
    </xf>
    <xf numFmtId="179" fontId="265" fillId="20" borderId="1" xfId="0" applyNumberFormat="1" applyFont="1" applyFill="1" applyBorder="1" applyAlignment="1">
      <alignment horizontal="center" vertical="center"/>
    </xf>
    <xf numFmtId="0" fontId="0" fillId="20" borderId="1" xfId="0" applyFill="1" applyBorder="1" applyAlignment="1">
      <alignment horizontal="center" vertical="center"/>
    </xf>
    <xf numFmtId="176" fontId="135" fillId="22" borderId="1" xfId="0" applyNumberFormat="1" applyFont="1" applyFill="1" applyBorder="1" applyAlignment="1">
      <alignment horizontal="center" vertical="center" wrapText="1"/>
    </xf>
    <xf numFmtId="40" fontId="19" fillId="22" borderId="1" xfId="0" applyNumberFormat="1" applyFont="1" applyFill="1" applyBorder="1" applyAlignment="1">
      <alignment horizontal="center" vertical="center" wrapText="1"/>
    </xf>
    <xf numFmtId="176" fontId="19" fillId="21" borderId="1" xfId="0" applyNumberFormat="1" applyFont="1" applyFill="1" applyBorder="1" applyAlignment="1">
      <alignment horizontal="center" vertical="center" wrapText="1"/>
    </xf>
    <xf numFmtId="179" fontId="46" fillId="6" borderId="23"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49" fontId="7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179" fontId="0" fillId="0" borderId="0" xfId="0" applyNumberFormat="1">
      <alignment vertical="center"/>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0" fontId="0" fillId="0" borderId="5" xfId="0" applyBorder="1" applyAlignment="1">
      <alignment horizontal="center" vertical="center"/>
    </xf>
    <xf numFmtId="0" fontId="0" fillId="24" borderId="1" xfId="0" applyFill="1" applyBorder="1" applyAlignment="1">
      <alignment horizontal="center" vertical="center"/>
    </xf>
    <xf numFmtId="0" fontId="0" fillId="23" borderId="1" xfId="0" applyFill="1" applyBorder="1" applyAlignment="1">
      <alignment horizontal="center" vertical="center"/>
    </xf>
    <xf numFmtId="0" fontId="0" fillId="25" borderId="1" xfId="0" applyFill="1" applyBorder="1" applyAlignment="1">
      <alignment horizontal="center" vertical="center"/>
    </xf>
    <xf numFmtId="176" fontId="19" fillId="25" borderId="1" xfId="0" applyNumberFormat="1" applyFont="1" applyFill="1" applyBorder="1" applyAlignment="1">
      <alignment horizontal="center" vertical="center" wrapText="1"/>
    </xf>
    <xf numFmtId="14" fontId="19" fillId="25" borderId="1" xfId="0" applyNumberFormat="1" applyFont="1" applyFill="1" applyBorder="1" applyAlignment="1">
      <alignment horizontal="center" vertical="center"/>
    </xf>
    <xf numFmtId="179" fontId="265" fillId="25" borderId="1" xfId="0" applyNumberFormat="1" applyFont="1" applyFill="1" applyBorder="1" applyAlignment="1">
      <alignment horizontal="center" vertical="center"/>
    </xf>
    <xf numFmtId="176" fontId="260" fillId="25" borderId="1" xfId="0" applyNumberFormat="1" applyFont="1" applyFill="1" applyBorder="1" applyAlignment="1">
      <alignment horizontal="center" vertical="center" wrapText="1"/>
    </xf>
    <xf numFmtId="0" fontId="0" fillId="0" borderId="0" xfId="0" applyFont="1" applyAlignment="1">
      <alignment horizontal="center" vertical="center"/>
    </xf>
    <xf numFmtId="176" fontId="19" fillId="26" borderId="1" xfId="0" applyNumberFormat="1" applyFont="1" applyFill="1" applyBorder="1" applyAlignment="1">
      <alignment horizontal="center" vertical="center" wrapText="1"/>
    </xf>
    <xf numFmtId="0" fontId="0" fillId="0" borderId="13" xfId="0" applyFont="1" applyBorder="1" applyAlignment="1">
      <alignment horizontal="center" vertical="center"/>
    </xf>
    <xf numFmtId="0" fontId="0" fillId="17" borderId="1" xfId="0" applyFont="1" applyFill="1" applyBorder="1" applyAlignment="1">
      <alignment horizontal="center" vertical="center"/>
    </xf>
    <xf numFmtId="0" fontId="0" fillId="17" borderId="1" xfId="0" applyFill="1" applyBorder="1" applyAlignment="1">
      <alignment horizontal="center" vertical="center"/>
    </xf>
    <xf numFmtId="199" fontId="0" fillId="17" borderId="1" xfId="0" applyNumberFormat="1" applyFill="1" applyBorder="1" applyAlignment="1">
      <alignment horizontal="center" vertical="center"/>
    </xf>
    <xf numFmtId="176" fontId="0" fillId="0" borderId="0" xfId="0" applyNumberFormat="1" applyAlignment="1">
      <alignment horizontal="center" vertical="center"/>
    </xf>
    <xf numFmtId="49" fontId="51" fillId="0" borderId="37" xfId="0" applyNumberFormat="1" applyFont="1" applyFill="1" applyBorder="1" applyAlignment="1" applyProtection="1">
      <alignment horizontal="center" vertical="center" wrapText="1"/>
      <protection locked="0"/>
    </xf>
    <xf numFmtId="0" fontId="53" fillId="27" borderId="14" xfId="0" applyFont="1" applyFill="1" applyBorder="1" applyAlignment="1" applyProtection="1">
      <alignment horizontal="center" vertical="center" wrapText="1"/>
      <protection locked="0"/>
    </xf>
    <xf numFmtId="49" fontId="135" fillId="25" borderId="1" xfId="0" applyNumberFormat="1" applyFont="1" applyFill="1" applyBorder="1" applyAlignment="1">
      <alignment horizontal="center" vertical="center" wrapText="1"/>
    </xf>
    <xf numFmtId="49" fontId="135" fillId="20" borderId="1" xfId="0" applyNumberFormat="1" applyFont="1" applyFill="1" applyBorder="1" applyAlignment="1">
      <alignment horizontal="center" vertical="center" wrapText="1"/>
    </xf>
    <xf numFmtId="0" fontId="265" fillId="22" borderId="1" xfId="0" applyFont="1" applyFill="1" applyBorder="1" applyAlignment="1">
      <alignment horizontal="center" vertical="center"/>
    </xf>
    <xf numFmtId="49" fontId="19" fillId="0" borderId="1" xfId="0" applyNumberFormat="1" applyFont="1" applyBorder="1" applyAlignment="1">
      <alignment horizontal="right" vertical="center" wrapText="1"/>
    </xf>
    <xf numFmtId="49" fontId="19" fillId="0" borderId="1" xfId="0" applyNumberFormat="1" applyFont="1" applyBorder="1" applyAlignment="1">
      <alignment horizontal="center" vertical="center" wrapText="1"/>
    </xf>
    <xf numFmtId="176" fontId="135" fillId="20" borderId="1" xfId="0" applyNumberFormat="1" applyFont="1" applyFill="1" applyBorder="1" applyAlignment="1">
      <alignment horizontal="center" vertical="center" wrapText="1"/>
    </xf>
    <xf numFmtId="0" fontId="98" fillId="5" borderId="0" xfId="0" applyFont="1" applyFill="1">
      <alignment vertical="center"/>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8" borderId="0" xfId="0" applyFill="1">
      <alignment vertical="center"/>
    </xf>
    <xf numFmtId="49" fontId="0" fillId="0" borderId="0" xfId="0" applyNumberFormat="1" applyAlignment="1"/>
    <xf numFmtId="10" fontId="49" fillId="8" borderId="1" xfId="1" applyNumberFormat="1" applyFont="1" applyFill="1" applyBorder="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0" fillId="0" borderId="13" xfId="0" applyFont="1" applyFill="1" applyBorder="1" applyAlignment="1">
      <alignment horizontal="center" vertical="center"/>
    </xf>
    <xf numFmtId="49" fontId="128" fillId="0" borderId="1" xfId="0" applyNumberFormat="1" applyFont="1" applyFill="1" applyBorder="1" applyAlignment="1">
      <alignment horizontal="center" vertical="center" wrapText="1"/>
    </xf>
    <xf numFmtId="176" fontId="128" fillId="0" borderId="1" xfId="0" applyNumberFormat="1" applyFont="1" applyFill="1" applyBorder="1" applyAlignment="1">
      <alignment horizontal="center" vertical="center" wrapText="1"/>
    </xf>
    <xf numFmtId="176" fontId="0" fillId="0" borderId="1" xfId="0" applyNumberFormat="1" applyFont="1" applyFill="1" applyBorder="1" applyAlignment="1">
      <alignment horizontal="center" vertical="center"/>
    </xf>
    <xf numFmtId="0" fontId="0" fillId="0" borderId="0" xfId="0" applyFont="1" applyFill="1" applyAlignment="1">
      <alignment horizontal="center" vertical="center"/>
    </xf>
    <xf numFmtId="49" fontId="128" fillId="0" borderId="13" xfId="0" applyNumberFormat="1" applyFont="1" applyFill="1" applyBorder="1" applyAlignment="1">
      <alignment horizontal="center" vertical="center" wrapText="1"/>
    </xf>
    <xf numFmtId="176" fontId="128" fillId="0" borderId="13" xfId="0" applyNumberFormat="1" applyFont="1" applyFill="1" applyBorder="1" applyAlignment="1">
      <alignment horizontal="center" vertical="center" wrapText="1"/>
    </xf>
    <xf numFmtId="49" fontId="128" fillId="0" borderId="3" xfId="0" applyNumberFormat="1" applyFont="1" applyFill="1" applyBorder="1" applyAlignment="1">
      <alignment horizontal="center" vertical="center" wrapText="1"/>
    </xf>
    <xf numFmtId="49" fontId="128" fillId="0" borderId="22" xfId="0" applyNumberFormat="1" applyFont="1" applyFill="1" applyBorder="1" applyAlignment="1">
      <alignment horizontal="center" vertical="center" wrapText="1"/>
    </xf>
    <xf numFmtId="0" fontId="112" fillId="0" borderId="1" xfId="0" applyFont="1" applyFill="1" applyBorder="1" applyAlignment="1">
      <alignment horizontal="center" vertical="center"/>
    </xf>
    <xf numFmtId="49" fontId="144" fillId="0" borderId="3" xfId="0" applyNumberFormat="1" applyFont="1" applyFill="1" applyBorder="1" applyAlignment="1">
      <alignment horizontal="center" vertical="center" wrapText="1"/>
    </xf>
    <xf numFmtId="49" fontId="144" fillId="0" borderId="1" xfId="0" applyNumberFormat="1" applyFont="1" applyFill="1" applyBorder="1" applyAlignment="1">
      <alignment horizontal="center" vertical="center" wrapText="1"/>
    </xf>
    <xf numFmtId="176" fontId="144" fillId="0" borderId="1" xfId="0" applyNumberFormat="1" applyFont="1" applyFill="1" applyBorder="1" applyAlignment="1">
      <alignment horizontal="center" vertical="center" wrapText="1"/>
    </xf>
    <xf numFmtId="176" fontId="169" fillId="0" borderId="13" xfId="0" applyNumberFormat="1" applyFont="1" applyBorder="1" applyAlignment="1">
      <alignment horizontal="center" vertical="center" wrapText="1"/>
    </xf>
    <xf numFmtId="0" fontId="0" fillId="0" borderId="1" xfId="0" applyFont="1" applyFill="1" applyBorder="1" applyAlignment="1">
      <alignment horizontal="center" vertical="center"/>
    </xf>
    <xf numFmtId="49" fontId="271" fillId="0" borderId="1" xfId="0" applyNumberFormat="1" applyFont="1" applyFill="1" applyBorder="1" applyAlignment="1">
      <alignment horizontal="center" vertical="center" wrapText="1"/>
    </xf>
    <xf numFmtId="0" fontId="272" fillId="0" borderId="82" xfId="0" applyFont="1" applyBorder="1" applyAlignment="1">
      <alignment horizontal="center" vertical="center" wrapText="1"/>
    </xf>
    <xf numFmtId="0" fontId="272" fillId="0" borderId="65" xfId="0" applyFont="1" applyBorder="1" applyAlignment="1">
      <alignment horizontal="center" vertical="center" wrapText="1"/>
    </xf>
    <xf numFmtId="0" fontId="273" fillId="0" borderId="81" xfId="0" applyFont="1" applyBorder="1" applyAlignment="1">
      <alignment horizontal="center" vertical="center" wrapText="1"/>
    </xf>
    <xf numFmtId="0" fontId="273" fillId="0" borderId="43" xfId="0" applyFont="1" applyBorder="1" applyAlignment="1">
      <alignment horizontal="center" vertical="center"/>
    </xf>
    <xf numFmtId="0" fontId="273" fillId="0" borderId="43" xfId="0" applyFont="1" applyBorder="1" applyAlignment="1">
      <alignment horizontal="center" vertical="center" wrapText="1"/>
    </xf>
    <xf numFmtId="14" fontId="273" fillId="0" borderId="43" xfId="0" applyNumberFormat="1" applyFont="1" applyBorder="1" applyAlignment="1">
      <alignment horizontal="center" vertical="center"/>
    </xf>
    <xf numFmtId="0" fontId="272" fillId="0" borderId="43" xfId="0" applyFont="1" applyBorder="1" applyAlignment="1">
      <alignment horizontal="center" vertical="center" wrapText="1"/>
    </xf>
    <xf numFmtId="49" fontId="272" fillId="0" borderId="65" xfId="0" applyNumberFormat="1" applyFont="1" applyBorder="1" applyAlignment="1">
      <alignment horizontal="center" vertical="center" wrapText="1"/>
    </xf>
    <xf numFmtId="49" fontId="273" fillId="0" borderId="43" xfId="0" applyNumberFormat="1" applyFont="1" applyBorder="1" applyAlignment="1">
      <alignment horizontal="center" vertical="center" wrapText="1"/>
    </xf>
    <xf numFmtId="49" fontId="0" fillId="0" borderId="0" xfId="0" applyNumberFormat="1">
      <alignment vertical="center"/>
    </xf>
    <xf numFmtId="176" fontId="144" fillId="0" borderId="13" xfId="0" applyNumberFormat="1" applyFont="1" applyFill="1" applyBorder="1" applyAlignment="1">
      <alignment horizontal="center" vertical="center" wrapText="1"/>
    </xf>
    <xf numFmtId="49" fontId="135" fillId="0" borderId="1" xfId="0" applyNumberFormat="1" applyFont="1" applyFill="1" applyBorder="1" applyAlignment="1">
      <alignment horizontal="center" vertical="center" wrapText="1"/>
    </xf>
    <xf numFmtId="176" fontId="135" fillId="0" borderId="1" xfId="0" applyNumberFormat="1" applyFont="1" applyFill="1" applyBorder="1" applyAlignment="1">
      <alignment horizontal="center" vertical="center" wrapText="1"/>
    </xf>
    <xf numFmtId="176" fontId="0" fillId="0" borderId="0" xfId="0" applyNumberFormat="1" applyFont="1" applyFill="1" applyAlignment="1">
      <alignment horizontal="center" vertical="center"/>
    </xf>
    <xf numFmtId="0" fontId="275" fillId="0" borderId="1" xfId="0" applyFont="1" applyBorder="1" applyAlignment="1">
      <alignment horizontal="center" vertical="center" wrapText="1"/>
    </xf>
    <xf numFmtId="0" fontId="275" fillId="0" borderId="0" xfId="0" applyFont="1" applyAlignment="1">
      <alignment horizontal="center" vertical="center" wrapText="1"/>
    </xf>
    <xf numFmtId="0" fontId="275" fillId="7" borderId="1" xfId="0" applyFont="1" applyFill="1" applyBorder="1" applyAlignment="1">
      <alignment horizontal="center" vertical="center" wrapText="1"/>
    </xf>
    <xf numFmtId="0" fontId="275" fillId="24" borderId="1" xfId="0" applyFont="1" applyFill="1" applyBorder="1" applyAlignment="1">
      <alignment horizontal="center" vertical="center" wrapText="1"/>
    </xf>
    <xf numFmtId="189" fontId="275" fillId="24" borderId="1" xfId="0" applyNumberFormat="1" applyFont="1" applyFill="1" applyBorder="1" applyAlignment="1">
      <alignment horizontal="center" vertical="center" wrapText="1"/>
    </xf>
    <xf numFmtId="199" fontId="275" fillId="0" borderId="0" xfId="0" applyNumberFormat="1" applyFont="1" applyAlignment="1">
      <alignment horizontal="center" vertical="center" wrapText="1"/>
    </xf>
    <xf numFmtId="0" fontId="275" fillId="23" borderId="1" xfId="0" applyFont="1" applyFill="1" applyBorder="1" applyAlignment="1">
      <alignment horizontal="center" vertical="center" wrapText="1"/>
    </xf>
    <xf numFmtId="199" fontId="275" fillId="0" borderId="1" xfId="0" applyNumberFormat="1" applyFont="1" applyBorder="1" applyAlignment="1">
      <alignment horizontal="center" vertical="center" wrapText="1"/>
    </xf>
    <xf numFmtId="49" fontId="275" fillId="0" borderId="1" xfId="0" applyNumberFormat="1" applyFont="1" applyBorder="1" applyAlignment="1">
      <alignment horizontal="center" vertical="center" wrapText="1"/>
    </xf>
    <xf numFmtId="49" fontId="276" fillId="0" borderId="1" xfId="0" applyNumberFormat="1" applyFont="1" applyBorder="1" applyAlignment="1">
      <alignment horizontal="center" vertical="center" wrapText="1"/>
    </xf>
    <xf numFmtId="199" fontId="275" fillId="24" borderId="1" xfId="0" applyNumberFormat="1" applyFont="1" applyFill="1" applyBorder="1" applyAlignment="1">
      <alignment horizontal="center" vertical="center" wrapText="1"/>
    </xf>
    <xf numFmtId="0" fontId="276" fillId="24" borderId="1" xfId="0" applyFont="1" applyFill="1" applyBorder="1" applyAlignment="1">
      <alignment horizontal="center" vertical="center" wrapText="1"/>
    </xf>
    <xf numFmtId="176" fontId="275" fillId="24" borderId="1" xfId="0" applyNumberFormat="1" applyFont="1" applyFill="1" applyBorder="1" applyAlignment="1">
      <alignment horizontal="center" vertical="center" wrapText="1"/>
    </xf>
    <xf numFmtId="186" fontId="275" fillId="24" borderId="1" xfId="0" applyNumberFormat="1" applyFont="1" applyFill="1" applyBorder="1" applyAlignment="1">
      <alignment horizontal="center" vertical="center" wrapText="1"/>
    </xf>
    <xf numFmtId="189" fontId="276" fillId="24" borderId="1" xfId="0" applyNumberFormat="1" applyFont="1" applyFill="1" applyBorder="1" applyAlignment="1">
      <alignment horizontal="center" vertical="center" wrapText="1"/>
    </xf>
    <xf numFmtId="176" fontId="276" fillId="24" borderId="1" xfId="0" applyNumberFormat="1" applyFont="1" applyFill="1" applyBorder="1" applyAlignment="1">
      <alignment horizontal="center" vertical="center" wrapText="1"/>
    </xf>
    <xf numFmtId="176" fontId="275" fillId="0" borderId="0" xfId="0" applyNumberFormat="1" applyFont="1" applyAlignment="1">
      <alignment horizontal="center" vertical="center" wrapText="1"/>
    </xf>
    <xf numFmtId="0" fontId="275" fillId="0" borderId="1" xfId="0" applyFont="1" applyBorder="1" applyAlignment="1">
      <alignment horizontal="center" vertical="center"/>
    </xf>
    <xf numFmtId="0" fontId="275" fillId="0" borderId="0" xfId="0" applyFont="1" applyAlignment="1">
      <alignment horizontal="center" vertical="center"/>
    </xf>
    <xf numFmtId="199" fontId="275" fillId="0" borderId="0" xfId="0" applyNumberFormat="1" applyFont="1" applyAlignment="1">
      <alignment horizontal="center" vertical="center"/>
    </xf>
    <xf numFmtId="186" fontId="275" fillId="0" borderId="1" xfId="0" applyNumberFormat="1" applyFont="1" applyBorder="1" applyAlignment="1">
      <alignment horizontal="center" vertical="center"/>
    </xf>
    <xf numFmtId="177" fontId="275" fillId="0" borderId="1" xfId="0" applyNumberFormat="1" applyFont="1" applyBorder="1" applyAlignment="1">
      <alignment horizontal="center" vertical="center"/>
    </xf>
    <xf numFmtId="0" fontId="275" fillId="17" borderId="1" xfId="0" applyFont="1" applyFill="1" applyBorder="1" applyAlignment="1">
      <alignment horizontal="center" vertical="center"/>
    </xf>
    <xf numFmtId="0" fontId="275" fillId="0" borderId="13" xfId="0" applyFont="1" applyBorder="1" applyAlignment="1">
      <alignment horizontal="center" vertical="center"/>
    </xf>
    <xf numFmtId="186" fontId="275" fillId="0" borderId="1" xfId="0" applyNumberFormat="1" applyFont="1" applyFill="1" applyBorder="1" applyAlignment="1">
      <alignment horizontal="center" vertical="center"/>
    </xf>
    <xf numFmtId="186" fontId="275" fillId="0" borderId="13" xfId="0" applyNumberFormat="1" applyFont="1" applyFill="1" applyBorder="1" applyAlignment="1">
      <alignment horizontal="center" vertical="center"/>
    </xf>
    <xf numFmtId="186" fontId="277" fillId="0" borderId="1" xfId="0" applyNumberFormat="1" applyFont="1" applyFill="1" applyBorder="1" applyAlignment="1">
      <alignment horizontal="center" vertical="center"/>
    </xf>
    <xf numFmtId="0" fontId="275" fillId="0" borderId="0" xfId="0" applyFont="1" applyFill="1" applyAlignment="1">
      <alignment horizontal="center" vertical="center"/>
    </xf>
    <xf numFmtId="186" fontId="275" fillId="0" borderId="0" xfId="0" applyNumberFormat="1" applyFont="1" applyFill="1" applyAlignment="1">
      <alignment horizontal="center" vertical="center"/>
    </xf>
    <xf numFmtId="181" fontId="103" fillId="28" borderId="1" xfId="0" applyNumberFormat="1" applyFont="1" applyFill="1" applyBorder="1" applyAlignment="1" applyProtection="1">
      <alignment horizontal="center" vertical="center"/>
      <protection locked="0"/>
    </xf>
    <xf numFmtId="177" fontId="49" fillId="28" borderId="1" xfId="1" applyNumberFormat="1" applyFont="1" applyFill="1" applyBorder="1" applyAlignment="1" applyProtection="1">
      <alignment horizontal="center" vertical="center"/>
      <protection locked="0"/>
    </xf>
    <xf numFmtId="181" fontId="46" fillId="28" borderId="1" xfId="0" applyNumberFormat="1" applyFont="1" applyFill="1" applyBorder="1" applyAlignment="1" applyProtection="1">
      <alignment vertical="center"/>
      <protection locked="0"/>
    </xf>
    <xf numFmtId="0" fontId="278" fillId="0" borderId="0" xfId="0" applyFont="1">
      <alignment vertical="center"/>
    </xf>
    <xf numFmtId="0" fontId="279" fillId="0" borderId="162" xfId="0" applyFont="1" applyBorder="1" applyAlignment="1">
      <alignment horizontal="center" vertical="center" wrapText="1"/>
    </xf>
    <xf numFmtId="0" fontId="279" fillId="0" borderId="163" xfId="0" applyFont="1" applyBorder="1" applyAlignment="1">
      <alignment horizontal="center" vertical="center" wrapText="1"/>
    </xf>
    <xf numFmtId="0" fontId="279" fillId="0" borderId="164" xfId="0" applyFont="1" applyBorder="1" applyAlignment="1">
      <alignment horizontal="center" vertical="center" wrapText="1"/>
    </xf>
    <xf numFmtId="0" fontId="280" fillId="0" borderId="165" xfId="0" applyFont="1" applyBorder="1" applyAlignment="1">
      <alignment horizontal="center" vertical="center" wrapText="1"/>
    </xf>
    <xf numFmtId="0" fontId="279" fillId="0" borderId="166" xfId="0" applyFont="1" applyBorder="1" applyAlignment="1">
      <alignment horizontal="center" vertical="center" wrapText="1"/>
    </xf>
    <xf numFmtId="0" fontId="280" fillId="0" borderId="167" xfId="0" applyFont="1" applyBorder="1" applyAlignment="1">
      <alignment horizontal="center" vertical="center" wrapText="1"/>
    </xf>
    <xf numFmtId="186" fontId="0" fillId="0" borderId="0" xfId="0" applyNumberFormat="1" applyFont="1" applyFill="1" applyAlignment="1">
      <alignment horizontal="center" vertical="center"/>
    </xf>
    <xf numFmtId="10" fontId="56" fillId="5" borderId="5" xfId="1" applyNumberFormat="1" applyFont="1" applyFill="1" applyBorder="1" applyAlignment="1" applyProtection="1">
      <alignment horizontal="center"/>
    </xf>
    <xf numFmtId="177" fontId="280" fillId="0" borderId="165" xfId="0" applyNumberFormat="1" applyFont="1" applyBorder="1" applyAlignment="1">
      <alignment horizontal="center" vertical="center" wrapText="1"/>
    </xf>
    <xf numFmtId="177" fontId="280" fillId="0" borderId="167" xfId="0" applyNumberFormat="1" applyFont="1" applyBorder="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49" fontId="19" fillId="0" borderId="1" xfId="0" applyNumberFormat="1" applyFont="1" applyBorder="1" applyAlignment="1">
      <alignment horizontal="center" vertical="center" wrapText="1"/>
    </xf>
    <xf numFmtId="49" fontId="19" fillId="0" borderId="0" xfId="0" applyNumberFormat="1" applyFont="1" applyAlignment="1">
      <alignment horizontal="left" vertical="center"/>
    </xf>
    <xf numFmtId="49" fontId="19" fillId="0" borderId="1" xfId="0" applyNumberFormat="1" applyFont="1" applyBorder="1" applyAlignment="1">
      <alignment horizontal="right" vertical="center" wrapText="1"/>
    </xf>
    <xf numFmtId="49" fontId="255" fillId="0" borderId="1" xfId="0" applyNumberFormat="1" applyFont="1" applyBorder="1" applyAlignment="1">
      <alignment horizontal="right" vertical="center" wrapText="1"/>
    </xf>
    <xf numFmtId="0" fontId="19" fillId="0" borderId="0" xfId="0" applyFont="1" applyAlignment="1">
      <alignment horizontal="left" vertical="center" wrapText="1"/>
    </xf>
    <xf numFmtId="49" fontId="256" fillId="0" borderId="0" xfId="0" applyNumberFormat="1" applyFont="1" applyAlignment="1">
      <alignment horizontal="center" vertical="center"/>
    </xf>
    <xf numFmtId="0" fontId="258" fillId="7" borderId="1" xfId="0" applyFont="1" applyFill="1" applyBorder="1" applyAlignment="1">
      <alignment horizontal="center" vertical="center" wrapText="1"/>
    </xf>
    <xf numFmtId="0" fontId="258" fillId="7" borderId="1" xfId="0" applyFont="1" applyFill="1" applyBorder="1" applyAlignment="1">
      <alignment horizontal="center" vertical="center"/>
    </xf>
    <xf numFmtId="40" fontId="258" fillId="7" borderId="1" xfId="0" applyNumberFormat="1" applyFont="1" applyFill="1" applyBorder="1" applyAlignment="1">
      <alignment horizontal="center" vertical="center" wrapText="1"/>
    </xf>
    <xf numFmtId="40" fontId="135" fillId="20" borderId="13" xfId="0" applyNumberFormat="1" applyFont="1" applyFill="1" applyBorder="1" applyAlignment="1">
      <alignment horizontal="right" vertical="center" wrapText="1"/>
    </xf>
    <xf numFmtId="40" fontId="135" fillId="20" borderId="2" xfId="0" applyNumberFormat="1" applyFont="1" applyFill="1" applyBorder="1" applyAlignment="1">
      <alignment horizontal="right" vertical="center" wrapText="1"/>
    </xf>
    <xf numFmtId="197" fontId="135" fillId="0" borderId="13" xfId="0" applyNumberFormat="1" applyFont="1" applyFill="1" applyBorder="1" applyAlignment="1">
      <alignment horizontal="right" vertical="center" wrapText="1"/>
    </xf>
    <xf numFmtId="197" fontId="135" fillId="0" borderId="2" xfId="0" applyNumberFormat="1" applyFont="1" applyFill="1" applyBorder="1" applyAlignment="1">
      <alignment horizontal="right" vertical="center" wrapText="1"/>
    </xf>
    <xf numFmtId="197" fontId="135" fillId="20" borderId="13" xfId="0" applyNumberFormat="1" applyFont="1" applyFill="1" applyBorder="1" applyAlignment="1">
      <alignment horizontal="right" vertical="center" wrapText="1"/>
    </xf>
    <xf numFmtId="197" fontId="135" fillId="20" borderId="15" xfId="0" applyNumberFormat="1" applyFont="1" applyFill="1" applyBorder="1" applyAlignment="1">
      <alignment horizontal="right" vertical="center" wrapText="1"/>
    </xf>
    <xf numFmtId="197" fontId="135" fillId="20" borderId="2" xfId="0" applyNumberFormat="1" applyFont="1" applyFill="1" applyBorder="1" applyAlignment="1">
      <alignment horizontal="right" vertical="center" wrapText="1"/>
    </xf>
    <xf numFmtId="197" fontId="135" fillId="0" borderId="15" xfId="0" applyNumberFormat="1" applyFont="1" applyFill="1" applyBorder="1" applyAlignment="1">
      <alignment horizontal="right" vertical="center" wrapText="1"/>
    </xf>
    <xf numFmtId="0" fontId="258" fillId="7" borderId="60" xfId="0" applyFont="1" applyFill="1" applyBorder="1" applyAlignment="1">
      <alignment horizontal="center" vertical="center"/>
    </xf>
    <xf numFmtId="0" fontId="259" fillId="0" borderId="13" xfId="0" applyFont="1" applyFill="1" applyBorder="1" applyAlignment="1">
      <alignment horizontal="center" vertical="center" wrapText="1"/>
    </xf>
    <xf numFmtId="0" fontId="259" fillId="0" borderId="2" xfId="0" applyFont="1" applyFill="1" applyBorder="1" applyAlignment="1">
      <alignment horizontal="center" vertical="center" wrapText="1"/>
    </xf>
    <xf numFmtId="0" fontId="258" fillId="7" borderId="46" xfId="0" applyFont="1" applyFill="1" applyBorder="1" applyAlignment="1">
      <alignment horizontal="center" vertical="center" wrapText="1"/>
    </xf>
    <xf numFmtId="0" fontId="258" fillId="7" borderId="22" xfId="0" applyFont="1" applyFill="1" applyBorder="1" applyAlignment="1">
      <alignment horizontal="center" vertical="center" wrapText="1"/>
    </xf>
    <xf numFmtId="0" fontId="258" fillId="7" borderId="4" xfId="0" applyFont="1" applyFill="1" applyBorder="1" applyAlignment="1">
      <alignment horizontal="center" vertical="center" wrapText="1"/>
    </xf>
    <xf numFmtId="0" fontId="258" fillId="7" borderId="7" xfId="0" applyFont="1" applyFill="1" applyBorder="1" applyAlignment="1">
      <alignment horizontal="center" vertical="center" wrapText="1"/>
    </xf>
    <xf numFmtId="0" fontId="273" fillId="0" borderId="27" xfId="0" applyFont="1" applyBorder="1" applyAlignment="1">
      <alignment horizontal="center" vertical="center" wrapText="1"/>
    </xf>
    <xf numFmtId="0" fontId="273" fillId="0" borderId="81" xfId="0" applyFont="1" applyBorder="1" applyAlignment="1">
      <alignment horizontal="center" vertical="center" wrapText="1"/>
    </xf>
    <xf numFmtId="0" fontId="273" fillId="0" borderId="27" xfId="0" applyFont="1" applyBorder="1" applyAlignment="1">
      <alignment horizontal="center" vertical="center"/>
    </xf>
    <xf numFmtId="0" fontId="273" fillId="0" borderId="81" xfId="0" applyFont="1" applyBorder="1" applyAlignment="1">
      <alignment horizontal="center" vertical="center"/>
    </xf>
    <xf numFmtId="49" fontId="273" fillId="0" borderId="27" xfId="0" applyNumberFormat="1" applyFont="1" applyBorder="1" applyAlignment="1">
      <alignment horizontal="center" vertical="center" wrapText="1"/>
    </xf>
    <xf numFmtId="49" fontId="273" fillId="0" borderId="81" xfId="0" applyNumberFormat="1" applyFont="1" applyBorder="1" applyAlignment="1">
      <alignment horizontal="center" vertical="center" wrapText="1"/>
    </xf>
    <xf numFmtId="0" fontId="273" fillId="0" borderId="160" xfId="0" applyFont="1" applyBorder="1" applyAlignment="1">
      <alignment horizontal="center" vertical="center" wrapText="1"/>
    </xf>
    <xf numFmtId="14" fontId="273" fillId="0" borderId="27" xfId="0" applyNumberFormat="1" applyFont="1" applyBorder="1" applyAlignment="1">
      <alignment horizontal="center" vertical="center"/>
    </xf>
    <xf numFmtId="14" fontId="273" fillId="0" borderId="160" xfId="0" applyNumberFormat="1" applyFont="1" applyBorder="1" applyAlignment="1">
      <alignment horizontal="center" vertical="center"/>
    </xf>
    <xf numFmtId="0" fontId="273" fillId="0" borderId="80" xfId="0" applyFont="1" applyBorder="1" applyAlignment="1">
      <alignment horizontal="center" vertical="center" wrapText="1"/>
    </xf>
    <xf numFmtId="49" fontId="273" fillId="0" borderId="80" xfId="0" applyNumberFormat="1" applyFont="1" applyBorder="1" applyAlignment="1">
      <alignment horizontal="center" vertical="center" wrapText="1"/>
    </xf>
    <xf numFmtId="49" fontId="273" fillId="0" borderId="160" xfId="0" applyNumberFormat="1" applyFont="1" applyBorder="1" applyAlignment="1">
      <alignment horizontal="center" vertical="center" wrapText="1"/>
    </xf>
    <xf numFmtId="0" fontId="273" fillId="0" borderId="161" xfId="0" applyFont="1" applyBorder="1" applyAlignment="1">
      <alignment horizontal="center" vertical="center" wrapText="1"/>
    </xf>
    <xf numFmtId="49" fontId="273" fillId="0" borderId="161" xfId="0" applyNumberFormat="1" applyFont="1" applyBorder="1" applyAlignment="1">
      <alignment horizontal="center" vertical="center" wrapText="1"/>
    </xf>
    <xf numFmtId="0" fontId="272" fillId="0" borderId="63" xfId="0" applyFont="1" applyBorder="1" applyAlignment="1">
      <alignment horizontal="center" vertical="center" wrapText="1"/>
    </xf>
    <xf numFmtId="0" fontId="272" fillId="0" borderId="65" xfId="0" applyFont="1" applyBorder="1" applyAlignment="1">
      <alignment horizontal="center" vertical="center" wrapText="1"/>
    </xf>
    <xf numFmtId="14" fontId="273" fillId="0" borderId="161" xfId="0" applyNumberFormat="1" applyFont="1" applyBorder="1" applyAlignment="1">
      <alignment horizontal="center" vertical="center"/>
    </xf>
    <xf numFmtId="0" fontId="275" fillId="24" borderId="13" xfId="0" applyFont="1" applyFill="1" applyBorder="1" applyAlignment="1">
      <alignment horizontal="center" vertical="center" wrapText="1"/>
    </xf>
    <xf numFmtId="0" fontId="275" fillId="24" borderId="2" xfId="0" applyFont="1" applyFill="1" applyBorder="1" applyAlignment="1">
      <alignment horizontal="center" vertical="center" wrapText="1"/>
    </xf>
    <xf numFmtId="0" fontId="276" fillId="24" borderId="13" xfId="0" applyFont="1" applyFill="1" applyBorder="1" applyAlignment="1">
      <alignment horizontal="center" vertical="center" wrapText="1"/>
    </xf>
    <xf numFmtId="0" fontId="276" fillId="24" borderId="2" xfId="0" applyFont="1" applyFill="1" applyBorder="1" applyAlignment="1">
      <alignment horizontal="center" vertical="center" wrapText="1"/>
    </xf>
    <xf numFmtId="0" fontId="0" fillId="24" borderId="13" xfId="0" applyFill="1" applyBorder="1" applyAlignment="1">
      <alignment horizontal="center" vertical="center"/>
    </xf>
    <xf numFmtId="0" fontId="0" fillId="24" borderId="15" xfId="0" applyFill="1" applyBorder="1" applyAlignment="1">
      <alignment horizontal="center" vertical="center"/>
    </xf>
    <xf numFmtId="0" fontId="0" fillId="24" borderId="2" xfId="0" applyFill="1" applyBorder="1" applyAlignment="1">
      <alignment horizontal="center" vertical="center"/>
    </xf>
    <xf numFmtId="189" fontId="276" fillId="24" borderId="13" xfId="0" applyNumberFormat="1" applyFont="1" applyFill="1" applyBorder="1" applyAlignment="1">
      <alignment horizontal="center" vertical="center" wrapText="1"/>
    </xf>
    <xf numFmtId="189" fontId="276" fillId="24" borderId="2" xfId="0" applyNumberFormat="1" applyFont="1" applyFill="1" applyBorder="1" applyAlignment="1">
      <alignment horizontal="center" vertical="center" wrapText="1"/>
    </xf>
    <xf numFmtId="176" fontId="19" fillId="22" borderId="13" xfId="0" applyNumberFormat="1" applyFont="1" applyFill="1" applyBorder="1" applyAlignment="1">
      <alignment horizontal="center" vertical="center" wrapText="1"/>
    </xf>
    <xf numFmtId="176" fontId="19" fillId="22" borderId="2" xfId="0" applyNumberFormat="1" applyFont="1" applyFill="1" applyBorder="1" applyAlignment="1">
      <alignment horizontal="center" vertical="center" wrapText="1"/>
    </xf>
    <xf numFmtId="176" fontId="135" fillId="22" borderId="13" xfId="0" applyNumberFormat="1" applyFont="1" applyFill="1" applyBorder="1" applyAlignment="1">
      <alignment horizontal="center" vertical="center" wrapText="1"/>
    </xf>
    <xf numFmtId="176" fontId="135" fillId="22" borderId="2" xfId="0" applyNumberFormat="1" applyFont="1" applyFill="1" applyBorder="1" applyAlignment="1">
      <alignment horizontal="center" vertical="center" wrapText="1"/>
    </xf>
    <xf numFmtId="14" fontId="19" fillId="20" borderId="13" xfId="0" applyNumberFormat="1" applyFont="1" applyFill="1" applyBorder="1" applyAlignment="1">
      <alignment horizontal="center" vertical="center"/>
    </xf>
    <xf numFmtId="14" fontId="19" fillId="20" borderId="2" xfId="0" applyNumberFormat="1" applyFont="1" applyFill="1" applyBorder="1" applyAlignment="1">
      <alignment horizontal="center" vertical="center"/>
    </xf>
    <xf numFmtId="179" fontId="265" fillId="20" borderId="13" xfId="0" applyNumberFormat="1" applyFont="1" applyFill="1" applyBorder="1" applyAlignment="1">
      <alignment horizontal="center" vertical="center"/>
    </xf>
    <xf numFmtId="179" fontId="265" fillId="20" borderId="2" xfId="0" applyNumberFormat="1" applyFont="1" applyFill="1" applyBorder="1" applyAlignment="1">
      <alignment horizontal="center" vertical="center"/>
    </xf>
    <xf numFmtId="179" fontId="0" fillId="20" borderId="13" xfId="0" applyNumberFormat="1" applyFill="1" applyBorder="1" applyAlignment="1">
      <alignment horizontal="center" vertical="center"/>
    </xf>
    <xf numFmtId="179" fontId="0" fillId="20" borderId="2" xfId="0" applyNumberFormat="1" applyFill="1" applyBorder="1" applyAlignment="1">
      <alignment horizontal="center" vertical="center"/>
    </xf>
    <xf numFmtId="176" fontId="19" fillId="20" borderId="13" xfId="0" applyNumberFormat="1" applyFont="1" applyFill="1" applyBorder="1" applyAlignment="1">
      <alignment horizontal="center" vertical="center" wrapText="1"/>
    </xf>
    <xf numFmtId="176" fontId="19" fillId="20" borderId="2" xfId="0" applyNumberFormat="1" applyFont="1" applyFill="1" applyBorder="1" applyAlignment="1">
      <alignment horizontal="center" vertical="center" wrapText="1"/>
    </xf>
    <xf numFmtId="176" fontId="19" fillId="26" borderId="13" xfId="0" applyNumberFormat="1" applyFont="1" applyFill="1" applyBorder="1" applyAlignment="1">
      <alignment horizontal="center" vertical="center" wrapText="1"/>
    </xf>
    <xf numFmtId="176" fontId="19" fillId="26" borderId="15" xfId="0" applyNumberFormat="1" applyFont="1" applyFill="1" applyBorder="1" applyAlignment="1">
      <alignment horizontal="center" vertical="center" wrapText="1"/>
    </xf>
    <xf numFmtId="176" fontId="19" fillId="26" borderId="2" xfId="0" applyNumberFormat="1" applyFont="1" applyFill="1" applyBorder="1" applyAlignment="1">
      <alignment horizontal="center" vertical="center" wrapText="1"/>
    </xf>
    <xf numFmtId="176" fontId="135" fillId="22" borderId="15" xfId="0" applyNumberFormat="1" applyFont="1" applyFill="1" applyBorder="1" applyAlignment="1">
      <alignment horizontal="center" vertical="center" wrapText="1"/>
    </xf>
    <xf numFmtId="49" fontId="19" fillId="20" borderId="13" xfId="0" applyNumberFormat="1" applyFont="1" applyFill="1" applyBorder="1" applyAlignment="1">
      <alignment horizontal="center" vertical="center" wrapText="1"/>
    </xf>
    <xf numFmtId="49" fontId="19" fillId="20" borderId="2" xfId="0" applyNumberFormat="1" applyFont="1" applyFill="1" applyBorder="1" applyAlignment="1">
      <alignment horizontal="center" vertical="center" wrapText="1"/>
    </xf>
    <xf numFmtId="0" fontId="0" fillId="22" borderId="13" xfId="0" applyFill="1" applyBorder="1" applyAlignment="1">
      <alignment horizontal="center" vertical="center"/>
    </xf>
    <xf numFmtId="0" fontId="0" fillId="22" borderId="2" xfId="0" applyFill="1" applyBorder="1" applyAlignment="1">
      <alignment horizontal="center" vertical="center"/>
    </xf>
    <xf numFmtId="49" fontId="135" fillId="20" borderId="13" xfId="0" applyNumberFormat="1" applyFont="1" applyFill="1" applyBorder="1" applyAlignment="1">
      <alignment horizontal="center" vertical="center" wrapText="1"/>
    </xf>
    <xf numFmtId="49" fontId="135" fillId="20" borderId="2" xfId="0" applyNumberFormat="1" applyFont="1" applyFill="1" applyBorder="1" applyAlignment="1">
      <alignment horizontal="center" vertical="center" wrapText="1"/>
    </xf>
    <xf numFmtId="0" fontId="0" fillId="20" borderId="13" xfId="0" applyFill="1" applyBorder="1" applyAlignment="1">
      <alignment horizontal="center" vertical="center"/>
    </xf>
    <xf numFmtId="0" fontId="0" fillId="20" borderId="2" xfId="0" applyFill="1" applyBorder="1" applyAlignment="1">
      <alignment horizontal="center" vertical="center"/>
    </xf>
    <xf numFmtId="176" fontId="260" fillId="20" borderId="13" xfId="0" applyNumberFormat="1" applyFont="1" applyFill="1" applyBorder="1" applyAlignment="1">
      <alignment horizontal="center" vertical="center" wrapText="1"/>
    </xf>
    <xf numFmtId="176" fontId="260" fillId="20" borderId="2" xfId="0" applyNumberFormat="1" applyFont="1" applyFill="1" applyBorder="1" applyAlignment="1">
      <alignment horizontal="center" vertical="center" wrapText="1"/>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2" xfId="0" applyFill="1" applyBorder="1" applyAlignment="1">
      <alignment horizontal="center" vertical="center"/>
    </xf>
    <xf numFmtId="49" fontId="135" fillId="20" borderId="15" xfId="0" applyNumberFormat="1" applyFont="1" applyFill="1" applyBorder="1" applyAlignment="1">
      <alignment horizontal="center" vertical="center" wrapText="1"/>
    </xf>
    <xf numFmtId="176" fontId="19" fillId="22" borderId="15" xfId="0" applyNumberFormat="1" applyFont="1" applyFill="1" applyBorder="1" applyAlignment="1">
      <alignment horizontal="center" vertical="center" wrapText="1"/>
    </xf>
    <xf numFmtId="176" fontId="264" fillId="22" borderId="13" xfId="0" applyNumberFormat="1" applyFont="1" applyFill="1" applyBorder="1" applyAlignment="1">
      <alignment horizontal="center" vertical="center" wrapText="1"/>
    </xf>
    <xf numFmtId="176" fontId="264" fillId="22" borderId="2" xfId="0" applyNumberFormat="1" applyFont="1" applyFill="1" applyBorder="1" applyAlignment="1">
      <alignment horizontal="center" vertical="center" wrapText="1"/>
    </xf>
    <xf numFmtId="49" fontId="19" fillId="13" borderId="1" xfId="0" applyNumberFormat="1" applyFont="1" applyFill="1" applyBorder="1" applyAlignment="1">
      <alignment horizontal="center" vertical="center" wrapText="1"/>
    </xf>
    <xf numFmtId="176" fontId="264" fillId="22" borderId="1" xfId="0" applyNumberFormat="1" applyFont="1" applyFill="1" applyBorder="1" applyAlignment="1">
      <alignment horizontal="center" vertical="center" wrapText="1"/>
    </xf>
    <xf numFmtId="49" fontId="135"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49" fontId="19" fillId="20"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0" fontId="275" fillId="23" borderId="13" xfId="0" applyFont="1" applyFill="1" applyBorder="1" applyAlignment="1">
      <alignment horizontal="center" vertical="center" wrapText="1"/>
    </xf>
    <xf numFmtId="0" fontId="275" fillId="23" borderId="15" xfId="0" applyFont="1" applyFill="1" applyBorder="1" applyAlignment="1">
      <alignment horizontal="center" vertical="center" wrapText="1"/>
    </xf>
    <xf numFmtId="0" fontId="275" fillId="23" borderId="2" xfId="0" applyFont="1" applyFill="1" applyBorder="1" applyAlignment="1">
      <alignment horizontal="center" vertical="center" wrapText="1"/>
    </xf>
    <xf numFmtId="0" fontId="0" fillId="20" borderId="15" xfId="0" applyFill="1" applyBorder="1" applyAlignment="1">
      <alignment horizontal="center" vertical="center"/>
    </xf>
    <xf numFmtId="0" fontId="0" fillId="0" borderId="1" xfId="0" applyFont="1" applyFill="1" applyBorder="1" applyAlignment="1">
      <alignment horizontal="center" vertical="center"/>
    </xf>
    <xf numFmtId="49" fontId="271" fillId="0" borderId="1" xfId="0" applyNumberFormat="1" applyFont="1" applyFill="1" applyBorder="1" applyAlignment="1">
      <alignment horizontal="center" vertical="center" wrapText="1"/>
    </xf>
    <xf numFmtId="0" fontId="0" fillId="0" borderId="0" xfId="0" applyFont="1" applyAlignment="1">
      <alignment horizontal="center" vertical="center" wrapText="1"/>
    </xf>
    <xf numFmtId="0" fontId="98" fillId="0" borderId="0" xfId="0" applyFont="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8" borderId="13" xfId="0" applyFont="1" applyFill="1" applyBorder="1" applyAlignment="1" applyProtection="1">
      <alignment horizontal="center" vertical="center"/>
      <protection locked="0"/>
    </xf>
    <xf numFmtId="0" fontId="46" fillId="8" borderId="15" xfId="0" applyFont="1" applyFill="1" applyBorder="1" applyAlignment="1" applyProtection="1">
      <alignment horizontal="center" vertical="center"/>
      <protection locked="0"/>
    </xf>
    <xf numFmtId="0" fontId="46" fillId="8" borderId="2" xfId="0" applyFont="1" applyFill="1" applyBorder="1" applyAlignment="1" applyProtection="1">
      <alignment horizontal="center" vertical="center"/>
      <protection locked="0"/>
    </xf>
    <xf numFmtId="0" fontId="46" fillId="8"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0" borderId="15" xfId="0" applyFont="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9" fillId="0" borderId="46" xfId="0" applyFont="1" applyFill="1" applyBorder="1" applyAlignment="1" applyProtection="1">
      <alignment horizontal="center" vertical="center" wrapText="1"/>
    </xf>
    <xf numFmtId="0" fontId="19" fillId="0" borderId="22"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46" xfId="0" applyNumberFormat="1" applyFont="1" applyFill="1" applyBorder="1" applyAlignment="1" applyProtection="1">
      <alignment horizontal="center" vertical="center"/>
    </xf>
    <xf numFmtId="176" fontId="19" fillId="0" borderId="36" xfId="0" applyNumberFormat="1" applyFont="1" applyFill="1" applyBorder="1" applyAlignment="1" applyProtection="1">
      <alignment horizontal="center" vertical="center"/>
    </xf>
    <xf numFmtId="176" fontId="19" fillId="0" borderId="22" xfId="0" applyNumberFormat="1" applyFont="1" applyFill="1" applyBorder="1" applyAlignment="1" applyProtection="1">
      <alignment horizontal="center" vertical="center"/>
    </xf>
    <xf numFmtId="176" fontId="19" fillId="0" borderId="4" xfId="0" applyNumberFormat="1" applyFont="1" applyFill="1" applyBorder="1" applyAlignment="1" applyProtection="1">
      <alignment horizontal="center" vertical="center"/>
    </xf>
    <xf numFmtId="176" fontId="19" fillId="0" borderId="60" xfId="0"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xf>
    <xf numFmtId="0" fontId="19" fillId="0" borderId="13" xfId="0" applyFont="1" applyFill="1" applyBorder="1" applyAlignment="1" applyProtection="1">
      <alignment horizontal="center" vertical="center" textRotation="255"/>
    </xf>
    <xf numFmtId="0" fontId="19" fillId="0" borderId="15" xfId="0" applyFont="1" applyFill="1" applyBorder="1" applyAlignment="1" applyProtection="1">
      <alignment horizontal="center" vertical="center" textRotation="255"/>
    </xf>
    <xf numFmtId="0" fontId="19" fillId="0" borderId="2" xfId="0" applyFont="1" applyFill="1" applyBorder="1" applyAlignment="1" applyProtection="1">
      <alignment horizontal="center" vertical="center" textRotation="255"/>
    </xf>
    <xf numFmtId="0" fontId="19" fillId="0" borderId="1" xfId="0" applyFont="1" applyFill="1" applyBorder="1" applyAlignment="1" applyProtection="1">
      <alignment horizontal="center" vertical="center" wrapText="1"/>
    </xf>
    <xf numFmtId="179" fontId="19" fillId="0" borderId="1" xfId="0" applyNumberFormat="1" applyFont="1" applyFill="1" applyBorder="1" applyAlignment="1" applyProtection="1">
      <alignment horizontal="center" vertical="center"/>
    </xf>
    <xf numFmtId="0" fontId="0" fillId="0" borderId="2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9" fillId="0" borderId="1" xfId="0"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xf numFmtId="0" fontId="19" fillId="0" borderId="1" xfId="0" applyFont="1" applyFill="1" applyBorder="1" applyAlignment="1" applyProtection="1">
      <alignment horizontal="center" vertical="center" textRotation="255"/>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98" fillId="6" borderId="0" xfId="0" applyFont="1" applyFill="1" applyBorder="1" applyAlignment="1" applyProtection="1">
      <alignment horizontal="center"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56">
    <cellStyle name="百分比 2" xfId="14" xr:uid="{00000000-0005-0000-0000-000000000000}"/>
    <cellStyle name="常规" xfId="0" builtinId="0"/>
    <cellStyle name="常规 10" xfId="18" xr:uid="{00000000-0005-0000-0000-000002000000}"/>
    <cellStyle name="常规 10 2" xfId="17" xr:uid="{00000000-0005-0000-0000-000003000000}"/>
    <cellStyle name="常规 101" xfId="19" xr:uid="{00000000-0005-0000-0000-000004000000}"/>
    <cellStyle name="常规 107" xfId="20" xr:uid="{00000000-0005-0000-0000-000005000000}"/>
    <cellStyle name="常规 108" xfId="21" xr:uid="{00000000-0005-0000-0000-000006000000}"/>
    <cellStyle name="常规 110" xfId="22" xr:uid="{00000000-0005-0000-0000-000007000000}"/>
    <cellStyle name="常规 111" xfId="23" xr:uid="{00000000-0005-0000-0000-000008000000}"/>
    <cellStyle name="常规 112" xfId="24" xr:uid="{00000000-0005-0000-0000-000009000000}"/>
    <cellStyle name="常规 113" xfId="25" xr:uid="{00000000-0005-0000-0000-00000A000000}"/>
    <cellStyle name="常规 114" xfId="26" xr:uid="{00000000-0005-0000-0000-00000B000000}"/>
    <cellStyle name="常规 115" xfId="27" xr:uid="{00000000-0005-0000-0000-00000C000000}"/>
    <cellStyle name="常规 116" xfId="28" xr:uid="{00000000-0005-0000-0000-00000D000000}"/>
    <cellStyle name="常规 12" xfId="29" xr:uid="{00000000-0005-0000-0000-00000E000000}"/>
    <cellStyle name="常规 13" xfId="30" xr:uid="{00000000-0005-0000-0000-00000F000000}"/>
    <cellStyle name="常规 14" xfId="31" xr:uid="{00000000-0005-0000-0000-000010000000}"/>
    <cellStyle name="常规 15" xfId="32" xr:uid="{00000000-0005-0000-0000-000011000000}"/>
    <cellStyle name="常规 151" xfId="33" xr:uid="{00000000-0005-0000-0000-000012000000}"/>
    <cellStyle name="常规 152" xfId="34" xr:uid="{00000000-0005-0000-0000-000013000000}"/>
    <cellStyle name="常规 153" xfId="35" xr:uid="{00000000-0005-0000-0000-000014000000}"/>
    <cellStyle name="常规 156" xfId="36" xr:uid="{00000000-0005-0000-0000-000015000000}"/>
    <cellStyle name="常规 157" xfId="37" xr:uid="{00000000-0005-0000-0000-000016000000}"/>
    <cellStyle name="常规 158" xfId="38" xr:uid="{00000000-0005-0000-0000-000017000000}"/>
    <cellStyle name="常规 159" xfId="39" xr:uid="{00000000-0005-0000-0000-000018000000}"/>
    <cellStyle name="常规 16" xfId="10" xr:uid="{00000000-0005-0000-0000-000019000000}"/>
    <cellStyle name="常规 160" xfId="40" xr:uid="{00000000-0005-0000-0000-00001A000000}"/>
    <cellStyle name="常规 161" xfId="41" xr:uid="{00000000-0005-0000-0000-00001B000000}"/>
    <cellStyle name="常规 162" xfId="42" xr:uid="{00000000-0005-0000-0000-00001C000000}"/>
    <cellStyle name="常规 163" xfId="43" xr:uid="{00000000-0005-0000-0000-00001D000000}"/>
    <cellStyle name="常规 164" xfId="44" xr:uid="{00000000-0005-0000-0000-00001E000000}"/>
    <cellStyle name="常规 165" xfId="45" xr:uid="{00000000-0005-0000-0000-00001F000000}"/>
    <cellStyle name="常规 166" xfId="46" xr:uid="{00000000-0005-0000-0000-000020000000}"/>
    <cellStyle name="常规 167" xfId="47" xr:uid="{00000000-0005-0000-0000-000021000000}"/>
    <cellStyle name="常规 17" xfId="48" xr:uid="{00000000-0005-0000-0000-000022000000}"/>
    <cellStyle name="常规 170" xfId="49" xr:uid="{00000000-0005-0000-0000-000023000000}"/>
    <cellStyle name="常规 171" xfId="50" xr:uid="{00000000-0005-0000-0000-000024000000}"/>
    <cellStyle name="常规 175" xfId="51" xr:uid="{00000000-0005-0000-0000-000025000000}"/>
    <cellStyle name="常规 176" xfId="52" xr:uid="{00000000-0005-0000-0000-000026000000}"/>
    <cellStyle name="常规 177" xfId="53" xr:uid="{00000000-0005-0000-0000-000027000000}"/>
    <cellStyle name="常规 178" xfId="54" xr:uid="{00000000-0005-0000-0000-000028000000}"/>
    <cellStyle name="常规 179" xfId="55" xr:uid="{00000000-0005-0000-0000-000029000000}"/>
    <cellStyle name="常规 18" xfId="56" xr:uid="{00000000-0005-0000-0000-00002A000000}"/>
    <cellStyle name="常规 180" xfId="57" xr:uid="{00000000-0005-0000-0000-00002B000000}"/>
    <cellStyle name="常规 181" xfId="58" xr:uid="{00000000-0005-0000-0000-00002C000000}"/>
    <cellStyle name="常规 182" xfId="59" xr:uid="{00000000-0005-0000-0000-00002D000000}"/>
    <cellStyle name="常规 183" xfId="60" xr:uid="{00000000-0005-0000-0000-00002E000000}"/>
    <cellStyle name="常规 184" xfId="61" xr:uid="{00000000-0005-0000-0000-00002F000000}"/>
    <cellStyle name="常规 19" xfId="62" xr:uid="{00000000-0005-0000-0000-000030000000}"/>
    <cellStyle name="常规 2" xfId="1" xr:uid="{00000000-0005-0000-0000-000031000000}"/>
    <cellStyle name="常规 2 2" xfId="8" xr:uid="{00000000-0005-0000-0000-000032000000}"/>
    <cellStyle name="常规 2 2 2 2 3" xfId="15" xr:uid="{00000000-0005-0000-0000-000033000000}"/>
    <cellStyle name="常规 24" xfId="63" xr:uid="{00000000-0005-0000-0000-000034000000}"/>
    <cellStyle name="常规 3" xfId="2" xr:uid="{00000000-0005-0000-0000-000035000000}"/>
    <cellStyle name="常规 3 2" xfId="3" xr:uid="{00000000-0005-0000-0000-000036000000}"/>
    <cellStyle name="常规 4" xfId="4" xr:uid="{00000000-0005-0000-0000-000037000000}"/>
    <cellStyle name="常规 5" xfId="5" xr:uid="{00000000-0005-0000-0000-000038000000}"/>
    <cellStyle name="常规 6" xfId="6" xr:uid="{00000000-0005-0000-0000-000039000000}"/>
    <cellStyle name="常规 6 2" xfId="9" xr:uid="{00000000-0005-0000-0000-00003A000000}"/>
    <cellStyle name="常规 6 2 2" xfId="16" xr:uid="{00000000-0005-0000-0000-00003B000000}"/>
    <cellStyle name="常规 6 2 3" xfId="13" xr:uid="{00000000-0005-0000-0000-00003C000000}"/>
    <cellStyle name="常规 7" xfId="7" xr:uid="{00000000-0005-0000-0000-00003D000000}"/>
    <cellStyle name="常规 8" xfId="11" xr:uid="{00000000-0005-0000-0000-00003E000000}"/>
    <cellStyle name="常规 9" xfId="12" xr:uid="{00000000-0005-0000-0000-00003F000000}"/>
    <cellStyle name="超链接" xfId="64" builtinId="8" hidden="1"/>
    <cellStyle name="超链接" xfId="66" builtinId="8" hidden="1"/>
    <cellStyle name="超链接" xfId="68" builtinId="8" hidden="1"/>
    <cellStyle name="超链接" xfId="70" builtinId="8" hidden="1"/>
    <cellStyle name="超链接" xfId="72" builtinId="8" hidden="1"/>
    <cellStyle name="超链接" xfId="74" builtinId="8" hidden="1"/>
    <cellStyle name="超链接" xfId="76" builtinId="8" hidden="1"/>
    <cellStyle name="超链接" xfId="78" builtinId="8" hidden="1"/>
    <cellStyle name="超链接" xfId="80" builtinId="8" hidden="1"/>
    <cellStyle name="超链接" xfId="82" builtinId="8" hidden="1"/>
    <cellStyle name="超链接" xfId="84" builtinId="8" hidden="1"/>
    <cellStyle name="超链接" xfId="86" builtinId="8" hidden="1"/>
    <cellStyle name="超链接" xfId="88" builtinId="8" hidden="1"/>
    <cellStyle name="超链接" xfId="90" builtinId="8" hidden="1"/>
    <cellStyle name="超链接" xfId="92" builtinId="8" hidden="1"/>
    <cellStyle name="超链接" xfId="94" builtinId="8" hidden="1"/>
    <cellStyle name="超链接" xfId="96" builtinId="8" hidden="1"/>
    <cellStyle name="超链接" xfId="98" builtinId="8" hidden="1"/>
    <cellStyle name="超链接" xfId="100" builtinId="8" hidden="1"/>
    <cellStyle name="超链接" xfId="102" builtinId="8" hidden="1"/>
    <cellStyle name="超链接" xfId="104" builtinId="8" hidden="1"/>
    <cellStyle name="超链接" xfId="106" builtinId="8" hidden="1"/>
    <cellStyle name="超链接" xfId="108" builtinId="8" hidden="1"/>
    <cellStyle name="超链接" xfId="110" builtinId="8" hidden="1"/>
    <cellStyle name="超链接" xfId="112" builtinId="8" hidden="1"/>
    <cellStyle name="超链接" xfId="114" builtinId="8" hidden="1"/>
    <cellStyle name="超链接" xfId="116" builtinId="8" hidden="1"/>
    <cellStyle name="超链接" xfId="118" builtinId="8" hidden="1"/>
    <cellStyle name="超链接" xfId="120" builtinId="8" hidden="1"/>
    <cellStyle name="超链接" xfId="122" builtinId="8" hidden="1"/>
    <cellStyle name="超链接" xfId="124" builtinId="8" hidden="1"/>
    <cellStyle name="超链接" xfId="126" builtinId="8" hidden="1"/>
    <cellStyle name="超链接" xfId="128" builtinId="8" hidden="1"/>
    <cellStyle name="超链接" xfId="130" builtinId="8" hidden="1"/>
    <cellStyle name="超链接" xfId="132" builtinId="8" hidden="1"/>
    <cellStyle name="超链接" xfId="134" builtinId="8" hidden="1"/>
    <cellStyle name="超链接" xfId="136" builtinId="8" hidden="1"/>
    <cellStyle name="超链接" xfId="138" builtinId="8" hidden="1"/>
    <cellStyle name="超链接" xfId="140" builtinId="8" hidden="1"/>
    <cellStyle name="超链接" xfId="142" builtinId="8" hidden="1"/>
    <cellStyle name="超链接" xfId="144" builtinId="8" hidden="1"/>
    <cellStyle name="超链接" xfId="146" builtinId="8" hidden="1"/>
    <cellStyle name="超链接" xfId="148" builtinId="8" hidden="1"/>
    <cellStyle name="超链接" xfId="150" builtinId="8" hidden="1"/>
    <cellStyle name="超链接" xfId="152" builtinId="8" hidden="1"/>
    <cellStyle name="超链接" xfId="154" builtinId="8" hidden="1"/>
    <cellStyle name="已访问的超链接" xfId="65" builtinId="9" hidden="1"/>
    <cellStyle name="已访问的超链接" xfId="67" builtinId="9" hidden="1"/>
    <cellStyle name="已访问的超链接" xfId="69" builtinId="9" hidden="1"/>
    <cellStyle name="已访问的超链接" xfId="71" builtinId="9" hidden="1"/>
    <cellStyle name="已访问的超链接" xfId="73" builtinId="9" hidden="1"/>
    <cellStyle name="已访问的超链接" xfId="75" builtinId="9" hidden="1"/>
    <cellStyle name="已访问的超链接" xfId="77" builtinId="9" hidden="1"/>
    <cellStyle name="已访问的超链接" xfId="79" builtinId="9" hidden="1"/>
    <cellStyle name="已访问的超链接" xfId="81" builtinId="9" hidden="1"/>
    <cellStyle name="已访问的超链接" xfId="83" builtinId="9" hidden="1"/>
    <cellStyle name="已访问的超链接" xfId="85" builtinId="9" hidden="1"/>
    <cellStyle name="已访问的超链接" xfId="87" builtinId="9" hidden="1"/>
    <cellStyle name="已访问的超链接" xfId="89" builtinId="9" hidden="1"/>
    <cellStyle name="已访问的超链接" xfId="91" builtinId="9" hidden="1"/>
    <cellStyle name="已访问的超链接" xfId="93" builtinId="9" hidden="1"/>
    <cellStyle name="已访问的超链接" xfId="95" builtinId="9" hidden="1"/>
    <cellStyle name="已访问的超链接" xfId="97" builtinId="9" hidden="1"/>
    <cellStyle name="已访问的超链接" xfId="99" builtinId="9" hidden="1"/>
    <cellStyle name="已访问的超链接" xfId="101" builtinId="9" hidden="1"/>
    <cellStyle name="已访问的超链接" xfId="103" builtinId="9" hidden="1"/>
    <cellStyle name="已访问的超链接" xfId="105" builtinId="9" hidden="1"/>
    <cellStyle name="已访问的超链接" xfId="107" builtinId="9" hidden="1"/>
    <cellStyle name="已访问的超链接" xfId="109" builtinId="9" hidden="1"/>
    <cellStyle name="已访问的超链接" xfId="111" builtinId="9" hidden="1"/>
    <cellStyle name="已访问的超链接" xfId="113" builtinId="9" hidden="1"/>
    <cellStyle name="已访问的超链接" xfId="115" builtinId="9" hidden="1"/>
    <cellStyle name="已访问的超链接" xfId="117" builtinId="9" hidden="1"/>
    <cellStyle name="已访问的超链接" xfId="119" builtinId="9" hidden="1"/>
    <cellStyle name="已访问的超链接" xfId="121" builtinId="9" hidden="1"/>
    <cellStyle name="已访问的超链接" xfId="123" builtinId="9" hidden="1"/>
    <cellStyle name="已访问的超链接" xfId="125" builtinId="9" hidden="1"/>
    <cellStyle name="已访问的超链接" xfId="127" builtinId="9" hidden="1"/>
    <cellStyle name="已访问的超链接" xfId="129" builtinId="9" hidden="1"/>
    <cellStyle name="已访问的超链接" xfId="131" builtinId="9" hidden="1"/>
    <cellStyle name="已访问的超链接" xfId="133" builtinId="9" hidden="1"/>
    <cellStyle name="已访问的超链接" xfId="135" builtinId="9" hidden="1"/>
    <cellStyle name="已访问的超链接" xfId="137" builtinId="9" hidden="1"/>
    <cellStyle name="已访问的超链接" xfId="139" builtinId="9" hidden="1"/>
    <cellStyle name="已访问的超链接" xfId="141" builtinId="9" hidden="1"/>
    <cellStyle name="已访问的超链接" xfId="143" builtinId="9" hidden="1"/>
    <cellStyle name="已访问的超链接" xfId="145" builtinId="9" hidden="1"/>
    <cellStyle name="已访问的超链接" xfId="147" builtinId="9" hidden="1"/>
    <cellStyle name="已访问的超链接" xfId="149" builtinId="9" hidden="1"/>
    <cellStyle name="已访问的超链接" xfId="151" builtinId="9" hidden="1"/>
    <cellStyle name="已访问的超链接" xfId="153" builtinId="9" hidden="1"/>
    <cellStyle name="已访问的超链接" xfId="155" builtinId="9" hidden="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35.png"/><Relationship Id="rId7" Type="http://schemas.openxmlformats.org/officeDocument/2006/relationships/image" Target="../media/image39.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34.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5" Type="http://schemas.openxmlformats.org/officeDocument/2006/relationships/image" Target="../media/image26.png"/><Relationship Id="rId10" Type="http://schemas.openxmlformats.org/officeDocument/2006/relationships/image" Target="../media/image42.png"/><Relationship Id="rId19" Type="http://schemas.openxmlformats.org/officeDocument/2006/relationships/image" Target="../media/image30.png"/><Relationship Id="rId4" Type="http://schemas.openxmlformats.org/officeDocument/2006/relationships/image" Target="../media/image36.png"/><Relationship Id="rId9" Type="http://schemas.openxmlformats.org/officeDocument/2006/relationships/image" Target="../media/image41.png"/><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584200</xdr:colOff>
      <xdr:row>15</xdr:row>
      <xdr:rowOff>25400</xdr:rowOff>
    </xdr:from>
    <xdr:to>
      <xdr:col>33</xdr:col>
      <xdr:colOff>297142</xdr:colOff>
      <xdr:row>20</xdr:row>
      <xdr:rowOff>110321</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7970500" y="16560800"/>
          <a:ext cx="3746500" cy="1171891"/>
        </a:xfrm>
        <a:prstGeom prst="rect">
          <a:avLst/>
        </a:prstGeom>
      </xdr:spPr>
    </xdr:pic>
    <xdr:clientData/>
  </xdr:twoCellAnchor>
  <xdr:twoCellAnchor editAs="oneCell">
    <xdr:from>
      <xdr:col>28</xdr:col>
      <xdr:colOff>76200</xdr:colOff>
      <xdr:row>21</xdr:row>
      <xdr:rowOff>0</xdr:rowOff>
    </xdr:from>
    <xdr:to>
      <xdr:col>32</xdr:col>
      <xdr:colOff>335803</xdr:colOff>
      <xdr:row>28</xdr:row>
      <xdr:rowOff>37285</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8135600" y="17678400"/>
          <a:ext cx="2946400" cy="1370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628649</xdr:colOff>
      <xdr:row>11</xdr:row>
      <xdr:rowOff>126665</xdr:rowOff>
    </xdr:to>
    <xdr:pic>
      <xdr:nvPicPr>
        <xdr:cNvPr id="2" name="图片 1">
          <a:extLst>
            <a:ext uri="{FF2B5EF4-FFF2-40B4-BE49-F238E27FC236}">
              <a16:creationId xmlns:a16="http://schemas.microsoft.com/office/drawing/2014/main" id="{234A4C32-6CF8-4370-8050-E4DDCAD7112B}"/>
            </a:ext>
          </a:extLst>
        </xdr:cNvPr>
        <xdr:cNvPicPr>
          <a:picLocks noChangeAspect="1"/>
        </xdr:cNvPicPr>
      </xdr:nvPicPr>
      <xdr:blipFill>
        <a:blip xmlns:r="http://schemas.openxmlformats.org/officeDocument/2006/relationships" r:embed="rId1"/>
        <a:stretch>
          <a:fillRect/>
        </a:stretch>
      </xdr:blipFill>
      <xdr:spPr>
        <a:xfrm>
          <a:off x="0" y="66675"/>
          <a:ext cx="4743449" cy="2050715"/>
        </a:xfrm>
        <a:prstGeom prst="rect">
          <a:avLst/>
        </a:prstGeom>
      </xdr:spPr>
    </xdr:pic>
    <xdr:clientData/>
  </xdr:twoCellAnchor>
  <xdr:twoCellAnchor editAs="oneCell">
    <xdr:from>
      <xdr:col>0</xdr:col>
      <xdr:colOff>0</xdr:colOff>
      <xdr:row>11</xdr:row>
      <xdr:rowOff>76931</xdr:rowOff>
    </xdr:from>
    <xdr:to>
      <xdr:col>6</xdr:col>
      <xdr:colOff>666750</xdr:colOff>
      <xdr:row>16</xdr:row>
      <xdr:rowOff>142698</xdr:rowOff>
    </xdr:to>
    <xdr:pic>
      <xdr:nvPicPr>
        <xdr:cNvPr id="3" name="图片 2">
          <a:extLst>
            <a:ext uri="{FF2B5EF4-FFF2-40B4-BE49-F238E27FC236}">
              <a16:creationId xmlns:a16="http://schemas.microsoft.com/office/drawing/2014/main" id="{BA06ED7E-A365-401E-81F0-079C3232171B}"/>
            </a:ext>
          </a:extLst>
        </xdr:cNvPr>
        <xdr:cNvPicPr>
          <a:picLocks noChangeAspect="1"/>
        </xdr:cNvPicPr>
      </xdr:nvPicPr>
      <xdr:blipFill>
        <a:blip xmlns:r="http://schemas.openxmlformats.org/officeDocument/2006/relationships" r:embed="rId2"/>
        <a:stretch>
          <a:fillRect/>
        </a:stretch>
      </xdr:blipFill>
      <xdr:spPr>
        <a:xfrm>
          <a:off x="0" y="2067656"/>
          <a:ext cx="4781550" cy="970642"/>
        </a:xfrm>
        <a:prstGeom prst="rect">
          <a:avLst/>
        </a:prstGeom>
      </xdr:spPr>
    </xdr:pic>
    <xdr:clientData/>
  </xdr:twoCellAnchor>
  <xdr:twoCellAnchor editAs="oneCell">
    <xdr:from>
      <xdr:col>0</xdr:col>
      <xdr:colOff>0</xdr:colOff>
      <xdr:row>21</xdr:row>
      <xdr:rowOff>104774</xdr:rowOff>
    </xdr:from>
    <xdr:to>
      <xdr:col>7</xdr:col>
      <xdr:colOff>60063</xdr:colOff>
      <xdr:row>38</xdr:row>
      <xdr:rowOff>161356</xdr:rowOff>
    </xdr:to>
    <xdr:pic>
      <xdr:nvPicPr>
        <xdr:cNvPr id="4" name="图片 3">
          <a:extLst>
            <a:ext uri="{FF2B5EF4-FFF2-40B4-BE49-F238E27FC236}">
              <a16:creationId xmlns:a16="http://schemas.microsoft.com/office/drawing/2014/main" id="{BBDF43D4-51F8-4063-AA51-452B9F8DCB48}"/>
            </a:ext>
          </a:extLst>
        </xdr:cNvPr>
        <xdr:cNvPicPr>
          <a:picLocks noChangeAspect="1"/>
        </xdr:cNvPicPr>
      </xdr:nvPicPr>
      <xdr:blipFill>
        <a:blip xmlns:r="http://schemas.openxmlformats.org/officeDocument/2006/relationships" r:embed="rId3"/>
        <a:stretch>
          <a:fillRect/>
        </a:stretch>
      </xdr:blipFill>
      <xdr:spPr>
        <a:xfrm>
          <a:off x="0" y="3905249"/>
          <a:ext cx="4860663" cy="3133157"/>
        </a:xfrm>
        <a:prstGeom prst="rect">
          <a:avLst/>
        </a:prstGeom>
      </xdr:spPr>
    </xdr:pic>
    <xdr:clientData/>
  </xdr:twoCellAnchor>
  <xdr:twoCellAnchor editAs="oneCell">
    <xdr:from>
      <xdr:col>0</xdr:col>
      <xdr:colOff>0</xdr:colOff>
      <xdr:row>38</xdr:row>
      <xdr:rowOff>0</xdr:rowOff>
    </xdr:from>
    <xdr:to>
      <xdr:col>10</xdr:col>
      <xdr:colOff>56257</xdr:colOff>
      <xdr:row>63</xdr:row>
      <xdr:rowOff>47054</xdr:rowOff>
    </xdr:to>
    <xdr:pic>
      <xdr:nvPicPr>
        <xdr:cNvPr id="5" name="图片 4">
          <a:extLst>
            <a:ext uri="{FF2B5EF4-FFF2-40B4-BE49-F238E27FC236}">
              <a16:creationId xmlns:a16="http://schemas.microsoft.com/office/drawing/2014/main" id="{4DD17952-B6BF-474D-B01F-BA1B9AE78758}"/>
            </a:ext>
          </a:extLst>
        </xdr:cNvPr>
        <xdr:cNvPicPr>
          <a:picLocks noChangeAspect="1"/>
        </xdr:cNvPicPr>
      </xdr:nvPicPr>
      <xdr:blipFill>
        <a:blip xmlns:r="http://schemas.openxmlformats.org/officeDocument/2006/relationships" r:embed="rId4"/>
        <a:stretch>
          <a:fillRect/>
        </a:stretch>
      </xdr:blipFill>
      <xdr:spPr>
        <a:xfrm>
          <a:off x="0" y="6877050"/>
          <a:ext cx="7142857" cy="4571429"/>
        </a:xfrm>
        <a:prstGeom prst="rect">
          <a:avLst/>
        </a:prstGeom>
      </xdr:spPr>
    </xdr:pic>
    <xdr:clientData/>
  </xdr:twoCellAnchor>
  <xdr:twoCellAnchor editAs="oneCell">
    <xdr:from>
      <xdr:col>8</xdr:col>
      <xdr:colOff>250512</xdr:colOff>
      <xdr:row>0</xdr:row>
      <xdr:rowOff>0</xdr:rowOff>
    </xdr:from>
    <xdr:to>
      <xdr:col>14</xdr:col>
      <xdr:colOff>684851</xdr:colOff>
      <xdr:row>15</xdr:row>
      <xdr:rowOff>57150</xdr:rowOff>
    </xdr:to>
    <xdr:pic>
      <xdr:nvPicPr>
        <xdr:cNvPr id="6" name="图片 5">
          <a:extLst>
            <a:ext uri="{FF2B5EF4-FFF2-40B4-BE49-F238E27FC236}">
              <a16:creationId xmlns:a16="http://schemas.microsoft.com/office/drawing/2014/main" id="{D2552541-31CC-4F9D-B02E-0E40E3B27DE5}"/>
            </a:ext>
          </a:extLst>
        </xdr:cNvPr>
        <xdr:cNvPicPr>
          <a:picLocks noChangeAspect="1"/>
        </xdr:cNvPicPr>
      </xdr:nvPicPr>
      <xdr:blipFill>
        <a:blip xmlns:r="http://schemas.openxmlformats.org/officeDocument/2006/relationships" r:embed="rId5"/>
        <a:stretch>
          <a:fillRect/>
        </a:stretch>
      </xdr:blipFill>
      <xdr:spPr>
        <a:xfrm>
          <a:off x="5965512" y="0"/>
          <a:ext cx="4549139" cy="2771775"/>
        </a:xfrm>
        <a:prstGeom prst="rect">
          <a:avLst/>
        </a:prstGeom>
      </xdr:spPr>
    </xdr:pic>
    <xdr:clientData/>
  </xdr:twoCellAnchor>
  <xdr:twoCellAnchor editAs="oneCell">
    <xdr:from>
      <xdr:col>0</xdr:col>
      <xdr:colOff>0</xdr:colOff>
      <xdr:row>66</xdr:row>
      <xdr:rowOff>0</xdr:rowOff>
    </xdr:from>
    <xdr:to>
      <xdr:col>9</xdr:col>
      <xdr:colOff>646819</xdr:colOff>
      <xdr:row>91</xdr:row>
      <xdr:rowOff>113720</xdr:rowOff>
    </xdr:to>
    <xdr:pic>
      <xdr:nvPicPr>
        <xdr:cNvPr id="7" name="图片 6">
          <a:extLst>
            <a:ext uri="{FF2B5EF4-FFF2-40B4-BE49-F238E27FC236}">
              <a16:creationId xmlns:a16="http://schemas.microsoft.com/office/drawing/2014/main" id="{CBCD253B-87CA-4C92-A84B-4B76D538E50F}"/>
            </a:ext>
          </a:extLst>
        </xdr:cNvPr>
        <xdr:cNvPicPr>
          <a:picLocks noChangeAspect="1"/>
        </xdr:cNvPicPr>
      </xdr:nvPicPr>
      <xdr:blipFill>
        <a:blip xmlns:r="http://schemas.openxmlformats.org/officeDocument/2006/relationships" r:embed="rId6"/>
        <a:stretch>
          <a:fillRect/>
        </a:stretch>
      </xdr:blipFill>
      <xdr:spPr>
        <a:xfrm>
          <a:off x="0" y="11944350"/>
          <a:ext cx="7047619" cy="4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646247</xdr:colOff>
      <xdr:row>4</xdr:row>
      <xdr:rowOff>171343</xdr:rowOff>
    </xdr:to>
    <xdr:pic>
      <xdr:nvPicPr>
        <xdr:cNvPr id="2" name="图片 1">
          <a:extLst>
            <a:ext uri="{FF2B5EF4-FFF2-40B4-BE49-F238E27FC236}">
              <a16:creationId xmlns:a16="http://schemas.microsoft.com/office/drawing/2014/main" id="{B3F40458-AE15-4FEA-ADD8-922DB5D4E19C}"/>
            </a:ext>
          </a:extLst>
        </xdr:cNvPr>
        <xdr:cNvPicPr>
          <a:picLocks noChangeAspect="1"/>
        </xdr:cNvPicPr>
      </xdr:nvPicPr>
      <xdr:blipFill>
        <a:blip xmlns:r="http://schemas.openxmlformats.org/officeDocument/2006/relationships" r:embed="rId1"/>
        <a:stretch>
          <a:fillRect/>
        </a:stretch>
      </xdr:blipFill>
      <xdr:spPr>
        <a:xfrm>
          <a:off x="0" y="0"/>
          <a:ext cx="11619047" cy="857143"/>
        </a:xfrm>
        <a:prstGeom prst="rect">
          <a:avLst/>
        </a:prstGeom>
      </xdr:spPr>
    </xdr:pic>
    <xdr:clientData/>
  </xdr:twoCellAnchor>
  <xdr:twoCellAnchor editAs="oneCell">
    <xdr:from>
      <xdr:col>0</xdr:col>
      <xdr:colOff>0</xdr:colOff>
      <xdr:row>5</xdr:row>
      <xdr:rowOff>38100</xdr:rowOff>
    </xdr:from>
    <xdr:to>
      <xdr:col>16</xdr:col>
      <xdr:colOff>646247</xdr:colOff>
      <xdr:row>10</xdr:row>
      <xdr:rowOff>9421</xdr:rowOff>
    </xdr:to>
    <xdr:pic>
      <xdr:nvPicPr>
        <xdr:cNvPr id="3" name="图片 2">
          <a:extLst>
            <a:ext uri="{FF2B5EF4-FFF2-40B4-BE49-F238E27FC236}">
              <a16:creationId xmlns:a16="http://schemas.microsoft.com/office/drawing/2014/main" id="{62E3E393-A863-402C-B75A-859B0DB7C95B}"/>
            </a:ext>
          </a:extLst>
        </xdr:cNvPr>
        <xdr:cNvPicPr>
          <a:picLocks noChangeAspect="1"/>
        </xdr:cNvPicPr>
      </xdr:nvPicPr>
      <xdr:blipFill>
        <a:blip xmlns:r="http://schemas.openxmlformats.org/officeDocument/2006/relationships" r:embed="rId2"/>
        <a:stretch>
          <a:fillRect/>
        </a:stretch>
      </xdr:blipFill>
      <xdr:spPr>
        <a:xfrm>
          <a:off x="0" y="895350"/>
          <a:ext cx="11619047" cy="828571"/>
        </a:xfrm>
        <a:prstGeom prst="rect">
          <a:avLst/>
        </a:prstGeom>
      </xdr:spPr>
    </xdr:pic>
    <xdr:clientData/>
  </xdr:twoCellAnchor>
  <xdr:twoCellAnchor editAs="oneCell">
    <xdr:from>
      <xdr:col>0</xdr:col>
      <xdr:colOff>19050</xdr:colOff>
      <xdr:row>10</xdr:row>
      <xdr:rowOff>47625</xdr:rowOff>
    </xdr:from>
    <xdr:to>
      <xdr:col>16</xdr:col>
      <xdr:colOff>665297</xdr:colOff>
      <xdr:row>22</xdr:row>
      <xdr:rowOff>152130</xdr:rowOff>
    </xdr:to>
    <xdr:pic>
      <xdr:nvPicPr>
        <xdr:cNvPr id="4" name="图片 3">
          <a:extLst>
            <a:ext uri="{FF2B5EF4-FFF2-40B4-BE49-F238E27FC236}">
              <a16:creationId xmlns:a16="http://schemas.microsoft.com/office/drawing/2014/main" id="{754365B2-89B3-469E-A84B-62C06D106E36}"/>
            </a:ext>
          </a:extLst>
        </xdr:cNvPr>
        <xdr:cNvPicPr>
          <a:picLocks noChangeAspect="1"/>
        </xdr:cNvPicPr>
      </xdr:nvPicPr>
      <xdr:blipFill>
        <a:blip xmlns:r="http://schemas.openxmlformats.org/officeDocument/2006/relationships" r:embed="rId3"/>
        <a:stretch>
          <a:fillRect/>
        </a:stretch>
      </xdr:blipFill>
      <xdr:spPr>
        <a:xfrm>
          <a:off x="19050" y="1762125"/>
          <a:ext cx="11619047" cy="2161905"/>
        </a:xfrm>
        <a:prstGeom prst="rect">
          <a:avLst/>
        </a:prstGeom>
      </xdr:spPr>
    </xdr:pic>
    <xdr:clientData/>
  </xdr:twoCellAnchor>
  <xdr:twoCellAnchor editAs="oneCell">
    <xdr:from>
      <xdr:col>0</xdr:col>
      <xdr:colOff>0</xdr:colOff>
      <xdr:row>23</xdr:row>
      <xdr:rowOff>47625</xdr:rowOff>
    </xdr:from>
    <xdr:to>
      <xdr:col>16</xdr:col>
      <xdr:colOff>579581</xdr:colOff>
      <xdr:row>30</xdr:row>
      <xdr:rowOff>104618</xdr:rowOff>
    </xdr:to>
    <xdr:pic>
      <xdr:nvPicPr>
        <xdr:cNvPr id="5" name="图片 4">
          <a:extLst>
            <a:ext uri="{FF2B5EF4-FFF2-40B4-BE49-F238E27FC236}">
              <a16:creationId xmlns:a16="http://schemas.microsoft.com/office/drawing/2014/main" id="{452AA59A-A578-4965-A2F4-357D08B043AA}"/>
            </a:ext>
          </a:extLst>
        </xdr:cNvPr>
        <xdr:cNvPicPr>
          <a:picLocks noChangeAspect="1"/>
        </xdr:cNvPicPr>
      </xdr:nvPicPr>
      <xdr:blipFill>
        <a:blip xmlns:r="http://schemas.openxmlformats.org/officeDocument/2006/relationships" r:embed="rId4"/>
        <a:stretch>
          <a:fillRect/>
        </a:stretch>
      </xdr:blipFill>
      <xdr:spPr>
        <a:xfrm>
          <a:off x="0" y="3990975"/>
          <a:ext cx="11552381" cy="1257143"/>
        </a:xfrm>
        <a:prstGeom prst="rect">
          <a:avLst/>
        </a:prstGeom>
      </xdr:spPr>
    </xdr:pic>
    <xdr:clientData/>
  </xdr:twoCellAnchor>
  <xdr:twoCellAnchor editAs="oneCell">
    <xdr:from>
      <xdr:col>17</xdr:col>
      <xdr:colOff>0</xdr:colOff>
      <xdr:row>0</xdr:row>
      <xdr:rowOff>0</xdr:rowOff>
    </xdr:from>
    <xdr:to>
      <xdr:col>29</xdr:col>
      <xdr:colOff>227543</xdr:colOff>
      <xdr:row>18</xdr:row>
      <xdr:rowOff>123424</xdr:rowOff>
    </xdr:to>
    <xdr:pic>
      <xdr:nvPicPr>
        <xdr:cNvPr id="6" name="图片 5">
          <a:extLst>
            <a:ext uri="{FF2B5EF4-FFF2-40B4-BE49-F238E27FC236}">
              <a16:creationId xmlns:a16="http://schemas.microsoft.com/office/drawing/2014/main" id="{8254A3C4-2E79-4449-8591-6BD106FBD1EA}"/>
            </a:ext>
          </a:extLst>
        </xdr:cNvPr>
        <xdr:cNvPicPr>
          <a:picLocks noChangeAspect="1"/>
        </xdr:cNvPicPr>
      </xdr:nvPicPr>
      <xdr:blipFill>
        <a:blip xmlns:r="http://schemas.openxmlformats.org/officeDocument/2006/relationships" r:embed="rId5"/>
        <a:stretch>
          <a:fillRect/>
        </a:stretch>
      </xdr:blipFill>
      <xdr:spPr>
        <a:xfrm>
          <a:off x="11658600" y="0"/>
          <a:ext cx="8457143" cy="3209524"/>
        </a:xfrm>
        <a:prstGeom prst="rect">
          <a:avLst/>
        </a:prstGeom>
      </xdr:spPr>
    </xdr:pic>
    <xdr:clientData/>
  </xdr:twoCellAnchor>
  <xdr:twoCellAnchor editAs="oneCell">
    <xdr:from>
      <xdr:col>0</xdr:col>
      <xdr:colOff>0</xdr:colOff>
      <xdr:row>33</xdr:row>
      <xdr:rowOff>0</xdr:rowOff>
    </xdr:from>
    <xdr:to>
      <xdr:col>16</xdr:col>
      <xdr:colOff>627200</xdr:colOff>
      <xdr:row>60</xdr:row>
      <xdr:rowOff>37517</xdr:rowOff>
    </xdr:to>
    <xdr:pic>
      <xdr:nvPicPr>
        <xdr:cNvPr id="7" name="图片 6">
          <a:extLst>
            <a:ext uri="{FF2B5EF4-FFF2-40B4-BE49-F238E27FC236}">
              <a16:creationId xmlns:a16="http://schemas.microsoft.com/office/drawing/2014/main" id="{D6A75596-D55C-47A2-AEA9-76E04629D61F}"/>
            </a:ext>
          </a:extLst>
        </xdr:cNvPr>
        <xdr:cNvPicPr>
          <a:picLocks noChangeAspect="1"/>
        </xdr:cNvPicPr>
      </xdr:nvPicPr>
      <xdr:blipFill>
        <a:blip xmlns:r="http://schemas.openxmlformats.org/officeDocument/2006/relationships" r:embed="rId6"/>
        <a:stretch>
          <a:fillRect/>
        </a:stretch>
      </xdr:blipFill>
      <xdr:spPr>
        <a:xfrm>
          <a:off x="0" y="5657850"/>
          <a:ext cx="11600000" cy="4666667"/>
        </a:xfrm>
        <a:prstGeom prst="rect">
          <a:avLst/>
        </a:prstGeom>
      </xdr:spPr>
    </xdr:pic>
    <xdr:clientData/>
  </xdr:twoCellAnchor>
  <xdr:twoCellAnchor editAs="oneCell">
    <xdr:from>
      <xdr:col>0</xdr:col>
      <xdr:colOff>0</xdr:colOff>
      <xdr:row>63</xdr:row>
      <xdr:rowOff>0</xdr:rowOff>
    </xdr:from>
    <xdr:to>
      <xdr:col>17</xdr:col>
      <xdr:colOff>27114</xdr:colOff>
      <xdr:row>67</xdr:row>
      <xdr:rowOff>133248</xdr:rowOff>
    </xdr:to>
    <xdr:pic>
      <xdr:nvPicPr>
        <xdr:cNvPr id="8" name="图片 7">
          <a:extLst>
            <a:ext uri="{FF2B5EF4-FFF2-40B4-BE49-F238E27FC236}">
              <a16:creationId xmlns:a16="http://schemas.microsoft.com/office/drawing/2014/main" id="{49B06E04-9094-44DD-AB64-DD5669015311}"/>
            </a:ext>
          </a:extLst>
        </xdr:cNvPr>
        <xdr:cNvPicPr>
          <a:picLocks noChangeAspect="1"/>
        </xdr:cNvPicPr>
      </xdr:nvPicPr>
      <xdr:blipFill>
        <a:blip xmlns:r="http://schemas.openxmlformats.org/officeDocument/2006/relationships" r:embed="rId7"/>
        <a:stretch>
          <a:fillRect/>
        </a:stretch>
      </xdr:blipFill>
      <xdr:spPr>
        <a:xfrm>
          <a:off x="0" y="10801350"/>
          <a:ext cx="11685714" cy="819048"/>
        </a:xfrm>
        <a:prstGeom prst="rect">
          <a:avLst/>
        </a:prstGeom>
      </xdr:spPr>
    </xdr:pic>
    <xdr:clientData/>
  </xdr:twoCellAnchor>
  <xdr:twoCellAnchor editAs="oneCell">
    <xdr:from>
      <xdr:col>0</xdr:col>
      <xdr:colOff>0</xdr:colOff>
      <xdr:row>75</xdr:row>
      <xdr:rowOff>66675</xdr:rowOff>
    </xdr:from>
    <xdr:to>
      <xdr:col>16</xdr:col>
      <xdr:colOff>389105</xdr:colOff>
      <xdr:row>92</xdr:row>
      <xdr:rowOff>171073</xdr:rowOff>
    </xdr:to>
    <xdr:pic>
      <xdr:nvPicPr>
        <xdr:cNvPr id="9" name="图片 8">
          <a:extLst>
            <a:ext uri="{FF2B5EF4-FFF2-40B4-BE49-F238E27FC236}">
              <a16:creationId xmlns:a16="http://schemas.microsoft.com/office/drawing/2014/main" id="{59E9EFF6-9EE2-466A-B91C-457163D95D94}"/>
            </a:ext>
          </a:extLst>
        </xdr:cNvPr>
        <xdr:cNvPicPr>
          <a:picLocks noChangeAspect="1"/>
        </xdr:cNvPicPr>
      </xdr:nvPicPr>
      <xdr:blipFill>
        <a:blip xmlns:r="http://schemas.openxmlformats.org/officeDocument/2006/relationships" r:embed="rId8"/>
        <a:stretch>
          <a:fillRect/>
        </a:stretch>
      </xdr:blipFill>
      <xdr:spPr>
        <a:xfrm>
          <a:off x="0" y="12925425"/>
          <a:ext cx="11361905" cy="3019048"/>
        </a:xfrm>
        <a:prstGeom prst="rect">
          <a:avLst/>
        </a:prstGeom>
      </xdr:spPr>
    </xdr:pic>
    <xdr:clientData/>
  </xdr:twoCellAnchor>
  <xdr:twoCellAnchor editAs="oneCell">
    <xdr:from>
      <xdr:col>0</xdr:col>
      <xdr:colOff>0</xdr:colOff>
      <xdr:row>90</xdr:row>
      <xdr:rowOff>0</xdr:rowOff>
    </xdr:from>
    <xdr:to>
      <xdr:col>17</xdr:col>
      <xdr:colOff>103305</xdr:colOff>
      <xdr:row>94</xdr:row>
      <xdr:rowOff>161819</xdr:rowOff>
    </xdr:to>
    <xdr:pic>
      <xdr:nvPicPr>
        <xdr:cNvPr id="10" name="图片 9">
          <a:extLst>
            <a:ext uri="{FF2B5EF4-FFF2-40B4-BE49-F238E27FC236}">
              <a16:creationId xmlns:a16="http://schemas.microsoft.com/office/drawing/2014/main" id="{A5F08586-0563-452E-AB9D-CCCA1BF8F62C}"/>
            </a:ext>
          </a:extLst>
        </xdr:cNvPr>
        <xdr:cNvPicPr>
          <a:picLocks noChangeAspect="1"/>
        </xdr:cNvPicPr>
      </xdr:nvPicPr>
      <xdr:blipFill>
        <a:blip xmlns:r="http://schemas.openxmlformats.org/officeDocument/2006/relationships" r:embed="rId9"/>
        <a:stretch>
          <a:fillRect/>
        </a:stretch>
      </xdr:blipFill>
      <xdr:spPr>
        <a:xfrm>
          <a:off x="0" y="15430500"/>
          <a:ext cx="11761905" cy="847619"/>
        </a:xfrm>
        <a:prstGeom prst="rect">
          <a:avLst/>
        </a:prstGeom>
      </xdr:spPr>
    </xdr:pic>
    <xdr:clientData/>
  </xdr:twoCellAnchor>
  <xdr:twoCellAnchor editAs="oneCell">
    <xdr:from>
      <xdr:col>0</xdr:col>
      <xdr:colOff>0</xdr:colOff>
      <xdr:row>67</xdr:row>
      <xdr:rowOff>28576</xdr:rowOff>
    </xdr:from>
    <xdr:to>
      <xdr:col>16</xdr:col>
      <xdr:colOff>581025</xdr:colOff>
      <xdr:row>72</xdr:row>
      <xdr:rowOff>19486</xdr:rowOff>
    </xdr:to>
    <xdr:pic>
      <xdr:nvPicPr>
        <xdr:cNvPr id="11" name="图片 10">
          <a:extLst>
            <a:ext uri="{FF2B5EF4-FFF2-40B4-BE49-F238E27FC236}">
              <a16:creationId xmlns:a16="http://schemas.microsoft.com/office/drawing/2014/main" id="{D2181580-5CB3-4247-B1FE-9B7CCF0B5848}"/>
            </a:ext>
          </a:extLst>
        </xdr:cNvPr>
        <xdr:cNvPicPr>
          <a:picLocks noChangeAspect="1"/>
        </xdr:cNvPicPr>
      </xdr:nvPicPr>
      <xdr:blipFill>
        <a:blip xmlns:r="http://schemas.openxmlformats.org/officeDocument/2006/relationships" r:embed="rId10"/>
        <a:stretch>
          <a:fillRect/>
        </a:stretch>
      </xdr:blipFill>
      <xdr:spPr>
        <a:xfrm>
          <a:off x="0" y="11515726"/>
          <a:ext cx="11553825" cy="848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645583</xdr:colOff>
      <xdr:row>16</xdr:row>
      <xdr:rowOff>116417</xdr:rowOff>
    </xdr:from>
    <xdr:to>
      <xdr:col>12</xdr:col>
      <xdr:colOff>504629</xdr:colOff>
      <xdr:row>26</xdr:row>
      <xdr:rowOff>325393</xdr:rowOff>
    </xdr:to>
    <xdr:pic>
      <xdr:nvPicPr>
        <xdr:cNvPr id="2" name="图片 1">
          <a:extLst>
            <a:ext uri="{FF2B5EF4-FFF2-40B4-BE49-F238E27FC236}">
              <a16:creationId xmlns:a16="http://schemas.microsoft.com/office/drawing/2014/main" id="{7D28C2DF-ED8D-4B57-A86C-CFCE1D3BEA73}"/>
            </a:ext>
          </a:extLst>
        </xdr:cNvPr>
        <xdr:cNvPicPr>
          <a:picLocks noChangeAspect="1"/>
        </xdr:cNvPicPr>
      </xdr:nvPicPr>
      <xdr:blipFill>
        <a:blip xmlns:r="http://schemas.openxmlformats.org/officeDocument/2006/relationships" r:embed="rId1"/>
        <a:stretch>
          <a:fillRect/>
        </a:stretch>
      </xdr:blipFill>
      <xdr:spPr>
        <a:xfrm>
          <a:off x="6625166" y="3630084"/>
          <a:ext cx="4452213" cy="2039892"/>
        </a:xfrm>
        <a:prstGeom prst="rect">
          <a:avLst/>
        </a:prstGeom>
      </xdr:spPr>
    </xdr:pic>
    <xdr:clientData/>
  </xdr:twoCellAnchor>
  <xdr:twoCellAnchor editAs="oneCell">
    <xdr:from>
      <xdr:col>10</xdr:col>
      <xdr:colOff>10583</xdr:colOff>
      <xdr:row>13</xdr:row>
      <xdr:rowOff>31749</xdr:rowOff>
    </xdr:from>
    <xdr:to>
      <xdr:col>18</xdr:col>
      <xdr:colOff>263714</xdr:colOff>
      <xdr:row>17</xdr:row>
      <xdr:rowOff>142749</xdr:rowOff>
    </xdr:to>
    <xdr:pic>
      <xdr:nvPicPr>
        <xdr:cNvPr id="3" name="图片 2">
          <a:extLst>
            <a:ext uri="{FF2B5EF4-FFF2-40B4-BE49-F238E27FC236}">
              <a16:creationId xmlns:a16="http://schemas.microsoft.com/office/drawing/2014/main" id="{DE2FE1DB-B0B0-4A34-B598-83075C214A10}"/>
            </a:ext>
          </a:extLst>
        </xdr:cNvPr>
        <xdr:cNvPicPr>
          <a:picLocks noChangeAspect="1"/>
        </xdr:cNvPicPr>
      </xdr:nvPicPr>
      <xdr:blipFill>
        <a:blip xmlns:r="http://schemas.openxmlformats.org/officeDocument/2006/relationships" r:embed="rId2"/>
        <a:stretch>
          <a:fillRect/>
        </a:stretch>
      </xdr:blipFill>
      <xdr:spPr>
        <a:xfrm>
          <a:off x="8699500" y="2825749"/>
          <a:ext cx="6952381"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145413</xdr:colOff>
      <xdr:row>0</xdr:row>
      <xdr:rowOff>50800</xdr:rowOff>
    </xdr:from>
    <xdr:to>
      <xdr:col>8</xdr:col>
      <xdr:colOff>520698</xdr:colOff>
      <xdr:row>25</xdr:row>
      <xdr:rowOff>101600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45413" y="50800"/>
          <a:ext cx="6979285" cy="4813300"/>
        </a:xfrm>
        <a:prstGeom prst="rect">
          <a:avLst/>
        </a:prstGeom>
      </xdr:spPr>
    </xdr:pic>
    <xdr:clientData/>
  </xdr:twoCellAnchor>
  <xdr:twoCellAnchor editAs="oneCell">
    <xdr:from>
      <xdr:col>0</xdr:col>
      <xdr:colOff>114300</xdr:colOff>
      <xdr:row>26</xdr:row>
      <xdr:rowOff>12700</xdr:rowOff>
    </xdr:from>
    <xdr:to>
      <xdr:col>8</xdr:col>
      <xdr:colOff>556809</xdr:colOff>
      <xdr:row>33</xdr:row>
      <xdr:rowOff>114299</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14300" y="4965700"/>
          <a:ext cx="7046509" cy="1435099"/>
        </a:xfrm>
        <a:prstGeom prst="rect">
          <a:avLst/>
        </a:prstGeom>
      </xdr:spPr>
    </xdr:pic>
    <xdr:clientData/>
  </xdr:twoCellAnchor>
  <xdr:twoCellAnchor editAs="oneCell">
    <xdr:from>
      <xdr:col>0</xdr:col>
      <xdr:colOff>63500</xdr:colOff>
      <xdr:row>33</xdr:row>
      <xdr:rowOff>125746</xdr:rowOff>
    </xdr:from>
    <xdr:to>
      <xdr:col>8</xdr:col>
      <xdr:colOff>622300</xdr:colOff>
      <xdr:row>39</xdr:row>
      <xdr:rowOff>177798</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3500" y="6412246"/>
          <a:ext cx="7162800" cy="1195052"/>
        </a:xfrm>
        <a:prstGeom prst="rect">
          <a:avLst/>
        </a:prstGeom>
      </xdr:spPr>
    </xdr:pic>
    <xdr:clientData/>
  </xdr:twoCellAnchor>
  <xdr:twoCellAnchor editAs="oneCell">
    <xdr:from>
      <xdr:col>0</xdr:col>
      <xdr:colOff>0</xdr:colOff>
      <xdr:row>39</xdr:row>
      <xdr:rowOff>159327</xdr:rowOff>
    </xdr:from>
    <xdr:to>
      <xdr:col>8</xdr:col>
      <xdr:colOff>800100</xdr:colOff>
      <xdr:row>46</xdr:row>
      <xdr:rowOff>50799</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7588827"/>
          <a:ext cx="7404100" cy="1224972"/>
        </a:xfrm>
        <a:prstGeom prst="rect">
          <a:avLst/>
        </a:prstGeom>
      </xdr:spPr>
    </xdr:pic>
    <xdr:clientData/>
  </xdr:twoCellAnchor>
  <xdr:twoCellAnchor editAs="oneCell">
    <xdr:from>
      <xdr:col>0</xdr:col>
      <xdr:colOff>0</xdr:colOff>
      <xdr:row>46</xdr:row>
      <xdr:rowOff>135172</xdr:rowOff>
    </xdr:from>
    <xdr:to>
      <xdr:col>10</xdr:col>
      <xdr:colOff>72249</xdr:colOff>
      <xdr:row>54</xdr:row>
      <xdr:rowOff>25399</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8898172"/>
          <a:ext cx="8327249" cy="1414227"/>
        </a:xfrm>
        <a:prstGeom prst="rect">
          <a:avLst/>
        </a:prstGeom>
      </xdr:spPr>
    </xdr:pic>
    <xdr:clientData/>
  </xdr:twoCellAnchor>
  <xdr:twoCellAnchor editAs="oneCell">
    <xdr:from>
      <xdr:col>0</xdr:col>
      <xdr:colOff>0</xdr:colOff>
      <xdr:row>54</xdr:row>
      <xdr:rowOff>26791</xdr:rowOff>
    </xdr:from>
    <xdr:to>
      <xdr:col>10</xdr:col>
      <xdr:colOff>9775</xdr:colOff>
      <xdr:row>61</xdr:row>
      <xdr:rowOff>165100</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0" y="10313791"/>
          <a:ext cx="8264775" cy="1471809"/>
        </a:xfrm>
        <a:prstGeom prst="rect">
          <a:avLst/>
        </a:prstGeom>
      </xdr:spPr>
    </xdr:pic>
    <xdr:clientData/>
  </xdr:twoCellAnchor>
  <xdr:twoCellAnchor editAs="oneCell">
    <xdr:from>
      <xdr:col>9</xdr:col>
      <xdr:colOff>152399</xdr:colOff>
      <xdr:row>27</xdr:row>
      <xdr:rowOff>147002</xdr:rowOff>
    </xdr:from>
    <xdr:to>
      <xdr:col>15</xdr:col>
      <xdr:colOff>5172</xdr:colOff>
      <xdr:row>44</xdr:row>
      <xdr:rowOff>152399</xdr:rowOff>
    </xdr:to>
    <xdr:pic>
      <xdr:nvPicPr>
        <xdr:cNvPr id="8" name="图片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7581899" y="5290502"/>
          <a:ext cx="4805773" cy="3243897"/>
        </a:xfrm>
        <a:prstGeom prst="rect">
          <a:avLst/>
        </a:prstGeom>
      </xdr:spPr>
    </xdr:pic>
    <xdr:clientData/>
  </xdr:twoCellAnchor>
  <xdr:twoCellAnchor editAs="oneCell">
    <xdr:from>
      <xdr:col>8</xdr:col>
      <xdr:colOff>774700</xdr:colOff>
      <xdr:row>7</xdr:row>
      <xdr:rowOff>76200</xdr:rowOff>
    </xdr:from>
    <xdr:to>
      <xdr:col>15</xdr:col>
      <xdr:colOff>711200</xdr:colOff>
      <xdr:row>27</xdr:row>
      <xdr:rowOff>76200</xdr:rowOff>
    </xdr:to>
    <xdr:pic>
      <xdr:nvPicPr>
        <xdr:cNvPr id="10" name="图片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8"/>
        <a:stretch>
          <a:fillRect/>
        </a:stretch>
      </xdr:blipFill>
      <xdr:spPr>
        <a:xfrm>
          <a:off x="7378700" y="1409700"/>
          <a:ext cx="5715000" cy="3810000"/>
        </a:xfrm>
        <a:prstGeom prst="rect">
          <a:avLst/>
        </a:prstGeom>
      </xdr:spPr>
    </xdr:pic>
    <xdr:clientData/>
  </xdr:twoCellAnchor>
  <xdr:twoCellAnchor editAs="oneCell">
    <xdr:from>
      <xdr:col>0</xdr:col>
      <xdr:colOff>254000</xdr:colOff>
      <xdr:row>63</xdr:row>
      <xdr:rowOff>59970</xdr:rowOff>
    </xdr:from>
    <xdr:to>
      <xdr:col>7</xdr:col>
      <xdr:colOff>711200</xdr:colOff>
      <xdr:row>83</xdr:row>
      <xdr:rowOff>139699</xdr:rowOff>
    </xdr:to>
    <xdr:pic>
      <xdr:nvPicPr>
        <xdr:cNvPr id="11" name="图片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9"/>
        <a:stretch>
          <a:fillRect/>
        </a:stretch>
      </xdr:blipFill>
      <xdr:spPr>
        <a:xfrm>
          <a:off x="254000" y="12061470"/>
          <a:ext cx="6235700" cy="3889729"/>
        </a:xfrm>
        <a:prstGeom prst="rect">
          <a:avLst/>
        </a:prstGeom>
      </xdr:spPr>
    </xdr:pic>
    <xdr:clientData/>
  </xdr:twoCellAnchor>
  <xdr:twoCellAnchor editAs="oneCell">
    <xdr:from>
      <xdr:col>0</xdr:col>
      <xdr:colOff>0</xdr:colOff>
      <xdr:row>84</xdr:row>
      <xdr:rowOff>50800</xdr:rowOff>
    </xdr:from>
    <xdr:to>
      <xdr:col>9</xdr:col>
      <xdr:colOff>464356</xdr:colOff>
      <xdr:row>110</xdr:row>
      <xdr:rowOff>114299</xdr:rowOff>
    </xdr:to>
    <xdr:pic>
      <xdr:nvPicPr>
        <xdr:cNvPr id="12" name="图片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0"/>
        <a:stretch>
          <a:fillRect/>
        </a:stretch>
      </xdr:blipFill>
      <xdr:spPr>
        <a:xfrm>
          <a:off x="0" y="16052800"/>
          <a:ext cx="7893856" cy="50164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9</xdr:col>
      <xdr:colOff>333132</xdr:colOff>
      <xdr:row>7</xdr:row>
      <xdr:rowOff>63500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25400" y="0"/>
          <a:ext cx="7737232" cy="1397000"/>
        </a:xfrm>
        <a:prstGeom prst="rect">
          <a:avLst/>
        </a:prstGeom>
      </xdr:spPr>
    </xdr:pic>
    <xdr:clientData/>
  </xdr:twoCellAnchor>
  <xdr:twoCellAnchor editAs="oneCell">
    <xdr:from>
      <xdr:col>0</xdr:col>
      <xdr:colOff>0</xdr:colOff>
      <xdr:row>7</xdr:row>
      <xdr:rowOff>101601</xdr:rowOff>
    </xdr:from>
    <xdr:to>
      <xdr:col>9</xdr:col>
      <xdr:colOff>393700</xdr:colOff>
      <xdr:row>22</xdr:row>
      <xdr:rowOff>186305</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0" y="1435101"/>
          <a:ext cx="7823200" cy="2942204"/>
        </a:xfrm>
        <a:prstGeom prst="rect">
          <a:avLst/>
        </a:prstGeom>
      </xdr:spPr>
    </xdr:pic>
    <xdr:clientData/>
  </xdr:twoCellAnchor>
  <xdr:twoCellAnchor editAs="oneCell">
    <xdr:from>
      <xdr:col>0</xdr:col>
      <xdr:colOff>38101</xdr:colOff>
      <xdr:row>23</xdr:row>
      <xdr:rowOff>35494</xdr:rowOff>
    </xdr:from>
    <xdr:to>
      <xdr:col>9</xdr:col>
      <xdr:colOff>330201</xdr:colOff>
      <xdr:row>37</xdr:row>
      <xdr:rowOff>165099</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38101" y="4416994"/>
          <a:ext cx="7721600" cy="2796605"/>
        </a:xfrm>
        <a:prstGeom prst="rect">
          <a:avLst/>
        </a:prstGeom>
      </xdr:spPr>
    </xdr:pic>
    <xdr:clientData/>
  </xdr:twoCellAnchor>
  <xdr:twoCellAnchor editAs="oneCell">
    <xdr:from>
      <xdr:col>0</xdr:col>
      <xdr:colOff>0</xdr:colOff>
      <xdr:row>38</xdr:row>
      <xdr:rowOff>40869</xdr:rowOff>
    </xdr:from>
    <xdr:to>
      <xdr:col>9</xdr:col>
      <xdr:colOff>342900</xdr:colOff>
      <xdr:row>53</xdr:row>
      <xdr:rowOff>76198</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a:stretch>
          <a:fillRect/>
        </a:stretch>
      </xdr:blipFill>
      <xdr:spPr>
        <a:xfrm>
          <a:off x="0" y="7279869"/>
          <a:ext cx="7772400" cy="2892829"/>
        </a:xfrm>
        <a:prstGeom prst="rect">
          <a:avLst/>
        </a:prstGeom>
      </xdr:spPr>
    </xdr:pic>
    <xdr:clientData/>
  </xdr:twoCellAnchor>
  <xdr:twoCellAnchor editAs="oneCell">
    <xdr:from>
      <xdr:col>9</xdr:col>
      <xdr:colOff>584200</xdr:colOff>
      <xdr:row>0</xdr:row>
      <xdr:rowOff>10945</xdr:rowOff>
    </xdr:from>
    <xdr:to>
      <xdr:col>20</xdr:col>
      <xdr:colOff>546100</xdr:colOff>
      <xdr:row>7</xdr:row>
      <xdr:rowOff>45703</xdr:rowOff>
    </xdr:to>
    <xdr:pic>
      <xdr:nvPicPr>
        <xdr:cNvPr id="8" name="图片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a:stretch>
          <a:fillRect/>
        </a:stretch>
      </xdr:blipFill>
      <xdr:spPr>
        <a:xfrm>
          <a:off x="8013700" y="10945"/>
          <a:ext cx="9042400" cy="1368258"/>
        </a:xfrm>
        <a:prstGeom prst="rect">
          <a:avLst/>
        </a:prstGeom>
      </xdr:spPr>
    </xdr:pic>
    <xdr:clientData/>
  </xdr:twoCellAnchor>
  <xdr:twoCellAnchor editAs="oneCell">
    <xdr:from>
      <xdr:col>20</xdr:col>
      <xdr:colOff>622300</xdr:colOff>
      <xdr:row>0</xdr:row>
      <xdr:rowOff>0</xdr:rowOff>
    </xdr:from>
    <xdr:to>
      <xdr:col>32</xdr:col>
      <xdr:colOff>457200</xdr:colOff>
      <xdr:row>7</xdr:row>
      <xdr:rowOff>186508</xdr:rowOff>
    </xdr:to>
    <xdr:pic>
      <xdr:nvPicPr>
        <xdr:cNvPr id="9" name="图片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6"/>
        <a:stretch>
          <a:fillRect/>
        </a:stretch>
      </xdr:blipFill>
      <xdr:spPr>
        <a:xfrm>
          <a:off x="17132300" y="0"/>
          <a:ext cx="9740900" cy="1520008"/>
        </a:xfrm>
        <a:prstGeom prst="rect">
          <a:avLst/>
        </a:prstGeom>
      </xdr:spPr>
    </xdr:pic>
    <xdr:clientData/>
  </xdr:twoCellAnchor>
  <xdr:twoCellAnchor editAs="oneCell">
    <xdr:from>
      <xdr:col>20</xdr:col>
      <xdr:colOff>584200</xdr:colOff>
      <xdr:row>8</xdr:row>
      <xdr:rowOff>120649</xdr:rowOff>
    </xdr:from>
    <xdr:to>
      <xdr:col>31</xdr:col>
      <xdr:colOff>152400</xdr:colOff>
      <xdr:row>16</xdr:row>
      <xdr:rowOff>38098</xdr:rowOff>
    </xdr:to>
    <xdr:pic>
      <xdr:nvPicPr>
        <xdr:cNvPr id="10" name="图片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7"/>
        <a:stretch>
          <a:fillRect/>
        </a:stretch>
      </xdr:blipFill>
      <xdr:spPr>
        <a:xfrm>
          <a:off x="17094200" y="1644649"/>
          <a:ext cx="8648700" cy="1441449"/>
        </a:xfrm>
        <a:prstGeom prst="rect">
          <a:avLst/>
        </a:prstGeom>
      </xdr:spPr>
    </xdr:pic>
    <xdr:clientData/>
  </xdr:twoCellAnchor>
  <xdr:twoCellAnchor editAs="oneCell">
    <xdr:from>
      <xdr:col>20</xdr:col>
      <xdr:colOff>800100</xdr:colOff>
      <xdr:row>16</xdr:row>
      <xdr:rowOff>151398</xdr:rowOff>
    </xdr:from>
    <xdr:to>
      <xdr:col>31</xdr:col>
      <xdr:colOff>254000</xdr:colOff>
      <xdr:row>23</xdr:row>
      <xdr:rowOff>190499</xdr:rowOff>
    </xdr:to>
    <xdr:pic>
      <xdr:nvPicPr>
        <xdr:cNvPr id="11" name="图片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8"/>
        <a:stretch>
          <a:fillRect/>
        </a:stretch>
      </xdr:blipFill>
      <xdr:spPr>
        <a:xfrm>
          <a:off x="17310100" y="3199398"/>
          <a:ext cx="8534400" cy="1372601"/>
        </a:xfrm>
        <a:prstGeom prst="rect">
          <a:avLst/>
        </a:prstGeom>
      </xdr:spPr>
    </xdr:pic>
    <xdr:clientData/>
  </xdr:twoCellAnchor>
  <xdr:twoCellAnchor editAs="oneCell">
    <xdr:from>
      <xdr:col>20</xdr:col>
      <xdr:colOff>571500</xdr:colOff>
      <xdr:row>24</xdr:row>
      <xdr:rowOff>123674</xdr:rowOff>
    </xdr:from>
    <xdr:to>
      <xdr:col>32</xdr:col>
      <xdr:colOff>12700</xdr:colOff>
      <xdr:row>32</xdr:row>
      <xdr:rowOff>152399</xdr:rowOff>
    </xdr:to>
    <xdr:pic>
      <xdr:nvPicPr>
        <xdr:cNvPr id="12" name="图片 11">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9"/>
        <a:stretch>
          <a:fillRect/>
        </a:stretch>
      </xdr:blipFill>
      <xdr:spPr>
        <a:xfrm>
          <a:off x="17081500" y="4695674"/>
          <a:ext cx="9347200" cy="1552725"/>
        </a:xfrm>
        <a:prstGeom prst="rect">
          <a:avLst/>
        </a:prstGeom>
      </xdr:spPr>
    </xdr:pic>
    <xdr:clientData/>
  </xdr:twoCellAnchor>
  <xdr:twoCellAnchor editAs="oneCell">
    <xdr:from>
      <xdr:col>9</xdr:col>
      <xdr:colOff>339063</xdr:colOff>
      <xdr:row>7</xdr:row>
      <xdr:rowOff>165100</xdr:rowOff>
    </xdr:from>
    <xdr:to>
      <xdr:col>20</xdr:col>
      <xdr:colOff>256812</xdr:colOff>
      <xdr:row>15</xdr:row>
      <xdr:rowOff>101600</xdr:rowOff>
    </xdr:to>
    <xdr:pic>
      <xdr:nvPicPr>
        <xdr:cNvPr id="13" name="图片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0"/>
        <a:stretch>
          <a:fillRect/>
        </a:stretch>
      </xdr:blipFill>
      <xdr:spPr>
        <a:xfrm>
          <a:off x="7768563" y="1498600"/>
          <a:ext cx="8998249" cy="1460500"/>
        </a:xfrm>
        <a:prstGeom prst="rect">
          <a:avLst/>
        </a:prstGeom>
      </xdr:spPr>
    </xdr:pic>
    <xdr:clientData/>
  </xdr:twoCellAnchor>
  <xdr:twoCellAnchor editAs="oneCell">
    <xdr:from>
      <xdr:col>9</xdr:col>
      <xdr:colOff>406400</xdr:colOff>
      <xdr:row>16</xdr:row>
      <xdr:rowOff>76200</xdr:rowOff>
    </xdr:from>
    <xdr:to>
      <xdr:col>18</xdr:col>
      <xdr:colOff>419100</xdr:colOff>
      <xdr:row>43</xdr:row>
      <xdr:rowOff>12700</xdr:rowOff>
    </xdr:to>
    <xdr:pic>
      <xdr:nvPicPr>
        <xdr:cNvPr id="14" name="图片 13">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1"/>
        <a:stretch>
          <a:fillRect/>
        </a:stretch>
      </xdr:blipFill>
      <xdr:spPr>
        <a:xfrm>
          <a:off x="7835900" y="3124200"/>
          <a:ext cx="7442200" cy="5080000"/>
        </a:xfrm>
        <a:prstGeom prst="rect">
          <a:avLst/>
        </a:prstGeom>
      </xdr:spPr>
    </xdr:pic>
    <xdr:clientData/>
  </xdr:twoCellAnchor>
  <xdr:twoCellAnchor editAs="oneCell">
    <xdr:from>
      <xdr:col>21</xdr:col>
      <xdr:colOff>145413</xdr:colOff>
      <xdr:row>35</xdr:row>
      <xdr:rowOff>0</xdr:rowOff>
    </xdr:from>
    <xdr:to>
      <xdr:col>29</xdr:col>
      <xdr:colOff>520698</xdr:colOff>
      <xdr:row>60</xdr:row>
      <xdr:rowOff>50800</xdr:rowOff>
    </xdr:to>
    <xdr:pic>
      <xdr:nvPicPr>
        <xdr:cNvPr id="15" name="图片 14">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12"/>
        <a:stretch>
          <a:fillRect/>
        </a:stretch>
      </xdr:blipFill>
      <xdr:spPr>
        <a:xfrm>
          <a:off x="17480913" y="6667500"/>
          <a:ext cx="6979285" cy="4813300"/>
        </a:xfrm>
        <a:prstGeom prst="rect">
          <a:avLst/>
        </a:prstGeom>
      </xdr:spPr>
    </xdr:pic>
    <xdr:clientData/>
  </xdr:twoCellAnchor>
  <xdr:twoCellAnchor editAs="oneCell">
    <xdr:from>
      <xdr:col>21</xdr:col>
      <xdr:colOff>114300</xdr:colOff>
      <xdr:row>60</xdr:row>
      <xdr:rowOff>152400</xdr:rowOff>
    </xdr:from>
    <xdr:to>
      <xdr:col>29</xdr:col>
      <xdr:colOff>556809</xdr:colOff>
      <xdr:row>68</xdr:row>
      <xdr:rowOff>63499</xdr:rowOff>
    </xdr:to>
    <xdr:pic>
      <xdr:nvPicPr>
        <xdr:cNvPr id="16" name="图片 15">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13"/>
        <a:stretch>
          <a:fillRect/>
        </a:stretch>
      </xdr:blipFill>
      <xdr:spPr>
        <a:xfrm>
          <a:off x="17449800" y="11582400"/>
          <a:ext cx="7046509" cy="1435099"/>
        </a:xfrm>
        <a:prstGeom prst="rect">
          <a:avLst/>
        </a:prstGeom>
      </xdr:spPr>
    </xdr:pic>
    <xdr:clientData/>
  </xdr:twoCellAnchor>
  <xdr:twoCellAnchor editAs="oneCell">
    <xdr:from>
      <xdr:col>21</xdr:col>
      <xdr:colOff>63500</xdr:colOff>
      <xdr:row>68</xdr:row>
      <xdr:rowOff>74946</xdr:rowOff>
    </xdr:from>
    <xdr:to>
      <xdr:col>29</xdr:col>
      <xdr:colOff>622300</xdr:colOff>
      <xdr:row>74</xdr:row>
      <xdr:rowOff>126998</xdr:rowOff>
    </xdr:to>
    <xdr:pic>
      <xdr:nvPicPr>
        <xdr:cNvPr id="17" name="图片 16">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14"/>
        <a:stretch>
          <a:fillRect/>
        </a:stretch>
      </xdr:blipFill>
      <xdr:spPr>
        <a:xfrm>
          <a:off x="17399000" y="13028946"/>
          <a:ext cx="7162800" cy="1195052"/>
        </a:xfrm>
        <a:prstGeom prst="rect">
          <a:avLst/>
        </a:prstGeom>
      </xdr:spPr>
    </xdr:pic>
    <xdr:clientData/>
  </xdr:twoCellAnchor>
  <xdr:twoCellAnchor editAs="oneCell">
    <xdr:from>
      <xdr:col>21</xdr:col>
      <xdr:colOff>0</xdr:colOff>
      <xdr:row>74</xdr:row>
      <xdr:rowOff>108527</xdr:rowOff>
    </xdr:from>
    <xdr:to>
      <xdr:col>29</xdr:col>
      <xdr:colOff>800100</xdr:colOff>
      <xdr:row>80</xdr:row>
      <xdr:rowOff>190499</xdr:rowOff>
    </xdr:to>
    <xdr:pic>
      <xdr:nvPicPr>
        <xdr:cNvPr id="18" name="图片 17">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15"/>
        <a:stretch>
          <a:fillRect/>
        </a:stretch>
      </xdr:blipFill>
      <xdr:spPr>
        <a:xfrm>
          <a:off x="17335500" y="14205527"/>
          <a:ext cx="7404100" cy="1224972"/>
        </a:xfrm>
        <a:prstGeom prst="rect">
          <a:avLst/>
        </a:prstGeom>
      </xdr:spPr>
    </xdr:pic>
    <xdr:clientData/>
  </xdr:twoCellAnchor>
  <xdr:twoCellAnchor editAs="oneCell">
    <xdr:from>
      <xdr:col>21</xdr:col>
      <xdr:colOff>0</xdr:colOff>
      <xdr:row>81</xdr:row>
      <xdr:rowOff>84372</xdr:rowOff>
    </xdr:from>
    <xdr:to>
      <xdr:col>31</xdr:col>
      <xdr:colOff>72249</xdr:colOff>
      <xdr:row>88</xdr:row>
      <xdr:rowOff>165099</xdr:rowOff>
    </xdr:to>
    <xdr:pic>
      <xdr:nvPicPr>
        <xdr:cNvPr id="19" name="图片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16"/>
        <a:stretch>
          <a:fillRect/>
        </a:stretch>
      </xdr:blipFill>
      <xdr:spPr>
        <a:xfrm>
          <a:off x="17335500" y="15514872"/>
          <a:ext cx="8327249" cy="1414227"/>
        </a:xfrm>
        <a:prstGeom prst="rect">
          <a:avLst/>
        </a:prstGeom>
      </xdr:spPr>
    </xdr:pic>
    <xdr:clientData/>
  </xdr:twoCellAnchor>
  <xdr:twoCellAnchor editAs="oneCell">
    <xdr:from>
      <xdr:col>21</xdr:col>
      <xdr:colOff>0</xdr:colOff>
      <xdr:row>88</xdr:row>
      <xdr:rowOff>166491</xdr:rowOff>
    </xdr:from>
    <xdr:to>
      <xdr:col>31</xdr:col>
      <xdr:colOff>9775</xdr:colOff>
      <xdr:row>96</xdr:row>
      <xdr:rowOff>114300</xdr:rowOff>
    </xdr:to>
    <xdr:pic>
      <xdr:nvPicPr>
        <xdr:cNvPr id="20" name="图片 19">
          <a:extLst>
            <a:ext uri="{FF2B5EF4-FFF2-40B4-BE49-F238E27FC236}">
              <a16:creationId xmlns:a16="http://schemas.microsoft.com/office/drawing/2014/main" id="{00000000-0008-0000-1B00-000014000000}"/>
            </a:ext>
          </a:extLst>
        </xdr:cNvPr>
        <xdr:cNvPicPr>
          <a:picLocks noChangeAspect="1"/>
        </xdr:cNvPicPr>
      </xdr:nvPicPr>
      <xdr:blipFill>
        <a:blip xmlns:r="http://schemas.openxmlformats.org/officeDocument/2006/relationships" r:embed="rId17"/>
        <a:stretch>
          <a:fillRect/>
        </a:stretch>
      </xdr:blipFill>
      <xdr:spPr>
        <a:xfrm>
          <a:off x="17335500" y="16930491"/>
          <a:ext cx="8264775" cy="1471809"/>
        </a:xfrm>
        <a:prstGeom prst="rect">
          <a:avLst/>
        </a:prstGeom>
      </xdr:spPr>
    </xdr:pic>
    <xdr:clientData/>
  </xdr:twoCellAnchor>
  <xdr:twoCellAnchor editAs="oneCell">
    <xdr:from>
      <xdr:col>30</xdr:col>
      <xdr:colOff>152399</xdr:colOff>
      <xdr:row>62</xdr:row>
      <xdr:rowOff>96202</xdr:rowOff>
    </xdr:from>
    <xdr:to>
      <xdr:col>36</xdr:col>
      <xdr:colOff>5172</xdr:colOff>
      <xdr:row>79</xdr:row>
      <xdr:rowOff>101599</xdr:rowOff>
    </xdr:to>
    <xdr:pic>
      <xdr:nvPicPr>
        <xdr:cNvPr id="21" name="图片 20">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18"/>
        <a:stretch>
          <a:fillRect/>
        </a:stretch>
      </xdr:blipFill>
      <xdr:spPr>
        <a:xfrm>
          <a:off x="24917399" y="11907202"/>
          <a:ext cx="4805773" cy="3243897"/>
        </a:xfrm>
        <a:prstGeom prst="rect">
          <a:avLst/>
        </a:prstGeom>
      </xdr:spPr>
    </xdr:pic>
    <xdr:clientData/>
  </xdr:twoCellAnchor>
  <xdr:twoCellAnchor editAs="oneCell">
    <xdr:from>
      <xdr:col>29</xdr:col>
      <xdr:colOff>774700</xdr:colOff>
      <xdr:row>42</xdr:row>
      <xdr:rowOff>25400</xdr:rowOff>
    </xdr:from>
    <xdr:to>
      <xdr:col>36</xdr:col>
      <xdr:colOff>711200</xdr:colOff>
      <xdr:row>62</xdr:row>
      <xdr:rowOff>25400</xdr:rowOff>
    </xdr:to>
    <xdr:pic>
      <xdr:nvPicPr>
        <xdr:cNvPr id="22" name="图片 21">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19"/>
        <a:stretch>
          <a:fillRect/>
        </a:stretch>
      </xdr:blipFill>
      <xdr:spPr>
        <a:xfrm>
          <a:off x="24714200" y="8026400"/>
          <a:ext cx="5715000" cy="3810000"/>
        </a:xfrm>
        <a:prstGeom prst="rect">
          <a:avLst/>
        </a:prstGeom>
      </xdr:spPr>
    </xdr:pic>
    <xdr:clientData/>
  </xdr:twoCellAnchor>
  <xdr:twoCellAnchor editAs="oneCell">
    <xdr:from>
      <xdr:col>21</xdr:col>
      <xdr:colOff>254000</xdr:colOff>
      <xdr:row>98</xdr:row>
      <xdr:rowOff>9170</xdr:rowOff>
    </xdr:from>
    <xdr:to>
      <xdr:col>28</xdr:col>
      <xdr:colOff>711200</xdr:colOff>
      <xdr:row>118</xdr:row>
      <xdr:rowOff>88899</xdr:rowOff>
    </xdr:to>
    <xdr:pic>
      <xdr:nvPicPr>
        <xdr:cNvPr id="23" name="图片 22">
          <a:extLst>
            <a:ext uri="{FF2B5EF4-FFF2-40B4-BE49-F238E27FC236}">
              <a16:creationId xmlns:a16="http://schemas.microsoft.com/office/drawing/2014/main" id="{00000000-0008-0000-1B00-000017000000}"/>
            </a:ext>
          </a:extLst>
        </xdr:cNvPr>
        <xdr:cNvPicPr>
          <a:picLocks noChangeAspect="1"/>
        </xdr:cNvPicPr>
      </xdr:nvPicPr>
      <xdr:blipFill>
        <a:blip xmlns:r="http://schemas.openxmlformats.org/officeDocument/2006/relationships" r:embed="rId20"/>
        <a:stretch>
          <a:fillRect/>
        </a:stretch>
      </xdr:blipFill>
      <xdr:spPr>
        <a:xfrm>
          <a:off x="17589500" y="18678170"/>
          <a:ext cx="6235700" cy="38897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9</xdr:col>
      <xdr:colOff>0</xdr:colOff>
      <xdr:row>11</xdr:row>
      <xdr:rowOff>184093</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25400"/>
          <a:ext cx="7429500" cy="2254193"/>
        </a:xfrm>
        <a:prstGeom prst="rect">
          <a:avLst/>
        </a:prstGeom>
      </xdr:spPr>
    </xdr:pic>
    <xdr:clientData/>
  </xdr:twoCellAnchor>
  <xdr:twoCellAnchor editAs="oneCell">
    <xdr:from>
      <xdr:col>0</xdr:col>
      <xdr:colOff>0</xdr:colOff>
      <xdr:row>11</xdr:row>
      <xdr:rowOff>53414</xdr:rowOff>
    </xdr:from>
    <xdr:to>
      <xdr:col>10</xdr:col>
      <xdr:colOff>787400</xdr:colOff>
      <xdr:row>13</xdr:row>
      <xdr:rowOff>110237</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2148914"/>
          <a:ext cx="9042400" cy="437823"/>
        </a:xfrm>
        <a:prstGeom prst="rect">
          <a:avLst/>
        </a:prstGeom>
      </xdr:spPr>
    </xdr:pic>
    <xdr:clientData/>
  </xdr:twoCellAnchor>
  <xdr:twoCellAnchor editAs="oneCell">
    <xdr:from>
      <xdr:col>0</xdr:col>
      <xdr:colOff>0</xdr:colOff>
      <xdr:row>13</xdr:row>
      <xdr:rowOff>55244</xdr:rowOff>
    </xdr:from>
    <xdr:to>
      <xdr:col>10</xdr:col>
      <xdr:colOff>774700</xdr:colOff>
      <xdr:row>20</xdr:row>
      <xdr:rowOff>76199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2531744"/>
          <a:ext cx="9029700" cy="1354455"/>
        </a:xfrm>
        <a:prstGeom prst="rect">
          <a:avLst/>
        </a:prstGeom>
      </xdr:spPr>
    </xdr:pic>
    <xdr:clientData/>
  </xdr:twoCellAnchor>
  <xdr:twoCellAnchor editAs="oneCell">
    <xdr:from>
      <xdr:col>0</xdr:col>
      <xdr:colOff>0</xdr:colOff>
      <xdr:row>20</xdr:row>
      <xdr:rowOff>128023</xdr:rowOff>
    </xdr:from>
    <xdr:to>
      <xdr:col>10</xdr:col>
      <xdr:colOff>787400</xdr:colOff>
      <xdr:row>25</xdr:row>
      <xdr:rowOff>177800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3938023"/>
          <a:ext cx="9042400" cy="1002277"/>
        </a:xfrm>
        <a:prstGeom prst="rect">
          <a:avLst/>
        </a:prstGeom>
      </xdr:spPr>
    </xdr:pic>
    <xdr:clientData/>
  </xdr:twoCellAnchor>
  <xdr:twoCellAnchor editAs="oneCell">
    <xdr:from>
      <xdr:col>11</xdr:col>
      <xdr:colOff>139700</xdr:colOff>
      <xdr:row>10</xdr:row>
      <xdr:rowOff>165100</xdr:rowOff>
    </xdr:from>
    <xdr:to>
      <xdr:col>21</xdr:col>
      <xdr:colOff>241299</xdr:colOff>
      <xdr:row>29</xdr:row>
      <xdr:rowOff>31608</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9220200" y="2070100"/>
          <a:ext cx="8356599" cy="3486008"/>
        </a:xfrm>
        <a:prstGeom prst="rect">
          <a:avLst/>
        </a:prstGeom>
      </xdr:spPr>
    </xdr:pic>
    <xdr:clientData/>
  </xdr:twoCellAnchor>
  <xdr:twoCellAnchor editAs="oneCell">
    <xdr:from>
      <xdr:col>0</xdr:col>
      <xdr:colOff>0</xdr:colOff>
      <xdr:row>25</xdr:row>
      <xdr:rowOff>182977</xdr:rowOff>
    </xdr:from>
    <xdr:to>
      <xdr:col>10</xdr:col>
      <xdr:colOff>762000</xdr:colOff>
      <xdr:row>34</xdr:row>
      <xdr:rowOff>14557</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0" y="4945477"/>
          <a:ext cx="9017000" cy="1546080"/>
        </a:xfrm>
        <a:prstGeom prst="rect">
          <a:avLst/>
        </a:prstGeom>
      </xdr:spPr>
    </xdr:pic>
    <xdr:clientData/>
  </xdr:twoCellAnchor>
  <xdr:twoCellAnchor editAs="oneCell">
    <xdr:from>
      <xdr:col>9</xdr:col>
      <xdr:colOff>190500</xdr:colOff>
      <xdr:row>0</xdr:row>
      <xdr:rowOff>140748</xdr:rowOff>
    </xdr:from>
    <xdr:to>
      <xdr:col>17</xdr:col>
      <xdr:colOff>736600</xdr:colOff>
      <xdr:row>8</xdr:row>
      <xdr:rowOff>127000</xdr:rowOff>
    </xdr:to>
    <xdr:pic>
      <xdr:nvPicPr>
        <xdr:cNvPr id="8" name="图片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7620000" y="140748"/>
          <a:ext cx="7150100" cy="1510252"/>
        </a:xfrm>
        <a:prstGeom prst="rect">
          <a:avLst/>
        </a:prstGeom>
      </xdr:spPr>
    </xdr:pic>
    <xdr:clientData/>
  </xdr:twoCellAnchor>
  <xdr:twoCellAnchor editAs="oneCell">
    <xdr:from>
      <xdr:col>0</xdr:col>
      <xdr:colOff>0</xdr:colOff>
      <xdr:row>34</xdr:row>
      <xdr:rowOff>163454</xdr:rowOff>
    </xdr:from>
    <xdr:to>
      <xdr:col>9</xdr:col>
      <xdr:colOff>279400</xdr:colOff>
      <xdr:row>44</xdr:row>
      <xdr:rowOff>114300</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0" y="6640454"/>
          <a:ext cx="7708900" cy="18558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06&#27979;&#31639;-1#2#3#7#&#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hilin\Desktop\1231&#27979;&#31639;-1#2#3#7#&#36710;&#203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24037;&#20316;\&#33529;&#26524;&#31038;&#21306;\0109\0109&#27979;&#31639;-1#2#3#7#&#36710;&#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24037;&#20316;\&#33529;&#26524;&#31038;&#21306;\&#27979;&#31639;&#35843;&#25972;\0106&#27979;&#31639;-1#2#3#7#&#36710;&#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1&#21496;&#27861;/&#22788;&#32622;/2022-1-0602%20&#21271;&#20140;&#24066;&#26397;&#38451;&#21306;&#30334;&#23376;&#28286;&#36335;32&#21495;&#38498;1&#21495;&#27004;&#12289;2&#21495;&#27004;&#12289;3&#21495;&#27004;&#12289;7&#21495;&#27004;&#19981;&#21160;&#20135;&#22788;&#32622;&#21442;&#32771;&#20215;/F01/0113&#32456;&#29256;/0112&#32456;&#29256;&#27979;&#31639;-1#2#3#7#&#36710;&#203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24037;&#20316;\&#33529;&#26524;&#31038;&#21306;\&#27979;&#31639;&#35843;&#25972;\0104&#21830;&#19994;1&#23618;&#22522;&#20934;&#22320;&#20215;&#31995;&#25968;&#20462;&#2749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hilin\Desktop\2022&#22522;&#20934;&#22320;&#20215;&#31995;&#25968;&#20462;&#27491;-&#3161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物清单"/>
      <sheetName val="1号楼"/>
      <sheetName val="3号楼"/>
      <sheetName val="7号楼"/>
      <sheetName val="2号楼"/>
      <sheetName val="项目基本情况"/>
      <sheetName val="数据-基础表"/>
      <sheetName val="数据-汇总表"/>
      <sheetName val="数据-取费表"/>
      <sheetName val="结果表"/>
      <sheetName val="成本法 (元)"/>
      <sheetName val="假设开发法"/>
      <sheetName val="汇总表"/>
      <sheetName val="收益法-车位"/>
      <sheetName val="车位标准户型修正"/>
      <sheetName val="结果表-车位"/>
      <sheetName val="收益法-车位(元)"/>
      <sheetName val="比较法-车位"/>
      <sheetName val="车位成交案例"/>
      <sheetName val="车位租金"/>
      <sheetName val="结果表-库房"/>
      <sheetName val="收益法-库房"/>
      <sheetName val="库房租金案例"/>
      <sheetName val="工作表2"/>
      <sheetName val="收益法"/>
      <sheetName val="收益法-酒店模型"/>
      <sheetName val="成本法-商业"/>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
      <sheetName val="典型户型修正"/>
      <sheetName val="系统读取表"/>
      <sheetName val="估价对象房地状况"/>
      <sheetName val="定义"/>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J1">
            <v>3958</v>
          </cell>
          <cell r="U1">
            <v>920</v>
          </cell>
          <cell r="AF1">
            <v>659.11999999999989</v>
          </cell>
          <cell r="AQ1">
            <v>8982</v>
          </cell>
        </row>
        <row r="28">
          <cell r="AA28">
            <v>1742.4459999999988</v>
          </cell>
          <cell r="AF28">
            <v>659.11999999999989</v>
          </cell>
        </row>
        <row r="49">
          <cell r="P49">
            <v>2442.5999999999981</v>
          </cell>
          <cell r="U49">
            <v>920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物清单"/>
      <sheetName val="1号楼"/>
      <sheetName val="3号楼"/>
      <sheetName val="7号楼"/>
      <sheetName val="2号楼"/>
      <sheetName val="项目基本情况"/>
      <sheetName val="数据-基础表"/>
      <sheetName val="数据-汇总表"/>
      <sheetName val="数据-取费表"/>
      <sheetName val="结果表"/>
      <sheetName val="成本法 (元)"/>
      <sheetName val="假设开发法"/>
      <sheetName val="汇总表"/>
      <sheetName val="收益法-车位"/>
      <sheetName val="车位标准户型修正"/>
      <sheetName val="结果表-车位"/>
      <sheetName val="收益法-车位(元)"/>
      <sheetName val="比较法-车位"/>
      <sheetName val="车位成交案例"/>
      <sheetName val="车位租金"/>
      <sheetName val="结果表-库房"/>
      <sheetName val="收益法-库房"/>
      <sheetName val="库房租金案例"/>
      <sheetName val="工作表2"/>
      <sheetName val="收益法"/>
      <sheetName val="收益法-酒店模型"/>
      <sheetName val="成本法-商业"/>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
      <sheetName val="典型户型修正"/>
      <sheetName val="系统读取表"/>
      <sheetName val="估价对象房地状况"/>
      <sheetName val="定义"/>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80">
          <cell r="AL780">
            <v>36880.436000000009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1号楼"/>
      <sheetName val="3号楼"/>
      <sheetName val="7号楼"/>
      <sheetName val="2号楼"/>
      <sheetName val="项目基本情况"/>
      <sheetName val="数据-基础表"/>
      <sheetName val="数据-汇总表"/>
      <sheetName val="数据-取费表"/>
      <sheetName val="结果表"/>
      <sheetName val="成本法 (元)"/>
      <sheetName val="假设开发法"/>
      <sheetName val="汇总表"/>
      <sheetName val="收益法-车位"/>
      <sheetName val="抵押物清单"/>
      <sheetName val="车位标准户型修正"/>
      <sheetName val="结果表-车位"/>
      <sheetName val="收益法-车位(元)"/>
      <sheetName val="比较法-车位"/>
      <sheetName val="车位成交案例"/>
      <sheetName val="车位租金"/>
      <sheetName val="结果表-库房"/>
      <sheetName val="收益法-库房"/>
      <sheetName val="库房租金案例"/>
      <sheetName val="工作表2"/>
      <sheetName val="收益法"/>
      <sheetName val="收益法-酒店模型"/>
      <sheetName val="成本法-商业"/>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
      <sheetName val="典型户型修正"/>
      <sheetName val="系统读取表"/>
      <sheetName val="估价对象房地状况"/>
      <sheetName val="定义"/>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K1">
            <v>14518.64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E31">
            <v>206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5.7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6.5" thickTop="1">
      <c r="A2" s="1312" t="s">
        <v>947</v>
      </c>
      <c r="B2" s="1313" t="str">
        <f>'预评函-封皮'!B37:I37</f>
        <v>北京市房地产市场价值预评估</v>
      </c>
    </row>
    <row r="3" spans="1:2" s="1317" customFormat="1">
      <c r="A3" s="1315" t="s">
        <v>948</v>
      </c>
      <c r="B3" s="1316">
        <f>'预评函-封皮'!B40</f>
        <v>0</v>
      </c>
    </row>
    <row r="4" spans="1:2" s="1317" customFormat="1">
      <c r="A4" s="1315" t="s">
        <v>949</v>
      </c>
      <c r="B4" s="1316" t="str">
        <f ca="1">'预评函-封皮'!B46</f>
        <v>梁津（注册号：0)、陈颖（注册号：1120060040)</v>
      </c>
    </row>
    <row r="5" spans="1:2" s="1311" customFormat="1" ht="16.5" thickBot="1">
      <c r="A5" s="1318" t="s">
        <v>950</v>
      </c>
      <c r="B5" s="1319" t="str">
        <f>'预评函-封皮'!B49</f>
        <v>康正预评字号</v>
      </c>
    </row>
    <row r="6" spans="1:2" s="1314" customFormat="1" ht="16.5" thickTop="1">
      <c r="A6" s="1312" t="s">
        <v>951</v>
      </c>
      <c r="B6" s="1313" t="str">
        <f>'预评函-1'!A4</f>
        <v>受贵公司委托，我公司对北京市房地产市场价值进行了预评估。</v>
      </c>
    </row>
    <row r="7" spans="1:2" s="1317" customFormat="1">
      <c r="A7" s="1315" t="s">
        <v>991</v>
      </c>
      <c r="B7" s="1316" t="str">
        <f>'预评函-1'!A7</f>
        <v>估价对象为北京市房地产，为所有。根据《国有土地使用证》[]，估价对象（分摊）出让国有建设用地使用权面积为0平方米，建筑面积为58.81平方米。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估价对象为北京市房地产,属开发建设的居住项目，该项目尚在开发建设中。根据《国有土地使用证》[]，估价对象（分摊）出让国有建设用地使用权面积为0平方米，规划建筑面积为58.81平方米。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2022年11月3日（评估专业人员实地查勘之日）</v>
      </c>
    </row>
    <row r="13" spans="1:2" s="1317" customFormat="1">
      <c r="A13" s="1315" t="s">
        <v>954</v>
      </c>
      <c r="B13" s="1316"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6.5" thickBot="1">
      <c r="A18" s="1318" t="s">
        <v>959</v>
      </c>
      <c r="B18" s="1319" t="str">
        <f>'预评函-1'!A24</f>
        <v>本次评估采用的主估价方法为收益法和成本法。</v>
      </c>
    </row>
    <row r="19" spans="1:2" s="1314" customFormat="1" ht="16.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58.81</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6.5" thickBot="1">
      <c r="A57" s="1318" t="s">
        <v>1024</v>
      </c>
      <c r="B57" s="1319" t="str">
        <f>'预评函-3'!A6</f>
        <v/>
      </c>
    </row>
    <row r="58" spans="1:2" s="1314" customFormat="1" ht="16.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6.5" thickBot="1">
      <c r="A69" s="1318" t="s">
        <v>986</v>
      </c>
      <c r="B69" s="1320">
        <f>'预评函-4'!C31</f>
        <v>42551</v>
      </c>
    </row>
    <row r="70" spans="1:2" ht="16.5" thickTop="1">
      <c r="A70" s="1321" t="s">
        <v>987</v>
      </c>
      <c r="B70" s="1322" t="str">
        <f>'预评函-4'!A4</f>
        <v>梁津</v>
      </c>
    </row>
    <row r="71" spans="1:2">
      <c r="A71" s="1315" t="s">
        <v>988</v>
      </c>
      <c r="B71" s="1316">
        <f ca="1">'预评函-4'!B4</f>
        <v>0</v>
      </c>
    </row>
    <row r="72" spans="1:2">
      <c r="A72" s="1315" t="s">
        <v>989</v>
      </c>
      <c r="B72" s="1324" t="str">
        <f>'预评函-4'!A5</f>
        <v>陈颖</v>
      </c>
    </row>
    <row r="73" spans="1:2" s="1311" customFormat="1" ht="16.5" thickBot="1">
      <c r="A73" s="1318" t="s">
        <v>990</v>
      </c>
      <c r="B73" s="1319">
        <f ca="1">'预评函-4'!B5</f>
        <v>1120060040</v>
      </c>
    </row>
    <row r="74" spans="1:2" ht="16.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rgb="FFFFFF00"/>
  </sheetPr>
  <dimension ref="A1:L1224"/>
  <sheetViews>
    <sheetView workbookViewId="0">
      <selection activeCell="N27" sqref="N27"/>
    </sheetView>
  </sheetViews>
  <sheetFormatPr defaultColWidth="9" defaultRowHeight="14.25"/>
  <cols>
    <col min="1" max="1" width="9" style="1359"/>
    <col min="2" max="2" width="7.125" style="1359" customWidth="1"/>
    <col min="3" max="3" width="9" style="1359"/>
    <col min="4" max="4" width="14.875" style="1359" customWidth="1"/>
    <col min="5" max="5" width="5.125" style="1359" hidden="1" customWidth="1"/>
    <col min="6" max="6" width="9" style="1359"/>
    <col min="7" max="7" width="7.5" style="1359" customWidth="1"/>
    <col min="8" max="8" width="8.125" style="1359" customWidth="1"/>
    <col min="9" max="9" width="7.5" style="1359" customWidth="1"/>
    <col min="10" max="10" width="11" style="1359" customWidth="1"/>
    <col min="11" max="16384" width="9" style="1359"/>
  </cols>
  <sheetData>
    <row r="1" spans="1:12" ht="11.25" customHeight="1">
      <c r="B1" s="3493" t="s">
        <v>4447</v>
      </c>
      <c r="C1" s="3493"/>
      <c r="D1" s="3493"/>
      <c r="E1" s="3493"/>
      <c r="F1" s="3493"/>
      <c r="G1" s="3493"/>
      <c r="H1" s="3493"/>
      <c r="I1" s="3493"/>
      <c r="J1" s="3493"/>
    </row>
    <row r="2" spans="1:12" ht="11.25" customHeight="1">
      <c r="B2" s="3493"/>
      <c r="C2" s="3493"/>
      <c r="D2" s="3493"/>
      <c r="E2" s="3493"/>
      <c r="F2" s="3493"/>
      <c r="G2" s="3493"/>
      <c r="H2" s="3493"/>
      <c r="I2" s="3493"/>
      <c r="J2" s="3493"/>
    </row>
    <row r="3" spans="1:12" ht="11.25" customHeight="1">
      <c r="B3" s="3238" t="s">
        <v>4448</v>
      </c>
      <c r="C3" s="3239"/>
      <c r="D3" s="3239"/>
      <c r="E3" s="3238"/>
      <c r="F3" s="3238"/>
      <c r="G3" s="3238"/>
      <c r="H3" s="3238"/>
      <c r="I3" s="3239"/>
      <c r="J3" s="3239"/>
    </row>
    <row r="4" spans="1:12" s="3240" customFormat="1" ht="11.25" customHeight="1">
      <c r="A4" s="3488" t="s">
        <v>4837</v>
      </c>
      <c r="B4" s="3488" t="s">
        <v>4449</v>
      </c>
      <c r="C4" s="3488" t="s">
        <v>3175</v>
      </c>
      <c r="D4" s="3488" t="s">
        <v>4450</v>
      </c>
      <c r="E4" s="3488" t="s">
        <v>4451</v>
      </c>
      <c r="F4" s="3488" t="s">
        <v>3180</v>
      </c>
      <c r="G4" s="3488"/>
      <c r="H4" s="3488" t="s">
        <v>4452</v>
      </c>
      <c r="I4" s="3488" t="s">
        <v>4453</v>
      </c>
      <c r="J4" s="3488" t="s">
        <v>4454</v>
      </c>
    </row>
    <row r="5" spans="1:12" s="3240" customFormat="1" ht="11.25" customHeight="1">
      <c r="A5" s="3488"/>
      <c r="B5" s="3488"/>
      <c r="C5" s="3488"/>
      <c r="D5" s="3488"/>
      <c r="E5" s="3488"/>
      <c r="F5" s="3237" t="s">
        <v>4455</v>
      </c>
      <c r="G5" s="3488" t="s">
        <v>4456</v>
      </c>
      <c r="H5" s="3488"/>
      <c r="I5" s="3488"/>
      <c r="J5" s="3488"/>
    </row>
    <row r="6" spans="1:12" s="3240" customFormat="1" ht="11.25" customHeight="1">
      <c r="A6" s="3488"/>
      <c r="B6" s="3488"/>
      <c r="C6" s="3488"/>
      <c r="D6" s="3488"/>
      <c r="E6" s="3488"/>
      <c r="F6" s="3237" t="s">
        <v>4457</v>
      </c>
      <c r="G6" s="3488"/>
      <c r="H6" s="3488"/>
      <c r="I6" s="3488"/>
      <c r="J6" s="3488"/>
    </row>
    <row r="7" spans="1:12" ht="11.25" customHeight="1">
      <c r="A7" s="3363">
        <v>1</v>
      </c>
      <c r="B7" s="3237" t="s">
        <v>4458</v>
      </c>
      <c r="C7" s="3237" t="s">
        <v>3244</v>
      </c>
      <c r="D7" s="3237" t="s">
        <v>4459</v>
      </c>
      <c r="E7" s="3237" t="s">
        <v>4460</v>
      </c>
      <c r="F7" s="3237" t="s">
        <v>4461</v>
      </c>
      <c r="G7" s="3237" t="s">
        <v>3660</v>
      </c>
      <c r="H7" s="3237" t="s">
        <v>3219</v>
      </c>
      <c r="I7" s="3236" t="s">
        <v>4462</v>
      </c>
      <c r="J7" s="3236">
        <v>30.45</v>
      </c>
      <c r="L7" s="3241"/>
    </row>
    <row r="8" spans="1:12" ht="11.25" customHeight="1">
      <c r="A8" s="3363">
        <v>2</v>
      </c>
      <c r="B8" s="3237" t="s">
        <v>4458</v>
      </c>
      <c r="C8" s="3237" t="s">
        <v>3245</v>
      </c>
      <c r="D8" s="3237" t="s">
        <v>4459</v>
      </c>
      <c r="E8" s="3237" t="s">
        <v>4460</v>
      </c>
      <c r="F8" s="3237" t="s">
        <v>4461</v>
      </c>
      <c r="G8" s="3237" t="s">
        <v>3660</v>
      </c>
      <c r="H8" s="3237" t="s">
        <v>3219</v>
      </c>
      <c r="I8" s="3236" t="s">
        <v>4462</v>
      </c>
      <c r="J8" s="3236">
        <v>30.45</v>
      </c>
    </row>
    <row r="9" spans="1:12" ht="11.25" customHeight="1">
      <c r="A9" s="3363">
        <v>3</v>
      </c>
      <c r="B9" s="3237" t="s">
        <v>4458</v>
      </c>
      <c r="C9" s="3237" t="s">
        <v>3246</v>
      </c>
      <c r="D9" s="3237" t="s">
        <v>4459</v>
      </c>
      <c r="E9" s="3237" t="s">
        <v>4460</v>
      </c>
      <c r="F9" s="3237" t="s">
        <v>4461</v>
      </c>
      <c r="G9" s="3237" t="s">
        <v>3660</v>
      </c>
      <c r="H9" s="3237" t="s">
        <v>3219</v>
      </c>
      <c r="I9" s="3236" t="s">
        <v>4462</v>
      </c>
      <c r="J9" s="3236">
        <v>30.45</v>
      </c>
    </row>
    <row r="10" spans="1:12" ht="11.25" customHeight="1">
      <c r="A10" s="3363">
        <v>4</v>
      </c>
      <c r="B10" s="3237" t="s">
        <v>4458</v>
      </c>
      <c r="C10" s="3237" t="s">
        <v>3247</v>
      </c>
      <c r="D10" s="3237" t="s">
        <v>4459</v>
      </c>
      <c r="E10" s="3237" t="s">
        <v>4460</v>
      </c>
      <c r="F10" s="3237" t="s">
        <v>4461</v>
      </c>
      <c r="G10" s="3237" t="s">
        <v>3660</v>
      </c>
      <c r="H10" s="3237" t="s">
        <v>3219</v>
      </c>
      <c r="I10" s="3236" t="s">
        <v>4462</v>
      </c>
      <c r="J10" s="3236">
        <v>30.45</v>
      </c>
    </row>
    <row r="11" spans="1:12" ht="11.25" customHeight="1">
      <c r="A11" s="3363">
        <v>5</v>
      </c>
      <c r="B11" s="3237" t="s">
        <v>4458</v>
      </c>
      <c r="C11" s="3237" t="s">
        <v>3248</v>
      </c>
      <c r="D11" s="3237" t="s">
        <v>4459</v>
      </c>
      <c r="E11" s="3237" t="s">
        <v>4460</v>
      </c>
      <c r="F11" s="3237" t="s">
        <v>4461</v>
      </c>
      <c r="G11" s="3237" t="s">
        <v>3660</v>
      </c>
      <c r="H11" s="3237" t="s">
        <v>3219</v>
      </c>
      <c r="I11" s="3236" t="s">
        <v>4462</v>
      </c>
      <c r="J11" s="3236">
        <v>30.45</v>
      </c>
    </row>
    <row r="12" spans="1:12" ht="11.25" customHeight="1">
      <c r="A12" s="3363">
        <v>6</v>
      </c>
      <c r="B12" s="3237" t="s">
        <v>4458</v>
      </c>
      <c r="C12" s="3237" t="s">
        <v>3249</v>
      </c>
      <c r="D12" s="3237" t="s">
        <v>4459</v>
      </c>
      <c r="E12" s="3237" t="s">
        <v>4460</v>
      </c>
      <c r="F12" s="3237" t="s">
        <v>4461</v>
      </c>
      <c r="G12" s="3237" t="s">
        <v>3660</v>
      </c>
      <c r="H12" s="3237" t="s">
        <v>3219</v>
      </c>
      <c r="I12" s="3236" t="s">
        <v>4462</v>
      </c>
      <c r="J12" s="3236">
        <v>30.45</v>
      </c>
    </row>
    <row r="13" spans="1:12" ht="11.25" customHeight="1">
      <c r="A13" s="3363">
        <v>7</v>
      </c>
      <c r="B13" s="3237" t="s">
        <v>4458</v>
      </c>
      <c r="C13" s="3237" t="s">
        <v>3250</v>
      </c>
      <c r="D13" s="3237" t="s">
        <v>4459</v>
      </c>
      <c r="E13" s="3237" t="s">
        <v>4460</v>
      </c>
      <c r="F13" s="3237" t="s">
        <v>4461</v>
      </c>
      <c r="G13" s="3237" t="s">
        <v>3660</v>
      </c>
      <c r="H13" s="3237" t="s">
        <v>3219</v>
      </c>
      <c r="I13" s="3236" t="s">
        <v>4462</v>
      </c>
      <c r="J13" s="3236">
        <v>30.45</v>
      </c>
    </row>
    <row r="14" spans="1:12" ht="11.25" customHeight="1">
      <c r="A14" s="3363">
        <v>8</v>
      </c>
      <c r="B14" s="3237" t="s">
        <v>4458</v>
      </c>
      <c r="C14" s="3237" t="s">
        <v>3251</v>
      </c>
      <c r="D14" s="3237" t="s">
        <v>4459</v>
      </c>
      <c r="E14" s="3237" t="s">
        <v>4460</v>
      </c>
      <c r="F14" s="3237" t="s">
        <v>4461</v>
      </c>
      <c r="G14" s="3237" t="s">
        <v>3660</v>
      </c>
      <c r="H14" s="3237" t="s">
        <v>3219</v>
      </c>
      <c r="I14" s="3236" t="s">
        <v>4462</v>
      </c>
      <c r="J14" s="3236">
        <v>30.45</v>
      </c>
    </row>
    <row r="15" spans="1:12" ht="11.25" customHeight="1">
      <c r="A15" s="3363">
        <v>9</v>
      </c>
      <c r="B15" s="3237" t="s">
        <v>4458</v>
      </c>
      <c r="C15" s="3237" t="s">
        <v>3252</v>
      </c>
      <c r="D15" s="3237" t="s">
        <v>4459</v>
      </c>
      <c r="E15" s="3237" t="s">
        <v>4460</v>
      </c>
      <c r="F15" s="3237" t="s">
        <v>4461</v>
      </c>
      <c r="G15" s="3237" t="s">
        <v>3660</v>
      </c>
      <c r="H15" s="3237" t="s">
        <v>3219</v>
      </c>
      <c r="I15" s="3236" t="s">
        <v>4462</v>
      </c>
      <c r="J15" s="3236">
        <v>30.45</v>
      </c>
    </row>
    <row r="16" spans="1:12" ht="11.25" customHeight="1">
      <c r="A16" s="3363">
        <v>10</v>
      </c>
      <c r="B16" s="3237" t="s">
        <v>4458</v>
      </c>
      <c r="C16" s="3237" t="s">
        <v>3253</v>
      </c>
      <c r="D16" s="3237" t="s">
        <v>4459</v>
      </c>
      <c r="E16" s="3237" t="s">
        <v>4460</v>
      </c>
      <c r="F16" s="3237" t="s">
        <v>4461</v>
      </c>
      <c r="G16" s="3237" t="s">
        <v>3660</v>
      </c>
      <c r="H16" s="3237" t="s">
        <v>3219</v>
      </c>
      <c r="I16" s="3236" t="s">
        <v>4462</v>
      </c>
      <c r="J16" s="3236">
        <v>30.45</v>
      </c>
    </row>
    <row r="17" spans="1:10" ht="11.25" customHeight="1">
      <c r="A17" s="3363">
        <v>11</v>
      </c>
      <c r="B17" s="3237" t="s">
        <v>4458</v>
      </c>
      <c r="C17" s="3237" t="s">
        <v>3254</v>
      </c>
      <c r="D17" s="3237" t="s">
        <v>4459</v>
      </c>
      <c r="E17" s="3237" t="s">
        <v>4460</v>
      </c>
      <c r="F17" s="3237" t="s">
        <v>4461</v>
      </c>
      <c r="G17" s="3237" t="s">
        <v>3660</v>
      </c>
      <c r="H17" s="3237" t="s">
        <v>3219</v>
      </c>
      <c r="I17" s="3236" t="s">
        <v>4462</v>
      </c>
      <c r="J17" s="3236">
        <v>30.45</v>
      </c>
    </row>
    <row r="18" spans="1:10" ht="11.25" customHeight="1">
      <c r="A18" s="3363">
        <v>12</v>
      </c>
      <c r="B18" s="3237" t="s">
        <v>4458</v>
      </c>
      <c r="C18" s="3237" t="s">
        <v>3255</v>
      </c>
      <c r="D18" s="3237" t="s">
        <v>4459</v>
      </c>
      <c r="E18" s="3237" t="s">
        <v>4460</v>
      </c>
      <c r="F18" s="3237" t="s">
        <v>4461</v>
      </c>
      <c r="G18" s="3237" t="s">
        <v>3660</v>
      </c>
      <c r="H18" s="3237" t="s">
        <v>3219</v>
      </c>
      <c r="I18" s="3236" t="s">
        <v>4462</v>
      </c>
      <c r="J18" s="3236">
        <v>30.45</v>
      </c>
    </row>
    <row r="19" spans="1:10" ht="11.25" customHeight="1">
      <c r="A19" s="3363">
        <v>13</v>
      </c>
      <c r="B19" s="3237" t="s">
        <v>4458</v>
      </c>
      <c r="C19" s="3237" t="s">
        <v>3256</v>
      </c>
      <c r="D19" s="3237" t="s">
        <v>4459</v>
      </c>
      <c r="E19" s="3237" t="s">
        <v>4460</v>
      </c>
      <c r="F19" s="3237" t="s">
        <v>4461</v>
      </c>
      <c r="G19" s="3237" t="s">
        <v>3660</v>
      </c>
      <c r="H19" s="3237" t="s">
        <v>3219</v>
      </c>
      <c r="I19" s="3236" t="s">
        <v>4462</v>
      </c>
      <c r="J19" s="3236">
        <v>30.45</v>
      </c>
    </row>
    <row r="20" spans="1:10" ht="11.25" customHeight="1">
      <c r="A20" s="3363">
        <v>14</v>
      </c>
      <c r="B20" s="3237" t="s">
        <v>4458</v>
      </c>
      <c r="C20" s="3237" t="s">
        <v>3257</v>
      </c>
      <c r="D20" s="3237" t="s">
        <v>4459</v>
      </c>
      <c r="E20" s="3237" t="s">
        <v>4460</v>
      </c>
      <c r="F20" s="3237" t="s">
        <v>4461</v>
      </c>
      <c r="G20" s="3237" t="s">
        <v>3660</v>
      </c>
      <c r="H20" s="3237" t="s">
        <v>3219</v>
      </c>
      <c r="I20" s="3236" t="s">
        <v>4462</v>
      </c>
      <c r="J20" s="3236">
        <v>30.45</v>
      </c>
    </row>
    <row r="21" spans="1:10" ht="11.25" customHeight="1">
      <c r="A21" s="3363">
        <v>15</v>
      </c>
      <c r="B21" s="3237" t="s">
        <v>4458</v>
      </c>
      <c r="C21" s="3237" t="s">
        <v>3258</v>
      </c>
      <c r="D21" s="3237" t="s">
        <v>4459</v>
      </c>
      <c r="E21" s="3237" t="s">
        <v>4460</v>
      </c>
      <c r="F21" s="3237" t="s">
        <v>4461</v>
      </c>
      <c r="G21" s="3237" t="s">
        <v>3660</v>
      </c>
      <c r="H21" s="3237" t="s">
        <v>3219</v>
      </c>
      <c r="I21" s="3236" t="s">
        <v>4462</v>
      </c>
      <c r="J21" s="3236">
        <v>30.45</v>
      </c>
    </row>
    <row r="22" spans="1:10" ht="11.25" customHeight="1">
      <c r="A22" s="3363">
        <v>16</v>
      </c>
      <c r="B22" s="3237" t="s">
        <v>4458</v>
      </c>
      <c r="C22" s="3237" t="s">
        <v>3259</v>
      </c>
      <c r="D22" s="3237" t="s">
        <v>4459</v>
      </c>
      <c r="E22" s="3237" t="s">
        <v>4460</v>
      </c>
      <c r="F22" s="3237" t="s">
        <v>4461</v>
      </c>
      <c r="G22" s="3237" t="s">
        <v>3660</v>
      </c>
      <c r="H22" s="3237" t="s">
        <v>3219</v>
      </c>
      <c r="I22" s="3236" t="s">
        <v>4462</v>
      </c>
      <c r="J22" s="3236">
        <v>30.45</v>
      </c>
    </row>
    <row r="23" spans="1:10" ht="11.25" customHeight="1">
      <c r="A23" s="3363">
        <v>17</v>
      </c>
      <c r="B23" s="3237" t="s">
        <v>4458</v>
      </c>
      <c r="C23" s="3237" t="s">
        <v>3260</v>
      </c>
      <c r="D23" s="3237" t="s">
        <v>4459</v>
      </c>
      <c r="E23" s="3237" t="s">
        <v>4460</v>
      </c>
      <c r="F23" s="3237" t="s">
        <v>4461</v>
      </c>
      <c r="G23" s="3237" t="s">
        <v>3660</v>
      </c>
      <c r="H23" s="3237" t="s">
        <v>3219</v>
      </c>
      <c r="I23" s="3236" t="s">
        <v>4462</v>
      </c>
      <c r="J23" s="3236">
        <v>30.45</v>
      </c>
    </row>
    <row r="24" spans="1:10" ht="11.25" customHeight="1">
      <c r="A24" s="3363">
        <v>18</v>
      </c>
      <c r="B24" s="3237" t="s">
        <v>4458</v>
      </c>
      <c r="C24" s="3237" t="s">
        <v>3261</v>
      </c>
      <c r="D24" s="3237" t="s">
        <v>4459</v>
      </c>
      <c r="E24" s="3237" t="s">
        <v>4460</v>
      </c>
      <c r="F24" s="3237" t="s">
        <v>4461</v>
      </c>
      <c r="G24" s="3237" t="s">
        <v>3660</v>
      </c>
      <c r="H24" s="3237" t="s">
        <v>3219</v>
      </c>
      <c r="I24" s="3236" t="s">
        <v>4462</v>
      </c>
      <c r="J24" s="3236">
        <v>30.45</v>
      </c>
    </row>
    <row r="25" spans="1:10" ht="11.25" customHeight="1">
      <c r="A25" s="3363">
        <v>19</v>
      </c>
      <c r="B25" s="3237" t="s">
        <v>4458</v>
      </c>
      <c r="C25" s="3237" t="s">
        <v>3262</v>
      </c>
      <c r="D25" s="3237" t="s">
        <v>4459</v>
      </c>
      <c r="E25" s="3237" t="s">
        <v>4460</v>
      </c>
      <c r="F25" s="3237" t="s">
        <v>4461</v>
      </c>
      <c r="G25" s="3237" t="s">
        <v>3660</v>
      </c>
      <c r="H25" s="3237" t="s">
        <v>3219</v>
      </c>
      <c r="I25" s="3236" t="s">
        <v>4462</v>
      </c>
      <c r="J25" s="3236">
        <v>35.53</v>
      </c>
    </row>
    <row r="26" spans="1:10" ht="11.25" customHeight="1">
      <c r="A26" s="3363">
        <v>20</v>
      </c>
      <c r="B26" s="3237" t="s">
        <v>4458</v>
      </c>
      <c r="C26" s="3237" t="s">
        <v>3263</v>
      </c>
      <c r="D26" s="3237" t="s">
        <v>4459</v>
      </c>
      <c r="E26" s="3237" t="s">
        <v>4460</v>
      </c>
      <c r="F26" s="3237" t="s">
        <v>4461</v>
      </c>
      <c r="G26" s="3237" t="s">
        <v>3660</v>
      </c>
      <c r="H26" s="3237" t="s">
        <v>3219</v>
      </c>
      <c r="I26" s="3236" t="s">
        <v>4462</v>
      </c>
      <c r="J26" s="3236">
        <v>30.45</v>
      </c>
    </row>
    <row r="27" spans="1:10" ht="11.25" customHeight="1">
      <c r="A27" s="3363">
        <v>21</v>
      </c>
      <c r="B27" s="3237" t="s">
        <v>4458</v>
      </c>
      <c r="C27" s="3237" t="s">
        <v>3264</v>
      </c>
      <c r="D27" s="3237" t="s">
        <v>4459</v>
      </c>
      <c r="E27" s="3237" t="s">
        <v>4460</v>
      </c>
      <c r="F27" s="3237" t="s">
        <v>4461</v>
      </c>
      <c r="G27" s="3237" t="s">
        <v>3660</v>
      </c>
      <c r="H27" s="3237" t="s">
        <v>3219</v>
      </c>
      <c r="I27" s="3236" t="s">
        <v>4462</v>
      </c>
      <c r="J27" s="3236">
        <v>30.45</v>
      </c>
    </row>
    <row r="28" spans="1:10" ht="11.25" customHeight="1">
      <c r="A28" s="3363">
        <v>22</v>
      </c>
      <c r="B28" s="3237" t="s">
        <v>4458</v>
      </c>
      <c r="C28" s="3237" t="s">
        <v>3265</v>
      </c>
      <c r="D28" s="3237" t="s">
        <v>4459</v>
      </c>
      <c r="E28" s="3237" t="s">
        <v>4460</v>
      </c>
      <c r="F28" s="3237" t="s">
        <v>4461</v>
      </c>
      <c r="G28" s="3237" t="s">
        <v>3660</v>
      </c>
      <c r="H28" s="3237" t="s">
        <v>3219</v>
      </c>
      <c r="I28" s="3236" t="s">
        <v>4462</v>
      </c>
      <c r="J28" s="3236">
        <v>30.45</v>
      </c>
    </row>
    <row r="29" spans="1:10" ht="11.25" customHeight="1">
      <c r="A29" s="3363">
        <v>23</v>
      </c>
      <c r="B29" s="3237" t="s">
        <v>4458</v>
      </c>
      <c r="C29" s="3237" t="s">
        <v>3266</v>
      </c>
      <c r="D29" s="3237" t="s">
        <v>4459</v>
      </c>
      <c r="E29" s="3237" t="s">
        <v>4460</v>
      </c>
      <c r="F29" s="3237" t="s">
        <v>4461</v>
      </c>
      <c r="G29" s="3237" t="s">
        <v>3660</v>
      </c>
      <c r="H29" s="3237" t="s">
        <v>3219</v>
      </c>
      <c r="I29" s="3236" t="s">
        <v>4462</v>
      </c>
      <c r="J29" s="3236">
        <v>30.45</v>
      </c>
    </row>
    <row r="30" spans="1:10" ht="11.25" customHeight="1">
      <c r="A30" s="3363">
        <v>24</v>
      </c>
      <c r="B30" s="3237" t="s">
        <v>4458</v>
      </c>
      <c r="C30" s="3237" t="s">
        <v>3267</v>
      </c>
      <c r="D30" s="3237" t="s">
        <v>4459</v>
      </c>
      <c r="E30" s="3237" t="s">
        <v>4460</v>
      </c>
      <c r="F30" s="3237" t="s">
        <v>4461</v>
      </c>
      <c r="G30" s="3237" t="s">
        <v>3660</v>
      </c>
      <c r="H30" s="3237" t="s">
        <v>3219</v>
      </c>
      <c r="I30" s="3236" t="s">
        <v>4462</v>
      </c>
      <c r="J30" s="3236">
        <v>30.45</v>
      </c>
    </row>
    <row r="31" spans="1:10" ht="11.25" customHeight="1">
      <c r="A31" s="3363">
        <v>25</v>
      </c>
      <c r="B31" s="3237" t="s">
        <v>4458</v>
      </c>
      <c r="C31" s="3237" t="s">
        <v>3268</v>
      </c>
      <c r="D31" s="3237" t="s">
        <v>4459</v>
      </c>
      <c r="E31" s="3237" t="s">
        <v>4460</v>
      </c>
      <c r="F31" s="3237" t="s">
        <v>4461</v>
      </c>
      <c r="G31" s="3237" t="s">
        <v>3660</v>
      </c>
      <c r="H31" s="3237" t="s">
        <v>3219</v>
      </c>
      <c r="I31" s="3236" t="s">
        <v>4462</v>
      </c>
      <c r="J31" s="3236">
        <v>30.45</v>
      </c>
    </row>
    <row r="32" spans="1:10" ht="11.25" customHeight="1">
      <c r="A32" s="3363">
        <v>26</v>
      </c>
      <c r="B32" s="3237" t="s">
        <v>4458</v>
      </c>
      <c r="C32" s="3237" t="s">
        <v>3269</v>
      </c>
      <c r="D32" s="3237" t="s">
        <v>4459</v>
      </c>
      <c r="E32" s="3237" t="s">
        <v>4460</v>
      </c>
      <c r="F32" s="3237" t="s">
        <v>4461</v>
      </c>
      <c r="G32" s="3237" t="s">
        <v>3660</v>
      </c>
      <c r="H32" s="3237" t="s">
        <v>3219</v>
      </c>
      <c r="I32" s="3236" t="s">
        <v>4462</v>
      </c>
      <c r="J32" s="3236">
        <v>30.45</v>
      </c>
    </row>
    <row r="33" spans="1:10" ht="11.25" customHeight="1">
      <c r="A33" s="3363">
        <v>27</v>
      </c>
      <c r="B33" s="3237" t="s">
        <v>4458</v>
      </c>
      <c r="C33" s="3237" t="s">
        <v>3270</v>
      </c>
      <c r="D33" s="3237" t="s">
        <v>4459</v>
      </c>
      <c r="E33" s="3237" t="s">
        <v>4460</v>
      </c>
      <c r="F33" s="3237" t="s">
        <v>4461</v>
      </c>
      <c r="G33" s="3237" t="s">
        <v>3660</v>
      </c>
      <c r="H33" s="3237" t="s">
        <v>3219</v>
      </c>
      <c r="I33" s="3236" t="s">
        <v>4462</v>
      </c>
      <c r="J33" s="3236">
        <v>30.45</v>
      </c>
    </row>
    <row r="34" spans="1:10" ht="11.25" customHeight="1">
      <c r="A34" s="3363">
        <v>28</v>
      </c>
      <c r="B34" s="3237" t="s">
        <v>4458</v>
      </c>
      <c r="C34" s="3237" t="s">
        <v>3271</v>
      </c>
      <c r="D34" s="3237" t="s">
        <v>4459</v>
      </c>
      <c r="E34" s="3237" t="s">
        <v>4460</v>
      </c>
      <c r="F34" s="3237" t="s">
        <v>4461</v>
      </c>
      <c r="G34" s="3237" t="s">
        <v>3660</v>
      </c>
      <c r="H34" s="3237" t="s">
        <v>3219</v>
      </c>
      <c r="I34" s="3236" t="s">
        <v>4462</v>
      </c>
      <c r="J34" s="3236">
        <v>30.45</v>
      </c>
    </row>
    <row r="35" spans="1:10" ht="11.25" customHeight="1">
      <c r="A35" s="3363">
        <v>29</v>
      </c>
      <c r="B35" s="3237" t="s">
        <v>4458</v>
      </c>
      <c r="C35" s="3237" t="s">
        <v>3272</v>
      </c>
      <c r="D35" s="3237" t="s">
        <v>4459</v>
      </c>
      <c r="E35" s="3237" t="s">
        <v>4460</v>
      </c>
      <c r="F35" s="3237" t="s">
        <v>4461</v>
      </c>
      <c r="G35" s="3237" t="s">
        <v>3660</v>
      </c>
      <c r="H35" s="3237" t="s">
        <v>3219</v>
      </c>
      <c r="I35" s="3236" t="s">
        <v>4462</v>
      </c>
      <c r="J35" s="3236">
        <v>30.45</v>
      </c>
    </row>
    <row r="36" spans="1:10" ht="11.25" customHeight="1">
      <c r="A36" s="3363">
        <v>30</v>
      </c>
      <c r="B36" s="3237" t="s">
        <v>4458</v>
      </c>
      <c r="C36" s="3237" t="s">
        <v>3273</v>
      </c>
      <c r="D36" s="3237" t="s">
        <v>4459</v>
      </c>
      <c r="E36" s="3237" t="s">
        <v>4460</v>
      </c>
      <c r="F36" s="3237" t="s">
        <v>4461</v>
      </c>
      <c r="G36" s="3237" t="s">
        <v>3660</v>
      </c>
      <c r="H36" s="3237" t="s">
        <v>3219</v>
      </c>
      <c r="I36" s="3236" t="s">
        <v>4462</v>
      </c>
      <c r="J36" s="3236">
        <v>30.45</v>
      </c>
    </row>
    <row r="37" spans="1:10" ht="11.25" customHeight="1">
      <c r="A37" s="3363">
        <v>31</v>
      </c>
      <c r="B37" s="3237" t="s">
        <v>4458</v>
      </c>
      <c r="C37" s="3237" t="s">
        <v>3274</v>
      </c>
      <c r="D37" s="3237" t="s">
        <v>4459</v>
      </c>
      <c r="E37" s="3237" t="s">
        <v>4460</v>
      </c>
      <c r="F37" s="3237" t="s">
        <v>4461</v>
      </c>
      <c r="G37" s="3237" t="s">
        <v>3660</v>
      </c>
      <c r="H37" s="3237" t="s">
        <v>3219</v>
      </c>
      <c r="I37" s="3236" t="s">
        <v>4462</v>
      </c>
      <c r="J37" s="3236">
        <v>30.45</v>
      </c>
    </row>
    <row r="38" spans="1:10" ht="11.25" customHeight="1">
      <c r="A38" s="3363">
        <v>32</v>
      </c>
      <c r="B38" s="3237" t="s">
        <v>4458</v>
      </c>
      <c r="C38" s="3237" t="s">
        <v>3275</v>
      </c>
      <c r="D38" s="3237" t="s">
        <v>4459</v>
      </c>
      <c r="E38" s="3237" t="s">
        <v>4460</v>
      </c>
      <c r="F38" s="3237" t="s">
        <v>4461</v>
      </c>
      <c r="G38" s="3237" t="s">
        <v>3660</v>
      </c>
      <c r="H38" s="3237" t="s">
        <v>3219</v>
      </c>
      <c r="I38" s="3236" t="s">
        <v>4462</v>
      </c>
      <c r="J38" s="3236">
        <v>30.45</v>
      </c>
    </row>
    <row r="39" spans="1:10" ht="11.25" customHeight="1">
      <c r="A39" s="3363">
        <v>33</v>
      </c>
      <c r="B39" s="3237" t="s">
        <v>4458</v>
      </c>
      <c r="C39" s="3237" t="s">
        <v>3276</v>
      </c>
      <c r="D39" s="3237" t="s">
        <v>4459</v>
      </c>
      <c r="E39" s="3237" t="s">
        <v>4460</v>
      </c>
      <c r="F39" s="3237" t="s">
        <v>4461</v>
      </c>
      <c r="G39" s="3237" t="s">
        <v>3660</v>
      </c>
      <c r="H39" s="3237" t="s">
        <v>3219</v>
      </c>
      <c r="I39" s="3236" t="s">
        <v>4462</v>
      </c>
      <c r="J39" s="3236">
        <v>27.41</v>
      </c>
    </row>
    <row r="40" spans="1:10" ht="11.25" customHeight="1">
      <c r="A40" s="3363">
        <v>34</v>
      </c>
      <c r="B40" s="3237" t="s">
        <v>4458</v>
      </c>
      <c r="C40" s="3237" t="s">
        <v>3277</v>
      </c>
      <c r="D40" s="3237" t="s">
        <v>4459</v>
      </c>
      <c r="E40" s="3237" t="s">
        <v>4460</v>
      </c>
      <c r="F40" s="3237" t="s">
        <v>4461</v>
      </c>
      <c r="G40" s="3237" t="s">
        <v>3660</v>
      </c>
      <c r="H40" s="3237" t="s">
        <v>3219</v>
      </c>
      <c r="I40" s="3236" t="s">
        <v>4462</v>
      </c>
      <c r="J40" s="3236">
        <v>30.45</v>
      </c>
    </row>
    <row r="41" spans="1:10" ht="11.25" customHeight="1">
      <c r="A41" s="3363">
        <v>35</v>
      </c>
      <c r="B41" s="3237" t="s">
        <v>4458</v>
      </c>
      <c r="C41" s="3237" t="s">
        <v>3278</v>
      </c>
      <c r="D41" s="3237" t="s">
        <v>4459</v>
      </c>
      <c r="E41" s="3237" t="s">
        <v>4460</v>
      </c>
      <c r="F41" s="3237" t="s">
        <v>4461</v>
      </c>
      <c r="G41" s="3237" t="s">
        <v>3660</v>
      </c>
      <c r="H41" s="3237" t="s">
        <v>3219</v>
      </c>
      <c r="I41" s="3236" t="s">
        <v>4462</v>
      </c>
      <c r="J41" s="3236">
        <v>30.45</v>
      </c>
    </row>
    <row r="42" spans="1:10" ht="11.25" customHeight="1">
      <c r="A42" s="3363">
        <v>36</v>
      </c>
      <c r="B42" s="3237" t="s">
        <v>4458</v>
      </c>
      <c r="C42" s="3237" t="s">
        <v>3279</v>
      </c>
      <c r="D42" s="3237" t="s">
        <v>4459</v>
      </c>
      <c r="E42" s="3237" t="s">
        <v>4460</v>
      </c>
      <c r="F42" s="3237" t="s">
        <v>4461</v>
      </c>
      <c r="G42" s="3237" t="s">
        <v>3660</v>
      </c>
      <c r="H42" s="3237" t="s">
        <v>3219</v>
      </c>
      <c r="I42" s="3236" t="s">
        <v>4462</v>
      </c>
      <c r="J42" s="3236">
        <v>30.45</v>
      </c>
    </row>
    <row r="43" spans="1:10" ht="11.25" customHeight="1">
      <c r="A43" s="3363">
        <v>37</v>
      </c>
      <c r="B43" s="3237" t="s">
        <v>4458</v>
      </c>
      <c r="C43" s="3237" t="s">
        <v>3280</v>
      </c>
      <c r="D43" s="3237" t="s">
        <v>4459</v>
      </c>
      <c r="E43" s="3237" t="s">
        <v>4460</v>
      </c>
      <c r="F43" s="3237" t="s">
        <v>4461</v>
      </c>
      <c r="G43" s="3237" t="s">
        <v>3660</v>
      </c>
      <c r="H43" s="3237" t="s">
        <v>3219</v>
      </c>
      <c r="I43" s="3236" t="s">
        <v>4462</v>
      </c>
      <c r="J43" s="3236">
        <v>30.45</v>
      </c>
    </row>
    <row r="44" spans="1:10" ht="11.25" customHeight="1">
      <c r="A44" s="3363">
        <v>38</v>
      </c>
      <c r="B44" s="3237" t="s">
        <v>4458</v>
      </c>
      <c r="C44" s="3237" t="s">
        <v>3281</v>
      </c>
      <c r="D44" s="3237" t="s">
        <v>4459</v>
      </c>
      <c r="E44" s="3237" t="s">
        <v>4460</v>
      </c>
      <c r="F44" s="3237" t="s">
        <v>4461</v>
      </c>
      <c r="G44" s="3237" t="s">
        <v>3660</v>
      </c>
      <c r="H44" s="3237" t="s">
        <v>3219</v>
      </c>
      <c r="I44" s="3236" t="s">
        <v>4462</v>
      </c>
      <c r="J44" s="3236">
        <v>30.45</v>
      </c>
    </row>
    <row r="45" spans="1:10" ht="11.25" customHeight="1">
      <c r="A45" s="3363">
        <v>39</v>
      </c>
      <c r="B45" s="3237" t="s">
        <v>4458</v>
      </c>
      <c r="C45" s="3237" t="s">
        <v>3282</v>
      </c>
      <c r="D45" s="3237" t="s">
        <v>4459</v>
      </c>
      <c r="E45" s="3237" t="s">
        <v>4460</v>
      </c>
      <c r="F45" s="3237" t="s">
        <v>4461</v>
      </c>
      <c r="G45" s="3237" t="s">
        <v>3660</v>
      </c>
      <c r="H45" s="3237" t="s">
        <v>3219</v>
      </c>
      <c r="I45" s="3236" t="s">
        <v>4462</v>
      </c>
      <c r="J45" s="3236">
        <v>30.45</v>
      </c>
    </row>
    <row r="46" spans="1:10" ht="11.25" customHeight="1">
      <c r="A46" s="3363">
        <v>40</v>
      </c>
      <c r="B46" s="3237" t="s">
        <v>4458</v>
      </c>
      <c r="C46" s="3237" t="s">
        <v>3283</v>
      </c>
      <c r="D46" s="3237" t="s">
        <v>4459</v>
      </c>
      <c r="E46" s="3237" t="s">
        <v>4460</v>
      </c>
      <c r="F46" s="3237" t="s">
        <v>4461</v>
      </c>
      <c r="G46" s="3237" t="s">
        <v>3660</v>
      </c>
      <c r="H46" s="3237" t="s">
        <v>3219</v>
      </c>
      <c r="I46" s="3236" t="s">
        <v>4462</v>
      </c>
      <c r="J46" s="3236">
        <v>30.45</v>
      </c>
    </row>
    <row r="47" spans="1:10" ht="11.25" customHeight="1">
      <c r="A47" s="3363">
        <v>41</v>
      </c>
      <c r="B47" s="3237" t="s">
        <v>4458</v>
      </c>
      <c r="C47" s="3237" t="s">
        <v>3284</v>
      </c>
      <c r="D47" s="3237" t="s">
        <v>4459</v>
      </c>
      <c r="E47" s="3237" t="s">
        <v>4460</v>
      </c>
      <c r="F47" s="3237" t="s">
        <v>4461</v>
      </c>
      <c r="G47" s="3237" t="s">
        <v>3660</v>
      </c>
      <c r="H47" s="3237" t="s">
        <v>3219</v>
      </c>
      <c r="I47" s="3236" t="s">
        <v>4462</v>
      </c>
      <c r="J47" s="3236">
        <v>30.45</v>
      </c>
    </row>
    <row r="48" spans="1:10" ht="11.25" customHeight="1">
      <c r="A48" s="3363">
        <v>42</v>
      </c>
      <c r="B48" s="3237" t="s">
        <v>4458</v>
      </c>
      <c r="C48" s="3237" t="s">
        <v>3285</v>
      </c>
      <c r="D48" s="3237" t="s">
        <v>4459</v>
      </c>
      <c r="E48" s="3237" t="s">
        <v>4460</v>
      </c>
      <c r="F48" s="3237" t="s">
        <v>4461</v>
      </c>
      <c r="G48" s="3237" t="s">
        <v>3660</v>
      </c>
      <c r="H48" s="3237" t="s">
        <v>3219</v>
      </c>
      <c r="I48" s="3236" t="s">
        <v>4462</v>
      </c>
      <c r="J48" s="3236">
        <v>30.45</v>
      </c>
    </row>
    <row r="49" spans="1:10" ht="11.25" customHeight="1">
      <c r="A49" s="3363">
        <v>43</v>
      </c>
      <c r="B49" s="3237" t="s">
        <v>4458</v>
      </c>
      <c r="C49" s="3237" t="s">
        <v>3286</v>
      </c>
      <c r="D49" s="3237" t="s">
        <v>4459</v>
      </c>
      <c r="E49" s="3237" t="s">
        <v>4460</v>
      </c>
      <c r="F49" s="3237" t="s">
        <v>4461</v>
      </c>
      <c r="G49" s="3237" t="s">
        <v>3660</v>
      </c>
      <c r="H49" s="3237" t="s">
        <v>3219</v>
      </c>
      <c r="I49" s="3236" t="s">
        <v>4462</v>
      </c>
      <c r="J49" s="3236">
        <v>30.45</v>
      </c>
    </row>
    <row r="50" spans="1:10" ht="11.25" customHeight="1">
      <c r="A50" s="3363">
        <v>44</v>
      </c>
      <c r="B50" s="3237" t="s">
        <v>4458</v>
      </c>
      <c r="C50" s="3237" t="s">
        <v>3287</v>
      </c>
      <c r="D50" s="3237" t="s">
        <v>4459</v>
      </c>
      <c r="E50" s="3237" t="s">
        <v>4460</v>
      </c>
      <c r="F50" s="3237" t="s">
        <v>4461</v>
      </c>
      <c r="G50" s="3237" t="s">
        <v>3660</v>
      </c>
      <c r="H50" s="3237" t="s">
        <v>3219</v>
      </c>
      <c r="I50" s="3236" t="s">
        <v>4462</v>
      </c>
      <c r="J50" s="3236">
        <v>30.45</v>
      </c>
    </row>
    <row r="51" spans="1:10" ht="11.25" customHeight="1">
      <c r="A51" s="3363">
        <v>45</v>
      </c>
      <c r="B51" s="3237" t="s">
        <v>4458</v>
      </c>
      <c r="C51" s="3237" t="s">
        <v>3288</v>
      </c>
      <c r="D51" s="3237" t="s">
        <v>4459</v>
      </c>
      <c r="E51" s="3237" t="s">
        <v>4460</v>
      </c>
      <c r="F51" s="3237" t="s">
        <v>4461</v>
      </c>
      <c r="G51" s="3237" t="s">
        <v>3660</v>
      </c>
      <c r="H51" s="3237" t="s">
        <v>3219</v>
      </c>
      <c r="I51" s="3236" t="s">
        <v>4462</v>
      </c>
      <c r="J51" s="3236">
        <v>30.45</v>
      </c>
    </row>
    <row r="52" spans="1:10" ht="11.25" customHeight="1">
      <c r="A52" s="3363">
        <v>46</v>
      </c>
      <c r="B52" s="3237" t="s">
        <v>4458</v>
      </c>
      <c r="C52" s="3237" t="s">
        <v>3289</v>
      </c>
      <c r="D52" s="3237" t="s">
        <v>4459</v>
      </c>
      <c r="E52" s="3237" t="s">
        <v>4460</v>
      </c>
      <c r="F52" s="3237" t="s">
        <v>4461</v>
      </c>
      <c r="G52" s="3237" t="s">
        <v>3660</v>
      </c>
      <c r="H52" s="3237" t="s">
        <v>3219</v>
      </c>
      <c r="I52" s="3236" t="s">
        <v>4462</v>
      </c>
      <c r="J52" s="3236">
        <v>30.45</v>
      </c>
    </row>
    <row r="53" spans="1:10" ht="11.25" customHeight="1">
      <c r="A53" s="3363">
        <v>47</v>
      </c>
      <c r="B53" s="3237" t="s">
        <v>4458</v>
      </c>
      <c r="C53" s="3237" t="s">
        <v>3290</v>
      </c>
      <c r="D53" s="3237" t="s">
        <v>4459</v>
      </c>
      <c r="E53" s="3237" t="s">
        <v>4460</v>
      </c>
      <c r="F53" s="3237" t="s">
        <v>4461</v>
      </c>
      <c r="G53" s="3237" t="s">
        <v>3660</v>
      </c>
      <c r="H53" s="3237" t="s">
        <v>3219</v>
      </c>
      <c r="I53" s="3236" t="s">
        <v>4462</v>
      </c>
      <c r="J53" s="3236">
        <v>30.45</v>
      </c>
    </row>
    <row r="54" spans="1:10" ht="11.25" customHeight="1">
      <c r="A54" s="3363">
        <v>48</v>
      </c>
      <c r="B54" s="3237" t="s">
        <v>4458</v>
      </c>
      <c r="C54" s="3237" t="s">
        <v>3291</v>
      </c>
      <c r="D54" s="3237" t="s">
        <v>4459</v>
      </c>
      <c r="E54" s="3237" t="s">
        <v>4460</v>
      </c>
      <c r="F54" s="3237" t="s">
        <v>4461</v>
      </c>
      <c r="G54" s="3237" t="s">
        <v>3660</v>
      </c>
      <c r="H54" s="3237" t="s">
        <v>3219</v>
      </c>
      <c r="I54" s="3236" t="s">
        <v>4462</v>
      </c>
      <c r="J54" s="3236">
        <v>30.45</v>
      </c>
    </row>
    <row r="55" spans="1:10" ht="11.25" customHeight="1">
      <c r="A55" s="3363">
        <v>49</v>
      </c>
      <c r="B55" s="3237" t="s">
        <v>4458</v>
      </c>
      <c r="C55" s="3237" t="s">
        <v>3292</v>
      </c>
      <c r="D55" s="3237" t="s">
        <v>4459</v>
      </c>
      <c r="E55" s="3237" t="s">
        <v>4460</v>
      </c>
      <c r="F55" s="3237" t="s">
        <v>4461</v>
      </c>
      <c r="G55" s="3237" t="s">
        <v>3660</v>
      </c>
      <c r="H55" s="3237" t="s">
        <v>3219</v>
      </c>
      <c r="I55" s="3236" t="s">
        <v>4462</v>
      </c>
      <c r="J55" s="3236">
        <v>30.45</v>
      </c>
    </row>
    <row r="56" spans="1:10" ht="11.25" customHeight="1">
      <c r="A56" s="3363">
        <v>50</v>
      </c>
      <c r="B56" s="3237" t="s">
        <v>4458</v>
      </c>
      <c r="C56" s="3237" t="s">
        <v>3293</v>
      </c>
      <c r="D56" s="3237" t="s">
        <v>4459</v>
      </c>
      <c r="E56" s="3237" t="s">
        <v>4460</v>
      </c>
      <c r="F56" s="3237" t="s">
        <v>4461</v>
      </c>
      <c r="G56" s="3237" t="s">
        <v>3660</v>
      </c>
      <c r="H56" s="3237" t="s">
        <v>3219</v>
      </c>
      <c r="I56" s="3236" t="s">
        <v>4462</v>
      </c>
      <c r="J56" s="3236">
        <v>30.45</v>
      </c>
    </row>
    <row r="57" spans="1:10" ht="11.25" customHeight="1">
      <c r="A57" s="3363">
        <v>51</v>
      </c>
      <c r="B57" s="3237" t="s">
        <v>4458</v>
      </c>
      <c r="C57" s="3237" t="s">
        <v>3294</v>
      </c>
      <c r="D57" s="3237" t="s">
        <v>4459</v>
      </c>
      <c r="E57" s="3237" t="s">
        <v>4460</v>
      </c>
      <c r="F57" s="3237" t="s">
        <v>4461</v>
      </c>
      <c r="G57" s="3237" t="s">
        <v>3660</v>
      </c>
      <c r="H57" s="3237" t="s">
        <v>3219</v>
      </c>
      <c r="I57" s="3236" t="s">
        <v>4462</v>
      </c>
      <c r="J57" s="3236">
        <v>30.45</v>
      </c>
    </row>
    <row r="58" spans="1:10" ht="11.25" customHeight="1">
      <c r="A58" s="3363">
        <v>52</v>
      </c>
      <c r="B58" s="3237" t="s">
        <v>4458</v>
      </c>
      <c r="C58" s="3237" t="s">
        <v>3295</v>
      </c>
      <c r="D58" s="3237" t="s">
        <v>4459</v>
      </c>
      <c r="E58" s="3237" t="s">
        <v>4460</v>
      </c>
      <c r="F58" s="3237" t="s">
        <v>4461</v>
      </c>
      <c r="G58" s="3237" t="s">
        <v>3660</v>
      </c>
      <c r="H58" s="3237" t="s">
        <v>3219</v>
      </c>
      <c r="I58" s="3236" t="s">
        <v>4462</v>
      </c>
      <c r="J58" s="3236">
        <v>30.45</v>
      </c>
    </row>
    <row r="59" spans="1:10" ht="11.25" customHeight="1">
      <c r="A59" s="3363">
        <v>53</v>
      </c>
      <c r="B59" s="3237" t="s">
        <v>4458</v>
      </c>
      <c r="C59" s="3237" t="s">
        <v>3296</v>
      </c>
      <c r="D59" s="3237" t="s">
        <v>4459</v>
      </c>
      <c r="E59" s="3237" t="s">
        <v>4460</v>
      </c>
      <c r="F59" s="3237" t="s">
        <v>4461</v>
      </c>
      <c r="G59" s="3237" t="s">
        <v>3660</v>
      </c>
      <c r="H59" s="3237" t="s">
        <v>3219</v>
      </c>
      <c r="I59" s="3236" t="s">
        <v>4462</v>
      </c>
      <c r="J59" s="3236">
        <v>30.45</v>
      </c>
    </row>
    <row r="60" spans="1:10" ht="11.25" customHeight="1">
      <c r="A60" s="3363">
        <v>54</v>
      </c>
      <c r="B60" s="3237" t="s">
        <v>4458</v>
      </c>
      <c r="C60" s="3237" t="s">
        <v>3297</v>
      </c>
      <c r="D60" s="3237" t="s">
        <v>4459</v>
      </c>
      <c r="E60" s="3237" t="s">
        <v>4460</v>
      </c>
      <c r="F60" s="3237" t="s">
        <v>4461</v>
      </c>
      <c r="G60" s="3237" t="s">
        <v>3660</v>
      </c>
      <c r="H60" s="3237" t="s">
        <v>3219</v>
      </c>
      <c r="I60" s="3236" t="s">
        <v>4462</v>
      </c>
      <c r="J60" s="3236">
        <v>30.45</v>
      </c>
    </row>
    <row r="61" spans="1:10" ht="11.25" customHeight="1">
      <c r="A61" s="3363">
        <v>55</v>
      </c>
      <c r="B61" s="3237" t="s">
        <v>4458</v>
      </c>
      <c r="C61" s="3237" t="s">
        <v>3298</v>
      </c>
      <c r="D61" s="3237" t="s">
        <v>4459</v>
      </c>
      <c r="E61" s="3237" t="s">
        <v>4460</v>
      </c>
      <c r="F61" s="3237" t="s">
        <v>4461</v>
      </c>
      <c r="G61" s="3237" t="s">
        <v>3660</v>
      </c>
      <c r="H61" s="3237" t="s">
        <v>3219</v>
      </c>
      <c r="I61" s="3236" t="s">
        <v>4462</v>
      </c>
      <c r="J61" s="3236">
        <v>30.45</v>
      </c>
    </row>
    <row r="62" spans="1:10" ht="11.25" customHeight="1">
      <c r="A62" s="3363">
        <v>56</v>
      </c>
      <c r="B62" s="3237" t="s">
        <v>4458</v>
      </c>
      <c r="C62" s="3237" t="s">
        <v>3299</v>
      </c>
      <c r="D62" s="3237" t="s">
        <v>4459</v>
      </c>
      <c r="E62" s="3237" t="s">
        <v>4460</v>
      </c>
      <c r="F62" s="3237" t="s">
        <v>4461</v>
      </c>
      <c r="G62" s="3237" t="s">
        <v>3660</v>
      </c>
      <c r="H62" s="3237" t="s">
        <v>3219</v>
      </c>
      <c r="I62" s="3236" t="s">
        <v>4462</v>
      </c>
      <c r="J62" s="3236">
        <v>30.45</v>
      </c>
    </row>
    <row r="63" spans="1:10" ht="11.25" customHeight="1">
      <c r="A63" s="3363">
        <v>57</v>
      </c>
      <c r="B63" s="3237" t="s">
        <v>4458</v>
      </c>
      <c r="C63" s="3237" t="s">
        <v>3300</v>
      </c>
      <c r="D63" s="3237" t="s">
        <v>4459</v>
      </c>
      <c r="E63" s="3237" t="s">
        <v>4460</v>
      </c>
      <c r="F63" s="3237" t="s">
        <v>4461</v>
      </c>
      <c r="G63" s="3237" t="s">
        <v>3660</v>
      </c>
      <c r="H63" s="3237" t="s">
        <v>3219</v>
      </c>
      <c r="I63" s="3236" t="s">
        <v>4462</v>
      </c>
      <c r="J63" s="3236">
        <v>30.45</v>
      </c>
    </row>
    <row r="64" spans="1:10" ht="11.25" customHeight="1">
      <c r="A64" s="3363">
        <v>58</v>
      </c>
      <c r="B64" s="3237" t="s">
        <v>4458</v>
      </c>
      <c r="C64" s="3237" t="s">
        <v>3301</v>
      </c>
      <c r="D64" s="3237" t="s">
        <v>4459</v>
      </c>
      <c r="E64" s="3237" t="s">
        <v>4460</v>
      </c>
      <c r="F64" s="3237" t="s">
        <v>4461</v>
      </c>
      <c r="G64" s="3237" t="s">
        <v>3660</v>
      </c>
      <c r="H64" s="3237" t="s">
        <v>3219</v>
      </c>
      <c r="I64" s="3236" t="s">
        <v>4462</v>
      </c>
      <c r="J64" s="3236">
        <v>30.45</v>
      </c>
    </row>
    <row r="65" spans="1:10" ht="11.25" customHeight="1">
      <c r="A65" s="3363">
        <v>59</v>
      </c>
      <c r="B65" s="3237" t="s">
        <v>4458</v>
      </c>
      <c r="C65" s="3237" t="s">
        <v>3302</v>
      </c>
      <c r="D65" s="3237" t="s">
        <v>4459</v>
      </c>
      <c r="E65" s="3237" t="s">
        <v>4460</v>
      </c>
      <c r="F65" s="3237" t="s">
        <v>4461</v>
      </c>
      <c r="G65" s="3237" t="s">
        <v>3660</v>
      </c>
      <c r="H65" s="3237" t="s">
        <v>3219</v>
      </c>
      <c r="I65" s="3236" t="s">
        <v>4462</v>
      </c>
      <c r="J65" s="3236">
        <v>30.45</v>
      </c>
    </row>
    <row r="66" spans="1:10" ht="11.25" customHeight="1">
      <c r="A66" s="3363">
        <v>60</v>
      </c>
      <c r="B66" s="3237" t="s">
        <v>4458</v>
      </c>
      <c r="C66" s="3237" t="s">
        <v>3303</v>
      </c>
      <c r="D66" s="3237" t="s">
        <v>4459</v>
      </c>
      <c r="E66" s="3237" t="s">
        <v>4460</v>
      </c>
      <c r="F66" s="3237" t="s">
        <v>4461</v>
      </c>
      <c r="G66" s="3237" t="s">
        <v>3660</v>
      </c>
      <c r="H66" s="3237" t="s">
        <v>3219</v>
      </c>
      <c r="I66" s="3236" t="s">
        <v>4462</v>
      </c>
      <c r="J66" s="3236">
        <v>30.45</v>
      </c>
    </row>
    <row r="67" spans="1:10" ht="11.25" customHeight="1">
      <c r="A67" s="3363">
        <v>61</v>
      </c>
      <c r="B67" s="3237" t="s">
        <v>4458</v>
      </c>
      <c r="C67" s="3237" t="s">
        <v>3304</v>
      </c>
      <c r="D67" s="3237" t="s">
        <v>4459</v>
      </c>
      <c r="E67" s="3237" t="s">
        <v>4460</v>
      </c>
      <c r="F67" s="3237" t="s">
        <v>4461</v>
      </c>
      <c r="G67" s="3237" t="s">
        <v>3660</v>
      </c>
      <c r="H67" s="3237" t="s">
        <v>3219</v>
      </c>
      <c r="I67" s="3236" t="s">
        <v>4462</v>
      </c>
      <c r="J67" s="3236">
        <v>30.45</v>
      </c>
    </row>
    <row r="68" spans="1:10" ht="11.25" customHeight="1">
      <c r="A68" s="3363">
        <v>62</v>
      </c>
      <c r="B68" s="3237" t="s">
        <v>4458</v>
      </c>
      <c r="C68" s="3237" t="s">
        <v>3305</v>
      </c>
      <c r="D68" s="3237" t="s">
        <v>4459</v>
      </c>
      <c r="E68" s="3237" t="s">
        <v>4460</v>
      </c>
      <c r="F68" s="3237" t="s">
        <v>4461</v>
      </c>
      <c r="G68" s="3237" t="s">
        <v>3660</v>
      </c>
      <c r="H68" s="3237" t="s">
        <v>3219</v>
      </c>
      <c r="I68" s="3236" t="s">
        <v>4462</v>
      </c>
      <c r="J68" s="3236">
        <v>30.45</v>
      </c>
    </row>
    <row r="69" spans="1:10" ht="11.25" customHeight="1">
      <c r="A69" s="3363">
        <v>63</v>
      </c>
      <c r="B69" s="3237" t="s">
        <v>4458</v>
      </c>
      <c r="C69" s="3237" t="s">
        <v>3306</v>
      </c>
      <c r="D69" s="3237" t="s">
        <v>4459</v>
      </c>
      <c r="E69" s="3237" t="s">
        <v>4460</v>
      </c>
      <c r="F69" s="3237" t="s">
        <v>4461</v>
      </c>
      <c r="G69" s="3237" t="s">
        <v>3660</v>
      </c>
      <c r="H69" s="3237" t="s">
        <v>3219</v>
      </c>
      <c r="I69" s="3236" t="s">
        <v>4462</v>
      </c>
      <c r="J69" s="3236">
        <v>30.45</v>
      </c>
    </row>
    <row r="70" spans="1:10" ht="11.25" customHeight="1">
      <c r="A70" s="3363">
        <v>64</v>
      </c>
      <c r="B70" s="3237" t="s">
        <v>4458</v>
      </c>
      <c r="C70" s="3237" t="s">
        <v>3307</v>
      </c>
      <c r="D70" s="3237" t="s">
        <v>4459</v>
      </c>
      <c r="E70" s="3237" t="s">
        <v>4460</v>
      </c>
      <c r="F70" s="3237" t="s">
        <v>4461</v>
      </c>
      <c r="G70" s="3237" t="s">
        <v>3660</v>
      </c>
      <c r="H70" s="3237" t="s">
        <v>3219</v>
      </c>
      <c r="I70" s="3236" t="s">
        <v>4462</v>
      </c>
      <c r="J70" s="3236">
        <v>30.45</v>
      </c>
    </row>
    <row r="71" spans="1:10" ht="11.25" customHeight="1">
      <c r="A71" s="3363">
        <v>65</v>
      </c>
      <c r="B71" s="3237" t="s">
        <v>4458</v>
      </c>
      <c r="C71" s="3237" t="s">
        <v>3308</v>
      </c>
      <c r="D71" s="3237" t="s">
        <v>4459</v>
      </c>
      <c r="E71" s="3237" t="s">
        <v>4460</v>
      </c>
      <c r="F71" s="3237" t="s">
        <v>4461</v>
      </c>
      <c r="G71" s="3237" t="s">
        <v>3660</v>
      </c>
      <c r="H71" s="3237" t="s">
        <v>3219</v>
      </c>
      <c r="I71" s="3236" t="s">
        <v>4462</v>
      </c>
      <c r="J71" s="3236">
        <v>30.45</v>
      </c>
    </row>
    <row r="72" spans="1:10" ht="11.25" customHeight="1">
      <c r="A72" s="3363">
        <v>66</v>
      </c>
      <c r="B72" s="3237" t="s">
        <v>4458</v>
      </c>
      <c r="C72" s="3237" t="s">
        <v>3309</v>
      </c>
      <c r="D72" s="3237" t="s">
        <v>4459</v>
      </c>
      <c r="E72" s="3237" t="s">
        <v>4460</v>
      </c>
      <c r="F72" s="3237" t="s">
        <v>4461</v>
      </c>
      <c r="G72" s="3237" t="s">
        <v>3660</v>
      </c>
      <c r="H72" s="3237" t="s">
        <v>3219</v>
      </c>
      <c r="I72" s="3236" t="s">
        <v>4462</v>
      </c>
      <c r="J72" s="3236">
        <v>30.45</v>
      </c>
    </row>
    <row r="73" spans="1:10" ht="11.25" customHeight="1">
      <c r="A73" s="3363">
        <v>67</v>
      </c>
      <c r="B73" s="3237" t="s">
        <v>4458</v>
      </c>
      <c r="C73" s="3237" t="s">
        <v>3310</v>
      </c>
      <c r="D73" s="3237" t="s">
        <v>4459</v>
      </c>
      <c r="E73" s="3237" t="s">
        <v>4460</v>
      </c>
      <c r="F73" s="3237" t="s">
        <v>4461</v>
      </c>
      <c r="G73" s="3237" t="s">
        <v>3660</v>
      </c>
      <c r="H73" s="3237" t="s">
        <v>3219</v>
      </c>
      <c r="I73" s="3236" t="s">
        <v>4462</v>
      </c>
      <c r="J73" s="3236">
        <v>30.45</v>
      </c>
    </row>
    <row r="74" spans="1:10" ht="11.25" customHeight="1">
      <c r="A74" s="3363">
        <v>68</v>
      </c>
      <c r="B74" s="3237" t="s">
        <v>4458</v>
      </c>
      <c r="C74" s="3237" t="s">
        <v>3311</v>
      </c>
      <c r="D74" s="3237" t="s">
        <v>4459</v>
      </c>
      <c r="E74" s="3237" t="s">
        <v>4460</v>
      </c>
      <c r="F74" s="3237" t="s">
        <v>4461</v>
      </c>
      <c r="G74" s="3237" t="s">
        <v>3660</v>
      </c>
      <c r="H74" s="3237" t="s">
        <v>3219</v>
      </c>
      <c r="I74" s="3236" t="s">
        <v>4462</v>
      </c>
      <c r="J74" s="3236">
        <v>30.45</v>
      </c>
    </row>
    <row r="75" spans="1:10" ht="11.25" customHeight="1">
      <c r="A75" s="3363">
        <v>69</v>
      </c>
      <c r="B75" s="3237" t="s">
        <v>4458</v>
      </c>
      <c r="C75" s="3237" t="s">
        <v>3312</v>
      </c>
      <c r="D75" s="3237" t="s">
        <v>4459</v>
      </c>
      <c r="E75" s="3237" t="s">
        <v>4460</v>
      </c>
      <c r="F75" s="3237" t="s">
        <v>4461</v>
      </c>
      <c r="G75" s="3237" t="s">
        <v>3660</v>
      </c>
      <c r="H75" s="3237" t="s">
        <v>3219</v>
      </c>
      <c r="I75" s="3236" t="s">
        <v>4462</v>
      </c>
      <c r="J75" s="3236">
        <v>30.45</v>
      </c>
    </row>
    <row r="76" spans="1:10" ht="11.25" customHeight="1">
      <c r="A76" s="3363">
        <v>70</v>
      </c>
      <c r="B76" s="3237" t="s">
        <v>4458</v>
      </c>
      <c r="C76" s="3237" t="s">
        <v>3313</v>
      </c>
      <c r="D76" s="3237" t="s">
        <v>4459</v>
      </c>
      <c r="E76" s="3237" t="s">
        <v>4460</v>
      </c>
      <c r="F76" s="3237" t="s">
        <v>4461</v>
      </c>
      <c r="G76" s="3237" t="s">
        <v>3660</v>
      </c>
      <c r="H76" s="3237" t="s">
        <v>3219</v>
      </c>
      <c r="I76" s="3236" t="s">
        <v>4462</v>
      </c>
      <c r="J76" s="3236">
        <v>30.45</v>
      </c>
    </row>
    <row r="77" spans="1:10" ht="11.25" customHeight="1">
      <c r="A77" s="3363">
        <v>71</v>
      </c>
      <c r="B77" s="3237" t="s">
        <v>4458</v>
      </c>
      <c r="C77" s="3237" t="s">
        <v>3314</v>
      </c>
      <c r="D77" s="3237" t="s">
        <v>4459</v>
      </c>
      <c r="E77" s="3237" t="s">
        <v>4460</v>
      </c>
      <c r="F77" s="3237" t="s">
        <v>4461</v>
      </c>
      <c r="G77" s="3237" t="s">
        <v>3660</v>
      </c>
      <c r="H77" s="3237" t="s">
        <v>3219</v>
      </c>
      <c r="I77" s="3236" t="s">
        <v>4462</v>
      </c>
      <c r="J77" s="3236">
        <v>30.45</v>
      </c>
    </row>
    <row r="78" spans="1:10" ht="11.25" customHeight="1">
      <c r="A78" s="3363">
        <v>72</v>
      </c>
      <c r="B78" s="3237" t="s">
        <v>4458</v>
      </c>
      <c r="C78" s="3237" t="s">
        <v>3315</v>
      </c>
      <c r="D78" s="3237" t="s">
        <v>4459</v>
      </c>
      <c r="E78" s="3237" t="s">
        <v>4460</v>
      </c>
      <c r="F78" s="3237" t="s">
        <v>4461</v>
      </c>
      <c r="G78" s="3237" t="s">
        <v>3660</v>
      </c>
      <c r="H78" s="3237" t="s">
        <v>3219</v>
      </c>
      <c r="I78" s="3236" t="s">
        <v>4462</v>
      </c>
      <c r="J78" s="3236">
        <v>30.45</v>
      </c>
    </row>
    <row r="79" spans="1:10" ht="11.25" customHeight="1">
      <c r="A79" s="3363">
        <v>73</v>
      </c>
      <c r="B79" s="3237" t="s">
        <v>4458</v>
      </c>
      <c r="C79" s="3237" t="s">
        <v>3316</v>
      </c>
      <c r="D79" s="3237" t="s">
        <v>4459</v>
      </c>
      <c r="E79" s="3237" t="s">
        <v>4460</v>
      </c>
      <c r="F79" s="3237" t="s">
        <v>4461</v>
      </c>
      <c r="G79" s="3237" t="s">
        <v>3660</v>
      </c>
      <c r="H79" s="3237" t="s">
        <v>3219</v>
      </c>
      <c r="I79" s="3236" t="s">
        <v>4462</v>
      </c>
      <c r="J79" s="3236">
        <v>30.45</v>
      </c>
    </row>
    <row r="80" spans="1:10" ht="11.25" customHeight="1">
      <c r="A80" s="3363">
        <v>74</v>
      </c>
      <c r="B80" s="3237" t="s">
        <v>4458</v>
      </c>
      <c r="C80" s="3237" t="s">
        <v>3317</v>
      </c>
      <c r="D80" s="3237" t="s">
        <v>4459</v>
      </c>
      <c r="E80" s="3237" t="s">
        <v>4460</v>
      </c>
      <c r="F80" s="3237" t="s">
        <v>4461</v>
      </c>
      <c r="G80" s="3237" t="s">
        <v>3660</v>
      </c>
      <c r="H80" s="3237" t="s">
        <v>3219</v>
      </c>
      <c r="I80" s="3236" t="s">
        <v>4462</v>
      </c>
      <c r="J80" s="3236">
        <v>30.45</v>
      </c>
    </row>
    <row r="81" spans="1:10" ht="11.25" customHeight="1">
      <c r="A81" s="3363">
        <v>75</v>
      </c>
      <c r="B81" s="3237" t="s">
        <v>4458</v>
      </c>
      <c r="C81" s="3237" t="s">
        <v>3318</v>
      </c>
      <c r="D81" s="3237" t="s">
        <v>4459</v>
      </c>
      <c r="E81" s="3237" t="s">
        <v>4460</v>
      </c>
      <c r="F81" s="3237" t="s">
        <v>4461</v>
      </c>
      <c r="G81" s="3237" t="s">
        <v>3660</v>
      </c>
      <c r="H81" s="3237" t="s">
        <v>3219</v>
      </c>
      <c r="I81" s="3236" t="s">
        <v>4462</v>
      </c>
      <c r="J81" s="3236">
        <v>30.45</v>
      </c>
    </row>
    <row r="82" spans="1:10" ht="11.25" customHeight="1">
      <c r="A82" s="3363">
        <v>76</v>
      </c>
      <c r="B82" s="3237" t="s">
        <v>4458</v>
      </c>
      <c r="C82" s="3237" t="s">
        <v>3319</v>
      </c>
      <c r="D82" s="3237" t="s">
        <v>4459</v>
      </c>
      <c r="E82" s="3237" t="s">
        <v>4460</v>
      </c>
      <c r="F82" s="3237" t="s">
        <v>4461</v>
      </c>
      <c r="G82" s="3237" t="s">
        <v>3660</v>
      </c>
      <c r="H82" s="3237" t="s">
        <v>3219</v>
      </c>
      <c r="I82" s="3236" t="s">
        <v>4462</v>
      </c>
      <c r="J82" s="3236">
        <v>30.45</v>
      </c>
    </row>
    <row r="83" spans="1:10" ht="11.25" customHeight="1">
      <c r="A83" s="3363">
        <v>77</v>
      </c>
      <c r="B83" s="3237" t="s">
        <v>4458</v>
      </c>
      <c r="C83" s="3237" t="s">
        <v>3320</v>
      </c>
      <c r="D83" s="3237" t="s">
        <v>4459</v>
      </c>
      <c r="E83" s="3237" t="s">
        <v>4460</v>
      </c>
      <c r="F83" s="3237" t="s">
        <v>4461</v>
      </c>
      <c r="G83" s="3237" t="s">
        <v>3660</v>
      </c>
      <c r="H83" s="3237" t="s">
        <v>3219</v>
      </c>
      <c r="I83" s="3236" t="s">
        <v>4462</v>
      </c>
      <c r="J83" s="3236">
        <v>30.45</v>
      </c>
    </row>
    <row r="84" spans="1:10" ht="11.25" customHeight="1">
      <c r="A84" s="3363">
        <v>78</v>
      </c>
      <c r="B84" s="3237" t="s">
        <v>4458</v>
      </c>
      <c r="C84" s="3237" t="s">
        <v>3321</v>
      </c>
      <c r="D84" s="3237" t="s">
        <v>4459</v>
      </c>
      <c r="E84" s="3237" t="s">
        <v>4460</v>
      </c>
      <c r="F84" s="3237" t="s">
        <v>4461</v>
      </c>
      <c r="G84" s="3237" t="s">
        <v>3660</v>
      </c>
      <c r="H84" s="3237" t="s">
        <v>3219</v>
      </c>
      <c r="I84" s="3236" t="s">
        <v>4462</v>
      </c>
      <c r="J84" s="3236">
        <v>30.45</v>
      </c>
    </row>
    <row r="85" spans="1:10" ht="11.25" customHeight="1">
      <c r="A85" s="3363">
        <v>79</v>
      </c>
      <c r="B85" s="3237" t="s">
        <v>4458</v>
      </c>
      <c r="C85" s="3237" t="s">
        <v>3322</v>
      </c>
      <c r="D85" s="3237" t="s">
        <v>4459</v>
      </c>
      <c r="E85" s="3237" t="s">
        <v>4460</v>
      </c>
      <c r="F85" s="3237" t="s">
        <v>4461</v>
      </c>
      <c r="G85" s="3237" t="s">
        <v>3660</v>
      </c>
      <c r="H85" s="3237" t="s">
        <v>3219</v>
      </c>
      <c r="I85" s="3236" t="s">
        <v>4462</v>
      </c>
      <c r="J85" s="3236">
        <v>30.45</v>
      </c>
    </row>
    <row r="86" spans="1:10" ht="11.25" customHeight="1">
      <c r="A86" s="3363">
        <v>80</v>
      </c>
      <c r="B86" s="3237" t="s">
        <v>4458</v>
      </c>
      <c r="C86" s="3237" t="s">
        <v>3323</v>
      </c>
      <c r="D86" s="3237" t="s">
        <v>4459</v>
      </c>
      <c r="E86" s="3237" t="s">
        <v>4460</v>
      </c>
      <c r="F86" s="3237" t="s">
        <v>4461</v>
      </c>
      <c r="G86" s="3237" t="s">
        <v>3660</v>
      </c>
      <c r="H86" s="3237" t="s">
        <v>3219</v>
      </c>
      <c r="I86" s="3236" t="s">
        <v>4462</v>
      </c>
      <c r="J86" s="3236">
        <v>30.45</v>
      </c>
    </row>
    <row r="87" spans="1:10" ht="11.25" customHeight="1">
      <c r="A87" s="3363">
        <v>81</v>
      </c>
      <c r="B87" s="3237" t="s">
        <v>4458</v>
      </c>
      <c r="C87" s="3237" t="s">
        <v>3324</v>
      </c>
      <c r="D87" s="3237" t="s">
        <v>4459</v>
      </c>
      <c r="E87" s="3237" t="s">
        <v>4460</v>
      </c>
      <c r="F87" s="3237" t="s">
        <v>4461</v>
      </c>
      <c r="G87" s="3237" t="s">
        <v>3660</v>
      </c>
      <c r="H87" s="3237" t="s">
        <v>3219</v>
      </c>
      <c r="I87" s="3236" t="s">
        <v>4462</v>
      </c>
      <c r="J87" s="3236">
        <v>30.45</v>
      </c>
    </row>
    <row r="88" spans="1:10" ht="11.25" customHeight="1">
      <c r="A88" s="3363">
        <v>82</v>
      </c>
      <c r="B88" s="3237" t="s">
        <v>4458</v>
      </c>
      <c r="C88" s="3237" t="s">
        <v>3325</v>
      </c>
      <c r="D88" s="3237" t="s">
        <v>4459</v>
      </c>
      <c r="E88" s="3237" t="s">
        <v>4460</v>
      </c>
      <c r="F88" s="3237" t="s">
        <v>4461</v>
      </c>
      <c r="G88" s="3237" t="s">
        <v>3660</v>
      </c>
      <c r="H88" s="3237" t="s">
        <v>3219</v>
      </c>
      <c r="I88" s="3236" t="s">
        <v>4462</v>
      </c>
      <c r="J88" s="3236">
        <v>30.45</v>
      </c>
    </row>
    <row r="89" spans="1:10" ht="11.25" customHeight="1">
      <c r="A89" s="3363">
        <v>83</v>
      </c>
      <c r="B89" s="3237" t="s">
        <v>4458</v>
      </c>
      <c r="C89" s="3237" t="s">
        <v>3326</v>
      </c>
      <c r="D89" s="3237" t="s">
        <v>4459</v>
      </c>
      <c r="E89" s="3237" t="s">
        <v>4460</v>
      </c>
      <c r="F89" s="3237" t="s">
        <v>4461</v>
      </c>
      <c r="G89" s="3237" t="s">
        <v>3660</v>
      </c>
      <c r="H89" s="3237" t="s">
        <v>3219</v>
      </c>
      <c r="I89" s="3236" t="s">
        <v>4462</v>
      </c>
      <c r="J89" s="3236">
        <v>42.51</v>
      </c>
    </row>
    <row r="90" spans="1:10" ht="11.25" customHeight="1">
      <c r="A90" s="3363">
        <v>84</v>
      </c>
      <c r="B90" s="3237" t="s">
        <v>4458</v>
      </c>
      <c r="C90" s="3237" t="s">
        <v>3327</v>
      </c>
      <c r="D90" s="3237" t="s">
        <v>4459</v>
      </c>
      <c r="E90" s="3237" t="s">
        <v>4460</v>
      </c>
      <c r="F90" s="3237" t="s">
        <v>4461</v>
      </c>
      <c r="G90" s="3237" t="s">
        <v>3660</v>
      </c>
      <c r="H90" s="3237" t="s">
        <v>3219</v>
      </c>
      <c r="I90" s="3236" t="s">
        <v>4462</v>
      </c>
      <c r="J90" s="3236">
        <v>30.45</v>
      </c>
    </row>
    <row r="91" spans="1:10" ht="11.25" customHeight="1">
      <c r="A91" s="3363">
        <v>85</v>
      </c>
      <c r="B91" s="3237" t="s">
        <v>4458</v>
      </c>
      <c r="C91" s="3237" t="s">
        <v>3328</v>
      </c>
      <c r="D91" s="3237" t="s">
        <v>4459</v>
      </c>
      <c r="E91" s="3237" t="s">
        <v>4460</v>
      </c>
      <c r="F91" s="3237" t="s">
        <v>4461</v>
      </c>
      <c r="G91" s="3237" t="s">
        <v>3660</v>
      </c>
      <c r="H91" s="3237" t="s">
        <v>3219</v>
      </c>
      <c r="I91" s="3236" t="s">
        <v>4462</v>
      </c>
      <c r="J91" s="3236">
        <v>30.45</v>
      </c>
    </row>
    <row r="92" spans="1:10" ht="11.25" customHeight="1">
      <c r="A92" s="3363">
        <v>86</v>
      </c>
      <c r="B92" s="3237" t="s">
        <v>4458</v>
      </c>
      <c r="C92" s="3237" t="s">
        <v>3329</v>
      </c>
      <c r="D92" s="3237" t="s">
        <v>4459</v>
      </c>
      <c r="E92" s="3237" t="s">
        <v>4460</v>
      </c>
      <c r="F92" s="3237" t="s">
        <v>4461</v>
      </c>
      <c r="G92" s="3237" t="s">
        <v>3660</v>
      </c>
      <c r="H92" s="3237" t="s">
        <v>3219</v>
      </c>
      <c r="I92" s="3236" t="s">
        <v>4462</v>
      </c>
      <c r="J92" s="3236">
        <v>30.45</v>
      </c>
    </row>
    <row r="93" spans="1:10" ht="11.25" customHeight="1">
      <c r="A93" s="3363">
        <v>87</v>
      </c>
      <c r="B93" s="3237" t="s">
        <v>4458</v>
      </c>
      <c r="C93" s="3237" t="s">
        <v>3330</v>
      </c>
      <c r="D93" s="3237" t="s">
        <v>4459</v>
      </c>
      <c r="E93" s="3237" t="s">
        <v>4460</v>
      </c>
      <c r="F93" s="3237" t="s">
        <v>4461</v>
      </c>
      <c r="G93" s="3237" t="s">
        <v>3660</v>
      </c>
      <c r="H93" s="3237" t="s">
        <v>3219</v>
      </c>
      <c r="I93" s="3236" t="s">
        <v>4462</v>
      </c>
      <c r="J93" s="3236">
        <v>30.45</v>
      </c>
    </row>
    <row r="94" spans="1:10" ht="11.25" customHeight="1">
      <c r="A94" s="3363">
        <v>88</v>
      </c>
      <c r="B94" s="3237" t="s">
        <v>4458</v>
      </c>
      <c r="C94" s="3237" t="s">
        <v>3331</v>
      </c>
      <c r="D94" s="3237" t="s">
        <v>4459</v>
      </c>
      <c r="E94" s="3237" t="s">
        <v>4460</v>
      </c>
      <c r="F94" s="3237" t="s">
        <v>4461</v>
      </c>
      <c r="G94" s="3237" t="s">
        <v>3660</v>
      </c>
      <c r="H94" s="3237" t="s">
        <v>3219</v>
      </c>
      <c r="I94" s="3236" t="s">
        <v>4462</v>
      </c>
      <c r="J94" s="3236">
        <v>30.45</v>
      </c>
    </row>
    <row r="95" spans="1:10" ht="11.25" customHeight="1">
      <c r="A95" s="3363">
        <v>89</v>
      </c>
      <c r="B95" s="3237" t="s">
        <v>4458</v>
      </c>
      <c r="C95" s="3237" t="s">
        <v>3332</v>
      </c>
      <c r="D95" s="3237" t="s">
        <v>4459</v>
      </c>
      <c r="E95" s="3237" t="s">
        <v>4460</v>
      </c>
      <c r="F95" s="3237" t="s">
        <v>4461</v>
      </c>
      <c r="G95" s="3237" t="s">
        <v>3660</v>
      </c>
      <c r="H95" s="3237" t="s">
        <v>3219</v>
      </c>
      <c r="I95" s="3236" t="s">
        <v>4462</v>
      </c>
      <c r="J95" s="3236">
        <v>30.45</v>
      </c>
    </row>
    <row r="96" spans="1:10" ht="11.25" customHeight="1">
      <c r="A96" s="3363">
        <v>90</v>
      </c>
      <c r="B96" s="3237" t="s">
        <v>4458</v>
      </c>
      <c r="C96" s="3237" t="s">
        <v>3333</v>
      </c>
      <c r="D96" s="3237" t="s">
        <v>4459</v>
      </c>
      <c r="E96" s="3237" t="s">
        <v>4460</v>
      </c>
      <c r="F96" s="3237" t="s">
        <v>4461</v>
      </c>
      <c r="G96" s="3237" t="s">
        <v>3660</v>
      </c>
      <c r="H96" s="3237" t="s">
        <v>3219</v>
      </c>
      <c r="I96" s="3236" t="s">
        <v>4462</v>
      </c>
      <c r="J96" s="3236">
        <v>30.45</v>
      </c>
    </row>
    <row r="97" spans="1:10" ht="11.25" customHeight="1">
      <c r="A97" s="3363">
        <v>91</v>
      </c>
      <c r="B97" s="3237" t="s">
        <v>4458</v>
      </c>
      <c r="C97" s="3237" t="s">
        <v>3334</v>
      </c>
      <c r="D97" s="3237" t="s">
        <v>4459</v>
      </c>
      <c r="E97" s="3237" t="s">
        <v>4460</v>
      </c>
      <c r="F97" s="3237" t="s">
        <v>4461</v>
      </c>
      <c r="G97" s="3237" t="s">
        <v>3660</v>
      </c>
      <c r="H97" s="3237" t="s">
        <v>3219</v>
      </c>
      <c r="I97" s="3236" t="s">
        <v>4462</v>
      </c>
      <c r="J97" s="3236">
        <v>30.45</v>
      </c>
    </row>
    <row r="98" spans="1:10" ht="11.25" customHeight="1">
      <c r="A98" s="3363">
        <v>92</v>
      </c>
      <c r="B98" s="3237" t="s">
        <v>4458</v>
      </c>
      <c r="C98" s="3237" t="s">
        <v>3335</v>
      </c>
      <c r="D98" s="3237" t="s">
        <v>4459</v>
      </c>
      <c r="E98" s="3237" t="s">
        <v>4460</v>
      </c>
      <c r="F98" s="3237" t="s">
        <v>4461</v>
      </c>
      <c r="G98" s="3237" t="s">
        <v>3660</v>
      </c>
      <c r="H98" s="3237" t="s">
        <v>3219</v>
      </c>
      <c r="I98" s="3236" t="s">
        <v>4462</v>
      </c>
      <c r="J98" s="3236">
        <v>30.45</v>
      </c>
    </row>
    <row r="99" spans="1:10" ht="11.25" customHeight="1">
      <c r="A99" s="3363">
        <v>93</v>
      </c>
      <c r="B99" s="3237" t="s">
        <v>4458</v>
      </c>
      <c r="C99" s="3237" t="s">
        <v>3336</v>
      </c>
      <c r="D99" s="3237" t="s">
        <v>4459</v>
      </c>
      <c r="E99" s="3237" t="s">
        <v>4460</v>
      </c>
      <c r="F99" s="3237" t="s">
        <v>4461</v>
      </c>
      <c r="G99" s="3237" t="s">
        <v>3660</v>
      </c>
      <c r="H99" s="3237" t="s">
        <v>3219</v>
      </c>
      <c r="I99" s="3236" t="s">
        <v>4462</v>
      </c>
      <c r="J99" s="3236">
        <v>30.45</v>
      </c>
    </row>
    <row r="100" spans="1:10" ht="11.25" customHeight="1">
      <c r="A100" s="3363">
        <v>94</v>
      </c>
      <c r="B100" s="3237" t="s">
        <v>4458</v>
      </c>
      <c r="C100" s="3237" t="s">
        <v>3337</v>
      </c>
      <c r="D100" s="3237" t="s">
        <v>4459</v>
      </c>
      <c r="E100" s="3237" t="s">
        <v>4460</v>
      </c>
      <c r="F100" s="3237" t="s">
        <v>4461</v>
      </c>
      <c r="G100" s="3237" t="s">
        <v>3660</v>
      </c>
      <c r="H100" s="3237" t="s">
        <v>3219</v>
      </c>
      <c r="I100" s="3236" t="s">
        <v>4462</v>
      </c>
      <c r="J100" s="3236">
        <v>30.45</v>
      </c>
    </row>
    <row r="101" spans="1:10" ht="11.25" customHeight="1">
      <c r="A101" s="3363">
        <v>95</v>
      </c>
      <c r="B101" s="3237" t="s">
        <v>4458</v>
      </c>
      <c r="C101" s="3237" t="s">
        <v>3338</v>
      </c>
      <c r="D101" s="3237" t="s">
        <v>4459</v>
      </c>
      <c r="E101" s="3237" t="s">
        <v>4460</v>
      </c>
      <c r="F101" s="3237" t="s">
        <v>4461</v>
      </c>
      <c r="G101" s="3237" t="s">
        <v>3660</v>
      </c>
      <c r="H101" s="3237" t="s">
        <v>3219</v>
      </c>
      <c r="I101" s="3236" t="s">
        <v>4462</v>
      </c>
      <c r="J101" s="3236">
        <v>30.45</v>
      </c>
    </row>
    <row r="102" spans="1:10" ht="11.25" customHeight="1">
      <c r="A102" s="3363">
        <v>96</v>
      </c>
      <c r="B102" s="3237" t="s">
        <v>4458</v>
      </c>
      <c r="C102" s="3237" t="s">
        <v>3339</v>
      </c>
      <c r="D102" s="3237" t="s">
        <v>4459</v>
      </c>
      <c r="E102" s="3237" t="s">
        <v>4460</v>
      </c>
      <c r="F102" s="3237" t="s">
        <v>4461</v>
      </c>
      <c r="G102" s="3237" t="s">
        <v>3660</v>
      </c>
      <c r="H102" s="3237" t="s">
        <v>3219</v>
      </c>
      <c r="I102" s="3236" t="s">
        <v>4462</v>
      </c>
      <c r="J102" s="3236">
        <v>30.45</v>
      </c>
    </row>
    <row r="103" spans="1:10" ht="11.25" customHeight="1">
      <c r="A103" s="3363">
        <v>97</v>
      </c>
      <c r="B103" s="3237" t="s">
        <v>4458</v>
      </c>
      <c r="C103" s="3237" t="s">
        <v>3340</v>
      </c>
      <c r="D103" s="3237" t="s">
        <v>4459</v>
      </c>
      <c r="E103" s="3237" t="s">
        <v>4460</v>
      </c>
      <c r="F103" s="3237" t="s">
        <v>4461</v>
      </c>
      <c r="G103" s="3237" t="s">
        <v>3660</v>
      </c>
      <c r="H103" s="3237" t="s">
        <v>3219</v>
      </c>
      <c r="I103" s="3236" t="s">
        <v>4462</v>
      </c>
      <c r="J103" s="3236">
        <v>30.45</v>
      </c>
    </row>
    <row r="104" spans="1:10" ht="11.25" customHeight="1">
      <c r="A104" s="3363">
        <v>98</v>
      </c>
      <c r="B104" s="3237" t="s">
        <v>4458</v>
      </c>
      <c r="C104" s="3237" t="s">
        <v>3341</v>
      </c>
      <c r="D104" s="3237" t="s">
        <v>4459</v>
      </c>
      <c r="E104" s="3237" t="s">
        <v>4460</v>
      </c>
      <c r="F104" s="3237" t="s">
        <v>4461</v>
      </c>
      <c r="G104" s="3237" t="s">
        <v>3660</v>
      </c>
      <c r="H104" s="3237" t="s">
        <v>3219</v>
      </c>
      <c r="I104" s="3236" t="s">
        <v>4462</v>
      </c>
      <c r="J104" s="3236">
        <v>30.45</v>
      </c>
    </row>
    <row r="105" spans="1:10" ht="11.25" customHeight="1">
      <c r="A105" s="3363">
        <v>99</v>
      </c>
      <c r="B105" s="3237" t="s">
        <v>4458</v>
      </c>
      <c r="C105" s="3237" t="s">
        <v>3342</v>
      </c>
      <c r="D105" s="3237" t="s">
        <v>4459</v>
      </c>
      <c r="E105" s="3237" t="s">
        <v>4460</v>
      </c>
      <c r="F105" s="3237" t="s">
        <v>4461</v>
      </c>
      <c r="G105" s="3237" t="s">
        <v>3660</v>
      </c>
      <c r="H105" s="3237" t="s">
        <v>3219</v>
      </c>
      <c r="I105" s="3236" t="s">
        <v>4462</v>
      </c>
      <c r="J105" s="3236">
        <v>30.45</v>
      </c>
    </row>
    <row r="106" spans="1:10" ht="11.25" customHeight="1">
      <c r="A106" s="3363">
        <v>100</v>
      </c>
      <c r="B106" s="3237" t="s">
        <v>4458</v>
      </c>
      <c r="C106" s="3237" t="s">
        <v>3343</v>
      </c>
      <c r="D106" s="3237" t="s">
        <v>4459</v>
      </c>
      <c r="E106" s="3237" t="s">
        <v>4460</v>
      </c>
      <c r="F106" s="3237" t="s">
        <v>4461</v>
      </c>
      <c r="G106" s="3237" t="s">
        <v>3660</v>
      </c>
      <c r="H106" s="3237" t="s">
        <v>3219</v>
      </c>
      <c r="I106" s="3236" t="s">
        <v>4462</v>
      </c>
      <c r="J106" s="3236">
        <v>30.45</v>
      </c>
    </row>
    <row r="107" spans="1:10" ht="11.25" customHeight="1">
      <c r="A107" s="3363">
        <v>101</v>
      </c>
      <c r="B107" s="3237" t="s">
        <v>4458</v>
      </c>
      <c r="C107" s="3237" t="s">
        <v>3344</v>
      </c>
      <c r="D107" s="3237" t="s">
        <v>4459</v>
      </c>
      <c r="E107" s="3237" t="s">
        <v>4460</v>
      </c>
      <c r="F107" s="3237" t="s">
        <v>4461</v>
      </c>
      <c r="G107" s="3237" t="s">
        <v>3660</v>
      </c>
      <c r="H107" s="3237" t="s">
        <v>3219</v>
      </c>
      <c r="I107" s="3236" t="s">
        <v>4462</v>
      </c>
      <c r="J107" s="3236">
        <v>30.45</v>
      </c>
    </row>
    <row r="108" spans="1:10" ht="11.25" customHeight="1">
      <c r="A108" s="3363">
        <v>102</v>
      </c>
      <c r="B108" s="3237" t="s">
        <v>4458</v>
      </c>
      <c r="C108" s="3237" t="s">
        <v>3345</v>
      </c>
      <c r="D108" s="3237" t="s">
        <v>4459</v>
      </c>
      <c r="E108" s="3237" t="s">
        <v>4460</v>
      </c>
      <c r="F108" s="3237" t="s">
        <v>4461</v>
      </c>
      <c r="G108" s="3237" t="s">
        <v>3660</v>
      </c>
      <c r="H108" s="3237" t="s">
        <v>3219</v>
      </c>
      <c r="I108" s="3236" t="s">
        <v>4462</v>
      </c>
      <c r="J108" s="3236">
        <v>30.45</v>
      </c>
    </row>
    <row r="109" spans="1:10" ht="11.25" customHeight="1">
      <c r="A109" s="3363">
        <v>103</v>
      </c>
      <c r="B109" s="3237" t="s">
        <v>4458</v>
      </c>
      <c r="C109" s="3237" t="s">
        <v>3346</v>
      </c>
      <c r="D109" s="3237" t="s">
        <v>4459</v>
      </c>
      <c r="E109" s="3237" t="s">
        <v>4460</v>
      </c>
      <c r="F109" s="3237" t="s">
        <v>4461</v>
      </c>
      <c r="G109" s="3237" t="s">
        <v>3660</v>
      </c>
      <c r="H109" s="3237" t="s">
        <v>3219</v>
      </c>
      <c r="I109" s="3236" t="s">
        <v>4462</v>
      </c>
      <c r="J109" s="3236">
        <v>30.45</v>
      </c>
    </row>
    <row r="110" spans="1:10" ht="11.25" customHeight="1">
      <c r="A110" s="3363">
        <v>104</v>
      </c>
      <c r="B110" s="3237" t="s">
        <v>4458</v>
      </c>
      <c r="C110" s="3237" t="s">
        <v>3347</v>
      </c>
      <c r="D110" s="3237" t="s">
        <v>4459</v>
      </c>
      <c r="E110" s="3237" t="s">
        <v>4460</v>
      </c>
      <c r="F110" s="3237" t="s">
        <v>4461</v>
      </c>
      <c r="G110" s="3237" t="s">
        <v>3660</v>
      </c>
      <c r="H110" s="3237" t="s">
        <v>3219</v>
      </c>
      <c r="I110" s="3236" t="s">
        <v>4462</v>
      </c>
      <c r="J110" s="3236">
        <v>30.45</v>
      </c>
    </row>
    <row r="111" spans="1:10" ht="11.25" customHeight="1">
      <c r="A111" s="3363">
        <v>105</v>
      </c>
      <c r="B111" s="3237" t="s">
        <v>4458</v>
      </c>
      <c r="C111" s="3237" t="s">
        <v>3348</v>
      </c>
      <c r="D111" s="3237" t="s">
        <v>4459</v>
      </c>
      <c r="E111" s="3237" t="s">
        <v>4460</v>
      </c>
      <c r="F111" s="3237" t="s">
        <v>4461</v>
      </c>
      <c r="G111" s="3237" t="s">
        <v>3660</v>
      </c>
      <c r="H111" s="3237" t="s">
        <v>3219</v>
      </c>
      <c r="I111" s="3236" t="s">
        <v>4462</v>
      </c>
      <c r="J111" s="3236">
        <v>30.45</v>
      </c>
    </row>
    <row r="112" spans="1:10" ht="11.25" customHeight="1">
      <c r="A112" s="3363">
        <v>106</v>
      </c>
      <c r="B112" s="3237" t="s">
        <v>4458</v>
      </c>
      <c r="C112" s="3237" t="s">
        <v>3349</v>
      </c>
      <c r="D112" s="3237" t="s">
        <v>4459</v>
      </c>
      <c r="E112" s="3237" t="s">
        <v>4460</v>
      </c>
      <c r="F112" s="3237" t="s">
        <v>4461</v>
      </c>
      <c r="G112" s="3237" t="s">
        <v>3660</v>
      </c>
      <c r="H112" s="3237" t="s">
        <v>3219</v>
      </c>
      <c r="I112" s="3236" t="s">
        <v>4462</v>
      </c>
      <c r="J112" s="3236">
        <v>30.45</v>
      </c>
    </row>
    <row r="113" spans="1:10" ht="11.25" customHeight="1">
      <c r="A113" s="3363">
        <v>107</v>
      </c>
      <c r="B113" s="3237" t="s">
        <v>4458</v>
      </c>
      <c r="C113" s="3237" t="s">
        <v>3350</v>
      </c>
      <c r="D113" s="3237" t="s">
        <v>4459</v>
      </c>
      <c r="E113" s="3237" t="s">
        <v>4460</v>
      </c>
      <c r="F113" s="3237" t="s">
        <v>4461</v>
      </c>
      <c r="G113" s="3237" t="s">
        <v>3660</v>
      </c>
      <c r="H113" s="3237" t="s">
        <v>3219</v>
      </c>
      <c r="I113" s="3236" t="s">
        <v>4462</v>
      </c>
      <c r="J113" s="3236">
        <v>30.45</v>
      </c>
    </row>
    <row r="114" spans="1:10" ht="11.25" customHeight="1">
      <c r="A114" s="3363">
        <v>108</v>
      </c>
      <c r="B114" s="3237" t="s">
        <v>4458</v>
      </c>
      <c r="C114" s="3237" t="s">
        <v>3351</v>
      </c>
      <c r="D114" s="3237" t="s">
        <v>4459</v>
      </c>
      <c r="E114" s="3237" t="s">
        <v>4460</v>
      </c>
      <c r="F114" s="3237" t="s">
        <v>4461</v>
      </c>
      <c r="G114" s="3237" t="s">
        <v>3660</v>
      </c>
      <c r="H114" s="3237" t="s">
        <v>3219</v>
      </c>
      <c r="I114" s="3236" t="s">
        <v>4462</v>
      </c>
      <c r="J114" s="3236">
        <v>30.45</v>
      </c>
    </row>
    <row r="115" spans="1:10" ht="11.25" customHeight="1">
      <c r="A115" s="3363">
        <v>109</v>
      </c>
      <c r="B115" s="3237" t="s">
        <v>4458</v>
      </c>
      <c r="C115" s="3237" t="s">
        <v>3352</v>
      </c>
      <c r="D115" s="3237" t="s">
        <v>4459</v>
      </c>
      <c r="E115" s="3237" t="s">
        <v>4460</v>
      </c>
      <c r="F115" s="3237" t="s">
        <v>4461</v>
      </c>
      <c r="G115" s="3237" t="s">
        <v>3660</v>
      </c>
      <c r="H115" s="3237" t="s">
        <v>3219</v>
      </c>
      <c r="I115" s="3236" t="s">
        <v>4462</v>
      </c>
      <c r="J115" s="3236">
        <v>30.45</v>
      </c>
    </row>
    <row r="116" spans="1:10" ht="11.25" customHeight="1">
      <c r="A116" s="3363">
        <v>110</v>
      </c>
      <c r="B116" s="3237" t="s">
        <v>4458</v>
      </c>
      <c r="C116" s="3237" t="s">
        <v>3353</v>
      </c>
      <c r="D116" s="3237" t="s">
        <v>4459</v>
      </c>
      <c r="E116" s="3237" t="s">
        <v>4460</v>
      </c>
      <c r="F116" s="3237" t="s">
        <v>4461</v>
      </c>
      <c r="G116" s="3237" t="s">
        <v>4442</v>
      </c>
      <c r="H116" s="3237" t="s">
        <v>3219</v>
      </c>
      <c r="I116" s="3236" t="s">
        <v>4462</v>
      </c>
      <c r="J116" s="3236">
        <v>30.45</v>
      </c>
    </row>
    <row r="117" spans="1:10" ht="11.25" customHeight="1">
      <c r="A117" s="3363">
        <v>111</v>
      </c>
      <c r="B117" s="3237" t="s">
        <v>4458</v>
      </c>
      <c r="C117" s="3237" t="s">
        <v>3354</v>
      </c>
      <c r="D117" s="3237" t="s">
        <v>4459</v>
      </c>
      <c r="E117" s="3237" t="s">
        <v>4460</v>
      </c>
      <c r="F117" s="3237" t="s">
        <v>4461</v>
      </c>
      <c r="G117" s="3237" t="s">
        <v>4442</v>
      </c>
      <c r="H117" s="3237" t="s">
        <v>3219</v>
      </c>
      <c r="I117" s="3236" t="s">
        <v>4462</v>
      </c>
      <c r="J117" s="3236">
        <v>30.45</v>
      </c>
    </row>
    <row r="118" spans="1:10" ht="11.25" customHeight="1">
      <c r="A118" s="3363">
        <v>112</v>
      </c>
      <c r="B118" s="3237" t="s">
        <v>4458</v>
      </c>
      <c r="C118" s="3237" t="s">
        <v>3355</v>
      </c>
      <c r="D118" s="3237" t="s">
        <v>4459</v>
      </c>
      <c r="E118" s="3237" t="s">
        <v>4460</v>
      </c>
      <c r="F118" s="3237" t="s">
        <v>4461</v>
      </c>
      <c r="G118" s="3237" t="s">
        <v>4442</v>
      </c>
      <c r="H118" s="3237" t="s">
        <v>3219</v>
      </c>
      <c r="I118" s="3236" t="s">
        <v>4462</v>
      </c>
      <c r="J118" s="3236">
        <v>30.45</v>
      </c>
    </row>
    <row r="119" spans="1:10" ht="11.25" customHeight="1">
      <c r="A119" s="3363">
        <v>113</v>
      </c>
      <c r="B119" s="3237" t="s">
        <v>4458</v>
      </c>
      <c r="C119" s="3237" t="s">
        <v>3356</v>
      </c>
      <c r="D119" s="3237" t="s">
        <v>4459</v>
      </c>
      <c r="E119" s="3237" t="s">
        <v>4460</v>
      </c>
      <c r="F119" s="3237" t="s">
        <v>4461</v>
      </c>
      <c r="G119" s="3237" t="s">
        <v>4442</v>
      </c>
      <c r="H119" s="3237" t="s">
        <v>3219</v>
      </c>
      <c r="I119" s="3236" t="s">
        <v>4462</v>
      </c>
      <c r="J119" s="3236">
        <v>30.45</v>
      </c>
    </row>
    <row r="120" spans="1:10" ht="11.25" customHeight="1">
      <c r="A120" s="3363">
        <v>114</v>
      </c>
      <c r="B120" s="3237" t="s">
        <v>4458</v>
      </c>
      <c r="C120" s="3237" t="s">
        <v>3357</v>
      </c>
      <c r="D120" s="3237" t="s">
        <v>4459</v>
      </c>
      <c r="E120" s="3237" t="s">
        <v>4460</v>
      </c>
      <c r="F120" s="3237" t="s">
        <v>4461</v>
      </c>
      <c r="G120" s="3237" t="s">
        <v>4442</v>
      </c>
      <c r="H120" s="3237" t="s">
        <v>3219</v>
      </c>
      <c r="I120" s="3236" t="s">
        <v>4462</v>
      </c>
      <c r="J120" s="3236">
        <v>30.45</v>
      </c>
    </row>
    <row r="121" spans="1:10" ht="11.25" customHeight="1">
      <c r="A121" s="3363">
        <v>115</v>
      </c>
      <c r="B121" s="3237" t="s">
        <v>4458</v>
      </c>
      <c r="C121" s="3237" t="s">
        <v>3358</v>
      </c>
      <c r="D121" s="3237" t="s">
        <v>4459</v>
      </c>
      <c r="E121" s="3237" t="s">
        <v>4460</v>
      </c>
      <c r="F121" s="3237" t="s">
        <v>4461</v>
      </c>
      <c r="G121" s="3237" t="s">
        <v>4442</v>
      </c>
      <c r="H121" s="3237" t="s">
        <v>3219</v>
      </c>
      <c r="I121" s="3236" t="s">
        <v>4462</v>
      </c>
      <c r="J121" s="3236">
        <v>30.45</v>
      </c>
    </row>
    <row r="122" spans="1:10" ht="11.25" customHeight="1">
      <c r="A122" s="3363">
        <v>116</v>
      </c>
      <c r="B122" s="3237" t="s">
        <v>4458</v>
      </c>
      <c r="C122" s="3237" t="s">
        <v>3359</v>
      </c>
      <c r="D122" s="3237" t="s">
        <v>4459</v>
      </c>
      <c r="E122" s="3237" t="s">
        <v>4460</v>
      </c>
      <c r="F122" s="3237" t="s">
        <v>4461</v>
      </c>
      <c r="G122" s="3237" t="s">
        <v>4442</v>
      </c>
      <c r="H122" s="3237" t="s">
        <v>3219</v>
      </c>
      <c r="I122" s="3236" t="s">
        <v>4462</v>
      </c>
      <c r="J122" s="3236">
        <v>30.45</v>
      </c>
    </row>
    <row r="123" spans="1:10" ht="11.25" customHeight="1">
      <c r="A123" s="3363">
        <v>117</v>
      </c>
      <c r="B123" s="3237" t="s">
        <v>4458</v>
      </c>
      <c r="C123" s="3237" t="s">
        <v>3360</v>
      </c>
      <c r="D123" s="3237" t="s">
        <v>4459</v>
      </c>
      <c r="E123" s="3237" t="s">
        <v>4460</v>
      </c>
      <c r="F123" s="3237" t="s">
        <v>4461</v>
      </c>
      <c r="G123" s="3237" t="s">
        <v>4442</v>
      </c>
      <c r="H123" s="3237" t="s">
        <v>3219</v>
      </c>
      <c r="I123" s="3236" t="s">
        <v>4462</v>
      </c>
      <c r="J123" s="3236">
        <v>30.45</v>
      </c>
    </row>
    <row r="124" spans="1:10" ht="11.25" customHeight="1">
      <c r="A124" s="3363">
        <v>118</v>
      </c>
      <c r="B124" s="3237" t="s">
        <v>4458</v>
      </c>
      <c r="C124" s="3237" t="s">
        <v>3361</v>
      </c>
      <c r="D124" s="3237" t="s">
        <v>4459</v>
      </c>
      <c r="E124" s="3237" t="s">
        <v>4460</v>
      </c>
      <c r="F124" s="3237" t="s">
        <v>4461</v>
      </c>
      <c r="G124" s="3237" t="s">
        <v>4442</v>
      </c>
      <c r="H124" s="3237" t="s">
        <v>3219</v>
      </c>
      <c r="I124" s="3236" t="s">
        <v>4462</v>
      </c>
      <c r="J124" s="3236">
        <v>30.45</v>
      </c>
    </row>
    <row r="125" spans="1:10" ht="11.25" customHeight="1">
      <c r="A125" s="3363">
        <v>119</v>
      </c>
      <c r="B125" s="3237" t="s">
        <v>4458</v>
      </c>
      <c r="C125" s="3237" t="s">
        <v>3243</v>
      </c>
      <c r="D125" s="3237" t="s">
        <v>4459</v>
      </c>
      <c r="E125" s="3237" t="s">
        <v>4460</v>
      </c>
      <c r="F125" s="3237" t="s">
        <v>4461</v>
      </c>
      <c r="G125" s="3237" t="s">
        <v>4442</v>
      </c>
      <c r="H125" s="3237" t="s">
        <v>3219</v>
      </c>
      <c r="I125" s="3236" t="s">
        <v>4462</v>
      </c>
      <c r="J125" s="3236">
        <v>30.45</v>
      </c>
    </row>
    <row r="126" spans="1:10" ht="11.25" customHeight="1">
      <c r="A126" s="3363">
        <v>120</v>
      </c>
      <c r="B126" s="3237" t="s">
        <v>4458</v>
      </c>
      <c r="C126" s="3237" t="s">
        <v>3362</v>
      </c>
      <c r="D126" s="3237" t="s">
        <v>4459</v>
      </c>
      <c r="E126" s="3237" t="s">
        <v>4460</v>
      </c>
      <c r="F126" s="3237" t="s">
        <v>4461</v>
      </c>
      <c r="G126" s="3237" t="s">
        <v>4442</v>
      </c>
      <c r="H126" s="3237" t="s">
        <v>3219</v>
      </c>
      <c r="I126" s="3236" t="s">
        <v>4462</v>
      </c>
      <c r="J126" s="3236">
        <v>30.45</v>
      </c>
    </row>
    <row r="127" spans="1:10" ht="11.25" customHeight="1">
      <c r="A127" s="3363">
        <v>121</v>
      </c>
      <c r="B127" s="3237" t="s">
        <v>4458</v>
      </c>
      <c r="C127" s="3237" t="s">
        <v>3363</v>
      </c>
      <c r="D127" s="3237" t="s">
        <v>4459</v>
      </c>
      <c r="E127" s="3237" t="s">
        <v>4460</v>
      </c>
      <c r="F127" s="3237" t="s">
        <v>4461</v>
      </c>
      <c r="G127" s="3237" t="s">
        <v>4442</v>
      </c>
      <c r="H127" s="3237" t="s">
        <v>3219</v>
      </c>
      <c r="I127" s="3236" t="s">
        <v>4462</v>
      </c>
      <c r="J127" s="3236">
        <v>30.45</v>
      </c>
    </row>
    <row r="128" spans="1:10" ht="11.25" customHeight="1">
      <c r="A128" s="3363">
        <v>122</v>
      </c>
      <c r="B128" s="3237" t="s">
        <v>4458</v>
      </c>
      <c r="C128" s="3237" t="s">
        <v>3364</v>
      </c>
      <c r="D128" s="3237" t="s">
        <v>4459</v>
      </c>
      <c r="E128" s="3237" t="s">
        <v>4460</v>
      </c>
      <c r="F128" s="3237" t="s">
        <v>4461</v>
      </c>
      <c r="G128" s="3237" t="s">
        <v>4442</v>
      </c>
      <c r="H128" s="3237" t="s">
        <v>3219</v>
      </c>
      <c r="I128" s="3236" t="s">
        <v>4462</v>
      </c>
      <c r="J128" s="3236">
        <v>30.45</v>
      </c>
    </row>
    <row r="129" spans="1:10" ht="11.25" customHeight="1">
      <c r="A129" s="3363">
        <v>123</v>
      </c>
      <c r="B129" s="3237" t="s">
        <v>4458</v>
      </c>
      <c r="C129" s="3237" t="s">
        <v>3365</v>
      </c>
      <c r="D129" s="3237" t="s">
        <v>4459</v>
      </c>
      <c r="E129" s="3237" t="s">
        <v>4460</v>
      </c>
      <c r="F129" s="3237" t="s">
        <v>4461</v>
      </c>
      <c r="G129" s="3237" t="s">
        <v>4442</v>
      </c>
      <c r="H129" s="3237" t="s">
        <v>3219</v>
      </c>
      <c r="I129" s="3236" t="s">
        <v>4462</v>
      </c>
      <c r="J129" s="3236">
        <v>30.45</v>
      </c>
    </row>
    <row r="130" spans="1:10" ht="11.25" customHeight="1">
      <c r="A130" s="3363">
        <v>124</v>
      </c>
      <c r="B130" s="3237" t="s">
        <v>4458</v>
      </c>
      <c r="C130" s="3237" t="s">
        <v>3366</v>
      </c>
      <c r="D130" s="3237" t="s">
        <v>4459</v>
      </c>
      <c r="E130" s="3237" t="s">
        <v>4460</v>
      </c>
      <c r="F130" s="3237" t="s">
        <v>4461</v>
      </c>
      <c r="G130" s="3237" t="s">
        <v>4442</v>
      </c>
      <c r="H130" s="3237" t="s">
        <v>3219</v>
      </c>
      <c r="I130" s="3236" t="s">
        <v>4462</v>
      </c>
      <c r="J130" s="3236">
        <v>30.45</v>
      </c>
    </row>
    <row r="131" spans="1:10" ht="11.25" customHeight="1">
      <c r="A131" s="3363">
        <v>125</v>
      </c>
      <c r="B131" s="3237" t="s">
        <v>4458</v>
      </c>
      <c r="C131" s="3237" t="s">
        <v>3367</v>
      </c>
      <c r="D131" s="3237" t="s">
        <v>4459</v>
      </c>
      <c r="E131" s="3237" t="s">
        <v>4460</v>
      </c>
      <c r="F131" s="3237" t="s">
        <v>4461</v>
      </c>
      <c r="G131" s="3237" t="s">
        <v>4442</v>
      </c>
      <c r="H131" s="3237" t="s">
        <v>3219</v>
      </c>
      <c r="I131" s="3236" t="s">
        <v>4462</v>
      </c>
      <c r="J131" s="3236">
        <v>30.45</v>
      </c>
    </row>
    <row r="132" spans="1:10" ht="11.25" customHeight="1">
      <c r="A132" s="3363">
        <v>126</v>
      </c>
      <c r="B132" s="3237" t="s">
        <v>4458</v>
      </c>
      <c r="C132" s="3237" t="s">
        <v>3368</v>
      </c>
      <c r="D132" s="3237" t="s">
        <v>4459</v>
      </c>
      <c r="E132" s="3237" t="s">
        <v>4460</v>
      </c>
      <c r="F132" s="3237" t="s">
        <v>4461</v>
      </c>
      <c r="G132" s="3237" t="s">
        <v>4442</v>
      </c>
      <c r="H132" s="3237" t="s">
        <v>3219</v>
      </c>
      <c r="I132" s="3236" t="s">
        <v>4462</v>
      </c>
      <c r="J132" s="3236">
        <v>30.45</v>
      </c>
    </row>
    <row r="133" spans="1:10" ht="11.25" customHeight="1">
      <c r="A133" s="3363">
        <v>127</v>
      </c>
      <c r="B133" s="3237" t="s">
        <v>4458</v>
      </c>
      <c r="C133" s="3237" t="s">
        <v>3369</v>
      </c>
      <c r="D133" s="3237" t="s">
        <v>4459</v>
      </c>
      <c r="E133" s="3237" t="s">
        <v>4460</v>
      </c>
      <c r="F133" s="3237" t="s">
        <v>4461</v>
      </c>
      <c r="G133" s="3237" t="s">
        <v>4442</v>
      </c>
      <c r="H133" s="3237" t="s">
        <v>3219</v>
      </c>
      <c r="I133" s="3236" t="s">
        <v>4462</v>
      </c>
      <c r="J133" s="3236">
        <v>30.45</v>
      </c>
    </row>
    <row r="134" spans="1:10" ht="11.25" customHeight="1">
      <c r="A134" s="3363">
        <v>128</v>
      </c>
      <c r="B134" s="3237" t="s">
        <v>4458</v>
      </c>
      <c r="C134" s="3237" t="s">
        <v>3370</v>
      </c>
      <c r="D134" s="3237" t="s">
        <v>4459</v>
      </c>
      <c r="E134" s="3237" t="s">
        <v>4460</v>
      </c>
      <c r="F134" s="3237" t="s">
        <v>4461</v>
      </c>
      <c r="G134" s="3237" t="s">
        <v>4442</v>
      </c>
      <c r="H134" s="3237" t="s">
        <v>3219</v>
      </c>
      <c r="I134" s="3236" t="s">
        <v>4462</v>
      </c>
      <c r="J134" s="3236">
        <v>30.45</v>
      </c>
    </row>
    <row r="135" spans="1:10" ht="11.25" customHeight="1">
      <c r="A135" s="3363">
        <v>129</v>
      </c>
      <c r="B135" s="3237" t="s">
        <v>4458</v>
      </c>
      <c r="C135" s="3237" t="s">
        <v>3371</v>
      </c>
      <c r="D135" s="3237" t="s">
        <v>4459</v>
      </c>
      <c r="E135" s="3237" t="s">
        <v>4460</v>
      </c>
      <c r="F135" s="3237" t="s">
        <v>4461</v>
      </c>
      <c r="G135" s="3237" t="s">
        <v>4442</v>
      </c>
      <c r="H135" s="3237" t="s">
        <v>3219</v>
      </c>
      <c r="I135" s="3236" t="s">
        <v>4462</v>
      </c>
      <c r="J135" s="3236">
        <v>30.45</v>
      </c>
    </row>
    <row r="136" spans="1:10" ht="11.25" customHeight="1">
      <c r="A136" s="3363">
        <v>130</v>
      </c>
      <c r="B136" s="3237" t="s">
        <v>4458</v>
      </c>
      <c r="C136" s="3237" t="s">
        <v>3372</v>
      </c>
      <c r="D136" s="3237" t="s">
        <v>4459</v>
      </c>
      <c r="E136" s="3237" t="s">
        <v>4460</v>
      </c>
      <c r="F136" s="3237" t="s">
        <v>4461</v>
      </c>
      <c r="G136" s="3237" t="s">
        <v>4442</v>
      </c>
      <c r="H136" s="3237" t="s">
        <v>3219</v>
      </c>
      <c r="I136" s="3236" t="s">
        <v>4462</v>
      </c>
      <c r="J136" s="3236">
        <v>30.45</v>
      </c>
    </row>
    <row r="137" spans="1:10" ht="11.25" customHeight="1">
      <c r="A137" s="3363">
        <v>131</v>
      </c>
      <c r="B137" s="3237" t="s">
        <v>4458</v>
      </c>
      <c r="C137" s="3237" t="s">
        <v>3373</v>
      </c>
      <c r="D137" s="3237" t="s">
        <v>4459</v>
      </c>
      <c r="E137" s="3237" t="s">
        <v>4460</v>
      </c>
      <c r="F137" s="3237" t="s">
        <v>4461</v>
      </c>
      <c r="G137" s="3237" t="s">
        <v>4442</v>
      </c>
      <c r="H137" s="3237" t="s">
        <v>3219</v>
      </c>
      <c r="I137" s="3236" t="s">
        <v>4462</v>
      </c>
      <c r="J137" s="3236">
        <v>30.45</v>
      </c>
    </row>
    <row r="138" spans="1:10" ht="11.25" customHeight="1">
      <c r="A138" s="3363">
        <v>132</v>
      </c>
      <c r="B138" s="3237" t="s">
        <v>4458</v>
      </c>
      <c r="C138" s="3237" t="s">
        <v>3374</v>
      </c>
      <c r="D138" s="3237" t="s">
        <v>4459</v>
      </c>
      <c r="E138" s="3237" t="s">
        <v>4460</v>
      </c>
      <c r="F138" s="3237" t="s">
        <v>4461</v>
      </c>
      <c r="G138" s="3237" t="s">
        <v>4442</v>
      </c>
      <c r="H138" s="3237" t="s">
        <v>3219</v>
      </c>
      <c r="I138" s="3236" t="s">
        <v>4462</v>
      </c>
      <c r="J138" s="3236">
        <v>30.45</v>
      </c>
    </row>
    <row r="139" spans="1:10" ht="11.25" customHeight="1">
      <c r="A139" s="3363">
        <v>133</v>
      </c>
      <c r="B139" s="3237" t="s">
        <v>4458</v>
      </c>
      <c r="C139" s="3237" t="s">
        <v>3375</v>
      </c>
      <c r="D139" s="3237" t="s">
        <v>4459</v>
      </c>
      <c r="E139" s="3237" t="s">
        <v>4460</v>
      </c>
      <c r="F139" s="3237" t="s">
        <v>4461</v>
      </c>
      <c r="G139" s="3237" t="s">
        <v>4442</v>
      </c>
      <c r="H139" s="3237" t="s">
        <v>3219</v>
      </c>
      <c r="I139" s="3236" t="s">
        <v>4462</v>
      </c>
      <c r="J139" s="3236">
        <v>30.45</v>
      </c>
    </row>
    <row r="140" spans="1:10" ht="11.25" customHeight="1">
      <c r="A140" s="3363">
        <v>134</v>
      </c>
      <c r="B140" s="3237" t="s">
        <v>4458</v>
      </c>
      <c r="C140" s="3237" t="s">
        <v>3376</v>
      </c>
      <c r="D140" s="3237" t="s">
        <v>4459</v>
      </c>
      <c r="E140" s="3237" t="s">
        <v>4460</v>
      </c>
      <c r="F140" s="3237" t="s">
        <v>4461</v>
      </c>
      <c r="G140" s="3237" t="s">
        <v>4442</v>
      </c>
      <c r="H140" s="3237" t="s">
        <v>3219</v>
      </c>
      <c r="I140" s="3236" t="s">
        <v>4462</v>
      </c>
      <c r="J140" s="3236">
        <v>30.45</v>
      </c>
    </row>
    <row r="141" spans="1:10" ht="11.25" customHeight="1">
      <c r="A141" s="3363">
        <v>135</v>
      </c>
      <c r="B141" s="3237" t="s">
        <v>4458</v>
      </c>
      <c r="C141" s="3237" t="s">
        <v>3377</v>
      </c>
      <c r="D141" s="3237" t="s">
        <v>4459</v>
      </c>
      <c r="E141" s="3237" t="s">
        <v>4460</v>
      </c>
      <c r="F141" s="3237" t="s">
        <v>4461</v>
      </c>
      <c r="G141" s="3237" t="s">
        <v>4442</v>
      </c>
      <c r="H141" s="3237" t="s">
        <v>3219</v>
      </c>
      <c r="I141" s="3236" t="s">
        <v>4462</v>
      </c>
      <c r="J141" s="3236">
        <v>30.45</v>
      </c>
    </row>
    <row r="142" spans="1:10" ht="11.25" customHeight="1">
      <c r="A142" s="3363">
        <v>136</v>
      </c>
      <c r="B142" s="3237" t="s">
        <v>4458</v>
      </c>
      <c r="C142" s="3237" t="s">
        <v>3378</v>
      </c>
      <c r="D142" s="3237" t="s">
        <v>4459</v>
      </c>
      <c r="E142" s="3237" t="s">
        <v>4460</v>
      </c>
      <c r="F142" s="3237" t="s">
        <v>4461</v>
      </c>
      <c r="G142" s="3237" t="s">
        <v>4442</v>
      </c>
      <c r="H142" s="3237" t="s">
        <v>3219</v>
      </c>
      <c r="I142" s="3236" t="s">
        <v>4462</v>
      </c>
      <c r="J142" s="3236">
        <v>30.45</v>
      </c>
    </row>
    <row r="143" spans="1:10" ht="11.25" customHeight="1">
      <c r="A143" s="3363">
        <v>137</v>
      </c>
      <c r="B143" s="3237" t="s">
        <v>4458</v>
      </c>
      <c r="C143" s="3237" t="s">
        <v>3379</v>
      </c>
      <c r="D143" s="3237" t="s">
        <v>4459</v>
      </c>
      <c r="E143" s="3237" t="s">
        <v>4460</v>
      </c>
      <c r="F143" s="3237" t="s">
        <v>4461</v>
      </c>
      <c r="G143" s="3237" t="s">
        <v>4442</v>
      </c>
      <c r="H143" s="3237" t="s">
        <v>3219</v>
      </c>
      <c r="I143" s="3236" t="s">
        <v>4462</v>
      </c>
      <c r="J143" s="3236">
        <v>30.45</v>
      </c>
    </row>
    <row r="144" spans="1:10" ht="11.25" customHeight="1">
      <c r="A144" s="3363">
        <v>138</v>
      </c>
      <c r="B144" s="3237" t="s">
        <v>4458</v>
      </c>
      <c r="C144" s="3237" t="s">
        <v>3380</v>
      </c>
      <c r="D144" s="3237" t="s">
        <v>4459</v>
      </c>
      <c r="E144" s="3237" t="s">
        <v>4460</v>
      </c>
      <c r="F144" s="3237" t="s">
        <v>4461</v>
      </c>
      <c r="G144" s="3237" t="s">
        <v>4442</v>
      </c>
      <c r="H144" s="3237" t="s">
        <v>3219</v>
      </c>
      <c r="I144" s="3236" t="s">
        <v>4462</v>
      </c>
      <c r="J144" s="3236">
        <v>30.45</v>
      </c>
    </row>
    <row r="145" spans="1:10" ht="11.25" customHeight="1">
      <c r="A145" s="3363">
        <v>139</v>
      </c>
      <c r="B145" s="3237" t="s">
        <v>4458</v>
      </c>
      <c r="C145" s="3237" t="s">
        <v>3381</v>
      </c>
      <c r="D145" s="3237" t="s">
        <v>4459</v>
      </c>
      <c r="E145" s="3237" t="s">
        <v>4460</v>
      </c>
      <c r="F145" s="3237" t="s">
        <v>4461</v>
      </c>
      <c r="G145" s="3237" t="s">
        <v>4442</v>
      </c>
      <c r="H145" s="3237" t="s">
        <v>3219</v>
      </c>
      <c r="I145" s="3236" t="s">
        <v>4462</v>
      </c>
      <c r="J145" s="3236">
        <v>30.45</v>
      </c>
    </row>
    <row r="146" spans="1:10" ht="11.25" customHeight="1">
      <c r="A146" s="3363">
        <v>140</v>
      </c>
      <c r="B146" s="3237" t="s">
        <v>4458</v>
      </c>
      <c r="C146" s="3237" t="s">
        <v>3382</v>
      </c>
      <c r="D146" s="3237" t="s">
        <v>4459</v>
      </c>
      <c r="E146" s="3237" t="s">
        <v>4460</v>
      </c>
      <c r="F146" s="3237" t="s">
        <v>4461</v>
      </c>
      <c r="G146" s="3237" t="s">
        <v>4442</v>
      </c>
      <c r="H146" s="3237" t="s">
        <v>3219</v>
      </c>
      <c r="I146" s="3236" t="s">
        <v>4462</v>
      </c>
      <c r="J146" s="3236">
        <v>30.45</v>
      </c>
    </row>
    <row r="147" spans="1:10" ht="11.25" customHeight="1">
      <c r="A147" s="3363">
        <v>141</v>
      </c>
      <c r="B147" s="3237" t="s">
        <v>4458</v>
      </c>
      <c r="C147" s="3237" t="s">
        <v>3383</v>
      </c>
      <c r="D147" s="3237" t="s">
        <v>4459</v>
      </c>
      <c r="E147" s="3237" t="s">
        <v>4460</v>
      </c>
      <c r="F147" s="3237" t="s">
        <v>4461</v>
      </c>
      <c r="G147" s="3237" t="s">
        <v>4442</v>
      </c>
      <c r="H147" s="3237" t="s">
        <v>3219</v>
      </c>
      <c r="I147" s="3236" t="s">
        <v>4462</v>
      </c>
      <c r="J147" s="3236">
        <v>30.45</v>
      </c>
    </row>
    <row r="148" spans="1:10" ht="11.25" customHeight="1">
      <c r="A148" s="3363">
        <v>142</v>
      </c>
      <c r="B148" s="3237" t="s">
        <v>4458</v>
      </c>
      <c r="C148" s="3237" t="s">
        <v>3384</v>
      </c>
      <c r="D148" s="3237" t="s">
        <v>4459</v>
      </c>
      <c r="E148" s="3237" t="s">
        <v>4460</v>
      </c>
      <c r="F148" s="3237" t="s">
        <v>4461</v>
      </c>
      <c r="G148" s="3237" t="s">
        <v>4442</v>
      </c>
      <c r="H148" s="3237" t="s">
        <v>3219</v>
      </c>
      <c r="I148" s="3236" t="s">
        <v>4462</v>
      </c>
      <c r="J148" s="3236">
        <v>30.45</v>
      </c>
    </row>
    <row r="149" spans="1:10" ht="11.25" customHeight="1">
      <c r="A149" s="3363">
        <v>143</v>
      </c>
      <c r="B149" s="3237" t="s">
        <v>4458</v>
      </c>
      <c r="C149" s="3237" t="s">
        <v>3385</v>
      </c>
      <c r="D149" s="3237" t="s">
        <v>4459</v>
      </c>
      <c r="E149" s="3237" t="s">
        <v>4460</v>
      </c>
      <c r="F149" s="3237" t="s">
        <v>4461</v>
      </c>
      <c r="G149" s="3237" t="s">
        <v>4442</v>
      </c>
      <c r="H149" s="3237" t="s">
        <v>3219</v>
      </c>
      <c r="I149" s="3236" t="s">
        <v>4462</v>
      </c>
      <c r="J149" s="3236">
        <v>30.45</v>
      </c>
    </row>
    <row r="150" spans="1:10" ht="11.25" customHeight="1">
      <c r="A150" s="3363">
        <v>144</v>
      </c>
      <c r="B150" s="3237" t="s">
        <v>4458</v>
      </c>
      <c r="C150" s="3237" t="s">
        <v>3386</v>
      </c>
      <c r="D150" s="3237" t="s">
        <v>4459</v>
      </c>
      <c r="E150" s="3237" t="s">
        <v>4460</v>
      </c>
      <c r="F150" s="3237" t="s">
        <v>4461</v>
      </c>
      <c r="G150" s="3237" t="s">
        <v>4442</v>
      </c>
      <c r="H150" s="3237" t="s">
        <v>3219</v>
      </c>
      <c r="I150" s="3236" t="s">
        <v>4462</v>
      </c>
      <c r="J150" s="3236">
        <v>30.45</v>
      </c>
    </row>
    <row r="151" spans="1:10" ht="11.25" customHeight="1">
      <c r="A151" s="3363">
        <v>145</v>
      </c>
      <c r="B151" s="3237" t="s">
        <v>4458</v>
      </c>
      <c r="C151" s="3237" t="s">
        <v>3387</v>
      </c>
      <c r="D151" s="3237" t="s">
        <v>4459</v>
      </c>
      <c r="E151" s="3237" t="s">
        <v>4460</v>
      </c>
      <c r="F151" s="3237" t="s">
        <v>4461</v>
      </c>
      <c r="G151" s="3237" t="s">
        <v>4442</v>
      </c>
      <c r="H151" s="3237" t="s">
        <v>3219</v>
      </c>
      <c r="I151" s="3236" t="s">
        <v>4462</v>
      </c>
      <c r="J151" s="3236">
        <v>30.45</v>
      </c>
    </row>
    <row r="152" spans="1:10" ht="11.25" customHeight="1">
      <c r="A152" s="3363">
        <v>146</v>
      </c>
      <c r="B152" s="3237" t="s">
        <v>4458</v>
      </c>
      <c r="C152" s="3237" t="s">
        <v>3388</v>
      </c>
      <c r="D152" s="3237" t="s">
        <v>4459</v>
      </c>
      <c r="E152" s="3237" t="s">
        <v>4460</v>
      </c>
      <c r="F152" s="3237" t="s">
        <v>4461</v>
      </c>
      <c r="G152" s="3237" t="s">
        <v>4442</v>
      </c>
      <c r="H152" s="3237" t="s">
        <v>3219</v>
      </c>
      <c r="I152" s="3236" t="s">
        <v>4462</v>
      </c>
      <c r="J152" s="3236">
        <v>30.45</v>
      </c>
    </row>
    <row r="153" spans="1:10" ht="11.25" customHeight="1">
      <c r="A153" s="3363">
        <v>147</v>
      </c>
      <c r="B153" s="3237" t="s">
        <v>4458</v>
      </c>
      <c r="C153" s="3237" t="s">
        <v>3389</v>
      </c>
      <c r="D153" s="3237" t="s">
        <v>4459</v>
      </c>
      <c r="E153" s="3237" t="s">
        <v>4460</v>
      </c>
      <c r="F153" s="3237" t="s">
        <v>4461</v>
      </c>
      <c r="G153" s="3237" t="s">
        <v>4442</v>
      </c>
      <c r="H153" s="3237" t="s">
        <v>3219</v>
      </c>
      <c r="I153" s="3236" t="s">
        <v>4462</v>
      </c>
      <c r="J153" s="3236">
        <v>30.45</v>
      </c>
    </row>
    <row r="154" spans="1:10" ht="11.25" customHeight="1">
      <c r="A154" s="3363">
        <v>148</v>
      </c>
      <c r="B154" s="3237" t="s">
        <v>4458</v>
      </c>
      <c r="C154" s="3237" t="s">
        <v>3390</v>
      </c>
      <c r="D154" s="3237" t="s">
        <v>4459</v>
      </c>
      <c r="E154" s="3237" t="s">
        <v>4460</v>
      </c>
      <c r="F154" s="3237" t="s">
        <v>4461</v>
      </c>
      <c r="G154" s="3237" t="s">
        <v>4442</v>
      </c>
      <c r="H154" s="3237" t="s">
        <v>3219</v>
      </c>
      <c r="I154" s="3236" t="s">
        <v>4462</v>
      </c>
      <c r="J154" s="3236">
        <v>30.45</v>
      </c>
    </row>
    <row r="155" spans="1:10" ht="11.25" customHeight="1">
      <c r="A155" s="3363">
        <v>149</v>
      </c>
      <c r="B155" s="3237" t="s">
        <v>4458</v>
      </c>
      <c r="C155" s="3237" t="s">
        <v>3391</v>
      </c>
      <c r="D155" s="3237" t="s">
        <v>4459</v>
      </c>
      <c r="E155" s="3237" t="s">
        <v>4460</v>
      </c>
      <c r="F155" s="3237" t="s">
        <v>4461</v>
      </c>
      <c r="G155" s="3237" t="s">
        <v>4442</v>
      </c>
      <c r="H155" s="3237" t="s">
        <v>3219</v>
      </c>
      <c r="I155" s="3236" t="s">
        <v>4462</v>
      </c>
      <c r="J155" s="3236">
        <v>30.45</v>
      </c>
    </row>
    <row r="156" spans="1:10" ht="11.25" customHeight="1">
      <c r="A156" s="3363">
        <v>150</v>
      </c>
      <c r="B156" s="3237" t="s">
        <v>4458</v>
      </c>
      <c r="C156" s="3237" t="s">
        <v>3392</v>
      </c>
      <c r="D156" s="3237" t="s">
        <v>4459</v>
      </c>
      <c r="E156" s="3237" t="s">
        <v>4460</v>
      </c>
      <c r="F156" s="3237" t="s">
        <v>4461</v>
      </c>
      <c r="G156" s="3237" t="s">
        <v>4442</v>
      </c>
      <c r="H156" s="3237" t="s">
        <v>3219</v>
      </c>
      <c r="I156" s="3236" t="s">
        <v>4462</v>
      </c>
      <c r="J156" s="3236">
        <v>30.45</v>
      </c>
    </row>
    <row r="157" spans="1:10" ht="11.25" customHeight="1">
      <c r="A157" s="3363">
        <v>151</v>
      </c>
      <c r="B157" s="3237" t="s">
        <v>4458</v>
      </c>
      <c r="C157" s="3237" t="s">
        <v>3393</v>
      </c>
      <c r="D157" s="3237" t="s">
        <v>4459</v>
      </c>
      <c r="E157" s="3237" t="s">
        <v>4460</v>
      </c>
      <c r="F157" s="3237" t="s">
        <v>4461</v>
      </c>
      <c r="G157" s="3237" t="s">
        <v>4442</v>
      </c>
      <c r="H157" s="3237" t="s">
        <v>3219</v>
      </c>
      <c r="I157" s="3236" t="s">
        <v>4462</v>
      </c>
      <c r="J157" s="3236">
        <v>30.45</v>
      </c>
    </row>
    <row r="158" spans="1:10" ht="11.25" customHeight="1">
      <c r="A158" s="3363">
        <v>152</v>
      </c>
      <c r="B158" s="3237" t="s">
        <v>4458</v>
      </c>
      <c r="C158" s="3237" t="s">
        <v>3394</v>
      </c>
      <c r="D158" s="3237" t="s">
        <v>4459</v>
      </c>
      <c r="E158" s="3237" t="s">
        <v>4460</v>
      </c>
      <c r="F158" s="3237" t="s">
        <v>4461</v>
      </c>
      <c r="G158" s="3237" t="s">
        <v>4442</v>
      </c>
      <c r="H158" s="3237" t="s">
        <v>3219</v>
      </c>
      <c r="I158" s="3236" t="s">
        <v>4462</v>
      </c>
      <c r="J158" s="3236">
        <v>30.45</v>
      </c>
    </row>
    <row r="159" spans="1:10" ht="11.25" customHeight="1">
      <c r="A159" s="3363">
        <v>153</v>
      </c>
      <c r="B159" s="3237" t="s">
        <v>4458</v>
      </c>
      <c r="C159" s="3237" t="s">
        <v>3395</v>
      </c>
      <c r="D159" s="3237" t="s">
        <v>4459</v>
      </c>
      <c r="E159" s="3237" t="s">
        <v>4460</v>
      </c>
      <c r="F159" s="3237" t="s">
        <v>4461</v>
      </c>
      <c r="G159" s="3237" t="s">
        <v>4442</v>
      </c>
      <c r="H159" s="3237" t="s">
        <v>3219</v>
      </c>
      <c r="I159" s="3236" t="s">
        <v>4462</v>
      </c>
      <c r="J159" s="3236">
        <v>30.45</v>
      </c>
    </row>
    <row r="160" spans="1:10" ht="11.25" customHeight="1">
      <c r="A160" s="3363">
        <v>154</v>
      </c>
      <c r="B160" s="3237" t="s">
        <v>4458</v>
      </c>
      <c r="C160" s="3237" t="s">
        <v>3396</v>
      </c>
      <c r="D160" s="3237" t="s">
        <v>4459</v>
      </c>
      <c r="E160" s="3237" t="s">
        <v>4460</v>
      </c>
      <c r="F160" s="3237" t="s">
        <v>4461</v>
      </c>
      <c r="G160" s="3237" t="s">
        <v>4442</v>
      </c>
      <c r="H160" s="3237" t="s">
        <v>3219</v>
      </c>
      <c r="I160" s="3236" t="s">
        <v>4462</v>
      </c>
      <c r="J160" s="3236">
        <v>30.45</v>
      </c>
    </row>
    <row r="161" spans="1:10" ht="11.25" customHeight="1">
      <c r="A161" s="3363">
        <v>155</v>
      </c>
      <c r="B161" s="3237" t="s">
        <v>4458</v>
      </c>
      <c r="C161" s="3237" t="s">
        <v>3397</v>
      </c>
      <c r="D161" s="3237" t="s">
        <v>4459</v>
      </c>
      <c r="E161" s="3237" t="s">
        <v>4460</v>
      </c>
      <c r="F161" s="3237" t="s">
        <v>4461</v>
      </c>
      <c r="G161" s="3237" t="s">
        <v>4442</v>
      </c>
      <c r="H161" s="3237" t="s">
        <v>3219</v>
      </c>
      <c r="I161" s="3236" t="s">
        <v>4462</v>
      </c>
      <c r="J161" s="3236">
        <v>30.45</v>
      </c>
    </row>
    <row r="162" spans="1:10" ht="11.25" customHeight="1">
      <c r="A162" s="3363">
        <v>156</v>
      </c>
      <c r="B162" s="3237" t="s">
        <v>4458</v>
      </c>
      <c r="C162" s="3237" t="s">
        <v>3398</v>
      </c>
      <c r="D162" s="3237" t="s">
        <v>4459</v>
      </c>
      <c r="E162" s="3237" t="s">
        <v>4460</v>
      </c>
      <c r="F162" s="3237" t="s">
        <v>4461</v>
      </c>
      <c r="G162" s="3237" t="s">
        <v>4442</v>
      </c>
      <c r="H162" s="3237" t="s">
        <v>3219</v>
      </c>
      <c r="I162" s="3236" t="s">
        <v>4462</v>
      </c>
      <c r="J162" s="3236">
        <v>30.45</v>
      </c>
    </row>
    <row r="163" spans="1:10" ht="11.25" customHeight="1">
      <c r="A163" s="3363">
        <v>157</v>
      </c>
      <c r="B163" s="3237" t="s">
        <v>4458</v>
      </c>
      <c r="C163" s="3237" t="s">
        <v>3399</v>
      </c>
      <c r="D163" s="3237" t="s">
        <v>4459</v>
      </c>
      <c r="E163" s="3237" t="s">
        <v>4460</v>
      </c>
      <c r="F163" s="3237" t="s">
        <v>4461</v>
      </c>
      <c r="G163" s="3237" t="s">
        <v>4442</v>
      </c>
      <c r="H163" s="3237" t="s">
        <v>3219</v>
      </c>
      <c r="I163" s="3236" t="s">
        <v>4462</v>
      </c>
      <c r="J163" s="3236">
        <v>30.45</v>
      </c>
    </row>
    <row r="164" spans="1:10" ht="11.25" customHeight="1">
      <c r="A164" s="3363">
        <v>158</v>
      </c>
      <c r="B164" s="3237" t="s">
        <v>4458</v>
      </c>
      <c r="C164" s="3237" t="s">
        <v>3400</v>
      </c>
      <c r="D164" s="3237" t="s">
        <v>4459</v>
      </c>
      <c r="E164" s="3237" t="s">
        <v>4460</v>
      </c>
      <c r="F164" s="3237" t="s">
        <v>4461</v>
      </c>
      <c r="G164" s="3237" t="s">
        <v>4442</v>
      </c>
      <c r="H164" s="3237" t="s">
        <v>3219</v>
      </c>
      <c r="I164" s="3236" t="s">
        <v>4462</v>
      </c>
      <c r="J164" s="3236">
        <v>30.45</v>
      </c>
    </row>
    <row r="165" spans="1:10" ht="11.25" customHeight="1">
      <c r="A165" s="3363">
        <v>159</v>
      </c>
      <c r="B165" s="3237" t="s">
        <v>4458</v>
      </c>
      <c r="C165" s="3237" t="s">
        <v>3401</v>
      </c>
      <c r="D165" s="3237" t="s">
        <v>4459</v>
      </c>
      <c r="E165" s="3237" t="s">
        <v>4460</v>
      </c>
      <c r="F165" s="3237" t="s">
        <v>4461</v>
      </c>
      <c r="G165" s="3237" t="s">
        <v>4442</v>
      </c>
      <c r="H165" s="3237" t="s">
        <v>3219</v>
      </c>
      <c r="I165" s="3236" t="s">
        <v>4462</v>
      </c>
      <c r="J165" s="3236">
        <v>30.45</v>
      </c>
    </row>
    <row r="166" spans="1:10" ht="11.25" customHeight="1">
      <c r="A166" s="3363">
        <v>160</v>
      </c>
      <c r="B166" s="3237" t="s">
        <v>4458</v>
      </c>
      <c r="C166" s="3237" t="s">
        <v>3402</v>
      </c>
      <c r="D166" s="3237" t="s">
        <v>4459</v>
      </c>
      <c r="E166" s="3237" t="s">
        <v>4460</v>
      </c>
      <c r="F166" s="3237" t="s">
        <v>4461</v>
      </c>
      <c r="G166" s="3237" t="s">
        <v>4442</v>
      </c>
      <c r="H166" s="3237" t="s">
        <v>3219</v>
      </c>
      <c r="I166" s="3236" t="s">
        <v>4462</v>
      </c>
      <c r="J166" s="3236">
        <v>30.45</v>
      </c>
    </row>
    <row r="167" spans="1:10" ht="11.25" customHeight="1">
      <c r="A167" s="3363">
        <v>161</v>
      </c>
      <c r="B167" s="3237" t="s">
        <v>4458</v>
      </c>
      <c r="C167" s="3237" t="s">
        <v>3403</v>
      </c>
      <c r="D167" s="3237" t="s">
        <v>4459</v>
      </c>
      <c r="E167" s="3237" t="s">
        <v>4460</v>
      </c>
      <c r="F167" s="3237" t="s">
        <v>4461</v>
      </c>
      <c r="G167" s="3237" t="s">
        <v>4442</v>
      </c>
      <c r="H167" s="3237" t="s">
        <v>3219</v>
      </c>
      <c r="I167" s="3236" t="s">
        <v>4462</v>
      </c>
      <c r="J167" s="3236">
        <v>30.45</v>
      </c>
    </row>
    <row r="168" spans="1:10" ht="11.25" customHeight="1">
      <c r="A168" s="3363">
        <v>162</v>
      </c>
      <c r="B168" s="3237" t="s">
        <v>4458</v>
      </c>
      <c r="C168" s="3237" t="s">
        <v>3404</v>
      </c>
      <c r="D168" s="3237" t="s">
        <v>4459</v>
      </c>
      <c r="E168" s="3237" t="s">
        <v>4460</v>
      </c>
      <c r="F168" s="3237" t="s">
        <v>4461</v>
      </c>
      <c r="G168" s="3237" t="s">
        <v>4442</v>
      </c>
      <c r="H168" s="3237" t="s">
        <v>3219</v>
      </c>
      <c r="I168" s="3236" t="s">
        <v>4462</v>
      </c>
      <c r="J168" s="3236">
        <v>30.45</v>
      </c>
    </row>
    <row r="169" spans="1:10" ht="11.25" customHeight="1">
      <c r="A169" s="3363">
        <v>163</v>
      </c>
      <c r="B169" s="3237" t="s">
        <v>4458</v>
      </c>
      <c r="C169" s="3237" t="s">
        <v>3405</v>
      </c>
      <c r="D169" s="3237" t="s">
        <v>4459</v>
      </c>
      <c r="E169" s="3237" t="s">
        <v>4460</v>
      </c>
      <c r="F169" s="3237" t="s">
        <v>4461</v>
      </c>
      <c r="G169" s="3237" t="s">
        <v>4442</v>
      </c>
      <c r="H169" s="3237" t="s">
        <v>3219</v>
      </c>
      <c r="I169" s="3236" t="s">
        <v>4462</v>
      </c>
      <c r="J169" s="3236">
        <v>30.45</v>
      </c>
    </row>
    <row r="170" spans="1:10" ht="11.25" customHeight="1">
      <c r="A170" s="3363">
        <v>164</v>
      </c>
      <c r="B170" s="3237" t="s">
        <v>4458</v>
      </c>
      <c r="C170" s="3237" t="s">
        <v>3406</v>
      </c>
      <c r="D170" s="3237" t="s">
        <v>4459</v>
      </c>
      <c r="E170" s="3237" t="s">
        <v>4460</v>
      </c>
      <c r="F170" s="3237" t="s">
        <v>4461</v>
      </c>
      <c r="G170" s="3237" t="s">
        <v>4442</v>
      </c>
      <c r="H170" s="3237" t="s">
        <v>3219</v>
      </c>
      <c r="I170" s="3236" t="s">
        <v>4462</v>
      </c>
      <c r="J170" s="3236">
        <v>30.45</v>
      </c>
    </row>
    <row r="171" spans="1:10" ht="11.25" customHeight="1">
      <c r="A171" s="3363">
        <v>165</v>
      </c>
      <c r="B171" s="3237" t="s">
        <v>4458</v>
      </c>
      <c r="C171" s="3237" t="s">
        <v>3407</v>
      </c>
      <c r="D171" s="3237" t="s">
        <v>4459</v>
      </c>
      <c r="E171" s="3237" t="s">
        <v>4460</v>
      </c>
      <c r="F171" s="3237" t="s">
        <v>4461</v>
      </c>
      <c r="G171" s="3237" t="s">
        <v>4442</v>
      </c>
      <c r="H171" s="3237" t="s">
        <v>3219</v>
      </c>
      <c r="I171" s="3236" t="s">
        <v>4462</v>
      </c>
      <c r="J171" s="3236">
        <v>30.45</v>
      </c>
    </row>
    <row r="172" spans="1:10" ht="11.25" customHeight="1">
      <c r="A172" s="3363">
        <v>166</v>
      </c>
      <c r="B172" s="3237" t="s">
        <v>4458</v>
      </c>
      <c r="C172" s="3237" t="s">
        <v>3408</v>
      </c>
      <c r="D172" s="3237" t="s">
        <v>4459</v>
      </c>
      <c r="E172" s="3237" t="s">
        <v>4460</v>
      </c>
      <c r="F172" s="3237" t="s">
        <v>4461</v>
      </c>
      <c r="G172" s="3237" t="s">
        <v>4442</v>
      </c>
      <c r="H172" s="3237" t="s">
        <v>3219</v>
      </c>
      <c r="I172" s="3236" t="s">
        <v>4462</v>
      </c>
      <c r="J172" s="3236">
        <v>27.41</v>
      </c>
    </row>
    <row r="173" spans="1:10" ht="11.25" customHeight="1">
      <c r="A173" s="3363">
        <v>167</v>
      </c>
      <c r="B173" s="3237" t="s">
        <v>4458</v>
      </c>
      <c r="C173" s="3237" t="s">
        <v>3409</v>
      </c>
      <c r="D173" s="3237" t="s">
        <v>4459</v>
      </c>
      <c r="E173" s="3237" t="s">
        <v>4460</v>
      </c>
      <c r="F173" s="3237" t="s">
        <v>4461</v>
      </c>
      <c r="G173" s="3237" t="s">
        <v>4442</v>
      </c>
      <c r="H173" s="3237" t="s">
        <v>3219</v>
      </c>
      <c r="I173" s="3236" t="s">
        <v>4462</v>
      </c>
      <c r="J173" s="3236">
        <v>30.45</v>
      </c>
    </row>
    <row r="174" spans="1:10" ht="11.25" customHeight="1">
      <c r="A174" s="3363">
        <v>168</v>
      </c>
      <c r="B174" s="3237" t="s">
        <v>4458</v>
      </c>
      <c r="C174" s="3237" t="s">
        <v>3410</v>
      </c>
      <c r="D174" s="3237" t="s">
        <v>4459</v>
      </c>
      <c r="E174" s="3237" t="s">
        <v>4460</v>
      </c>
      <c r="F174" s="3237" t="s">
        <v>4461</v>
      </c>
      <c r="G174" s="3237" t="s">
        <v>4442</v>
      </c>
      <c r="H174" s="3237" t="s">
        <v>3219</v>
      </c>
      <c r="I174" s="3236" t="s">
        <v>4462</v>
      </c>
      <c r="J174" s="3236">
        <v>30.45</v>
      </c>
    </row>
    <row r="175" spans="1:10" ht="11.25" customHeight="1">
      <c r="A175" s="3363">
        <v>169</v>
      </c>
      <c r="B175" s="3237" t="s">
        <v>4458</v>
      </c>
      <c r="C175" s="3237" t="s">
        <v>3411</v>
      </c>
      <c r="D175" s="3237" t="s">
        <v>4459</v>
      </c>
      <c r="E175" s="3237" t="s">
        <v>4460</v>
      </c>
      <c r="F175" s="3237" t="s">
        <v>4461</v>
      </c>
      <c r="G175" s="3237" t="s">
        <v>4442</v>
      </c>
      <c r="H175" s="3237" t="s">
        <v>3219</v>
      </c>
      <c r="I175" s="3236" t="s">
        <v>4462</v>
      </c>
      <c r="J175" s="3236">
        <v>30.45</v>
      </c>
    </row>
    <row r="176" spans="1:10" ht="11.25" customHeight="1">
      <c r="A176" s="3363">
        <v>170</v>
      </c>
      <c r="B176" s="3237" t="s">
        <v>4458</v>
      </c>
      <c r="C176" s="3237" t="s">
        <v>3412</v>
      </c>
      <c r="D176" s="3237" t="s">
        <v>4459</v>
      </c>
      <c r="E176" s="3237" t="s">
        <v>4460</v>
      </c>
      <c r="F176" s="3237" t="s">
        <v>4461</v>
      </c>
      <c r="G176" s="3237" t="s">
        <v>4442</v>
      </c>
      <c r="H176" s="3237" t="s">
        <v>3219</v>
      </c>
      <c r="I176" s="3236" t="s">
        <v>4462</v>
      </c>
      <c r="J176" s="3236">
        <v>30.45</v>
      </c>
    </row>
    <row r="177" spans="1:10" ht="11.25" customHeight="1">
      <c r="A177" s="3363">
        <v>171</v>
      </c>
      <c r="B177" s="3237" t="s">
        <v>4458</v>
      </c>
      <c r="C177" s="3237" t="s">
        <v>3413</v>
      </c>
      <c r="D177" s="3237" t="s">
        <v>4459</v>
      </c>
      <c r="E177" s="3237" t="s">
        <v>4460</v>
      </c>
      <c r="F177" s="3237" t="s">
        <v>4461</v>
      </c>
      <c r="G177" s="3237" t="s">
        <v>4442</v>
      </c>
      <c r="H177" s="3237" t="s">
        <v>3219</v>
      </c>
      <c r="I177" s="3236" t="s">
        <v>4462</v>
      </c>
      <c r="J177" s="3236">
        <v>30.45</v>
      </c>
    </row>
    <row r="178" spans="1:10" ht="11.25" customHeight="1">
      <c r="A178" s="3363">
        <v>172</v>
      </c>
      <c r="B178" s="3237" t="s">
        <v>4458</v>
      </c>
      <c r="C178" s="3237" t="s">
        <v>3414</v>
      </c>
      <c r="D178" s="3237" t="s">
        <v>4459</v>
      </c>
      <c r="E178" s="3237" t="s">
        <v>4460</v>
      </c>
      <c r="F178" s="3237" t="s">
        <v>4461</v>
      </c>
      <c r="G178" s="3237" t="s">
        <v>4442</v>
      </c>
      <c r="H178" s="3237" t="s">
        <v>3219</v>
      </c>
      <c r="I178" s="3236" t="s">
        <v>4462</v>
      </c>
      <c r="J178" s="3236">
        <v>30.45</v>
      </c>
    </row>
    <row r="179" spans="1:10" ht="11.25" customHeight="1">
      <c r="A179" s="3363">
        <v>173</v>
      </c>
      <c r="B179" s="3237" t="s">
        <v>4458</v>
      </c>
      <c r="C179" s="3237" t="s">
        <v>3415</v>
      </c>
      <c r="D179" s="3237" t="s">
        <v>4459</v>
      </c>
      <c r="E179" s="3237" t="s">
        <v>4460</v>
      </c>
      <c r="F179" s="3237" t="s">
        <v>4461</v>
      </c>
      <c r="G179" s="3237" t="s">
        <v>4442</v>
      </c>
      <c r="H179" s="3237" t="s">
        <v>3219</v>
      </c>
      <c r="I179" s="3236" t="s">
        <v>4462</v>
      </c>
      <c r="J179" s="3236">
        <v>30.45</v>
      </c>
    </row>
    <row r="180" spans="1:10" ht="11.25" customHeight="1">
      <c r="A180" s="3363">
        <v>174</v>
      </c>
      <c r="B180" s="3237" t="s">
        <v>4458</v>
      </c>
      <c r="C180" s="3237" t="s">
        <v>3416</v>
      </c>
      <c r="D180" s="3237" t="s">
        <v>4459</v>
      </c>
      <c r="E180" s="3237" t="s">
        <v>4460</v>
      </c>
      <c r="F180" s="3237" t="s">
        <v>4461</v>
      </c>
      <c r="G180" s="3237" t="s">
        <v>4442</v>
      </c>
      <c r="H180" s="3237" t="s">
        <v>3219</v>
      </c>
      <c r="I180" s="3236" t="s">
        <v>4462</v>
      </c>
      <c r="J180" s="3236">
        <v>30.45</v>
      </c>
    </row>
    <row r="181" spans="1:10" ht="11.25" customHeight="1">
      <c r="A181" s="3363">
        <v>175</v>
      </c>
      <c r="B181" s="3237" t="s">
        <v>4458</v>
      </c>
      <c r="C181" s="3237" t="s">
        <v>3417</v>
      </c>
      <c r="D181" s="3237" t="s">
        <v>4459</v>
      </c>
      <c r="E181" s="3237" t="s">
        <v>4460</v>
      </c>
      <c r="F181" s="3237" t="s">
        <v>4461</v>
      </c>
      <c r="G181" s="3237" t="s">
        <v>4442</v>
      </c>
      <c r="H181" s="3237" t="s">
        <v>3219</v>
      </c>
      <c r="I181" s="3236" t="s">
        <v>4462</v>
      </c>
      <c r="J181" s="3236">
        <v>30.45</v>
      </c>
    </row>
    <row r="182" spans="1:10" ht="11.25" customHeight="1">
      <c r="A182" s="3363">
        <v>176</v>
      </c>
      <c r="B182" s="3237" t="s">
        <v>4458</v>
      </c>
      <c r="C182" s="3237" t="s">
        <v>3418</v>
      </c>
      <c r="D182" s="3237" t="s">
        <v>4459</v>
      </c>
      <c r="E182" s="3237" t="s">
        <v>4460</v>
      </c>
      <c r="F182" s="3237" t="s">
        <v>4461</v>
      </c>
      <c r="G182" s="3237" t="s">
        <v>4442</v>
      </c>
      <c r="H182" s="3237" t="s">
        <v>3219</v>
      </c>
      <c r="I182" s="3236" t="s">
        <v>4462</v>
      </c>
      <c r="J182" s="3236">
        <v>30.45</v>
      </c>
    </row>
    <row r="183" spans="1:10" ht="11.25" customHeight="1">
      <c r="A183" s="3363">
        <v>177</v>
      </c>
      <c r="B183" s="3237" t="s">
        <v>4458</v>
      </c>
      <c r="C183" s="3237" t="s">
        <v>3419</v>
      </c>
      <c r="D183" s="3237" t="s">
        <v>4459</v>
      </c>
      <c r="E183" s="3237" t="s">
        <v>4460</v>
      </c>
      <c r="F183" s="3237" t="s">
        <v>4461</v>
      </c>
      <c r="G183" s="3237" t="s">
        <v>4442</v>
      </c>
      <c r="H183" s="3237" t="s">
        <v>3219</v>
      </c>
      <c r="I183" s="3236" t="s">
        <v>4462</v>
      </c>
      <c r="J183" s="3236">
        <v>30.45</v>
      </c>
    </row>
    <row r="184" spans="1:10" ht="11.25" customHeight="1">
      <c r="A184" s="3363">
        <v>178</v>
      </c>
      <c r="B184" s="3237" t="s">
        <v>4458</v>
      </c>
      <c r="C184" s="3237" t="s">
        <v>3420</v>
      </c>
      <c r="D184" s="3237" t="s">
        <v>4459</v>
      </c>
      <c r="E184" s="3237" t="s">
        <v>4460</v>
      </c>
      <c r="F184" s="3237" t="s">
        <v>4461</v>
      </c>
      <c r="G184" s="3237" t="s">
        <v>4442</v>
      </c>
      <c r="H184" s="3237" t="s">
        <v>3219</v>
      </c>
      <c r="I184" s="3236" t="s">
        <v>4462</v>
      </c>
      <c r="J184" s="3236">
        <v>30.45</v>
      </c>
    </row>
    <row r="185" spans="1:10" ht="11.25" customHeight="1">
      <c r="A185" s="3363">
        <v>179</v>
      </c>
      <c r="B185" s="3237" t="s">
        <v>4458</v>
      </c>
      <c r="C185" s="3237" t="s">
        <v>3421</v>
      </c>
      <c r="D185" s="3237" t="s">
        <v>4459</v>
      </c>
      <c r="E185" s="3237" t="s">
        <v>4460</v>
      </c>
      <c r="F185" s="3237" t="s">
        <v>4461</v>
      </c>
      <c r="G185" s="3237" t="s">
        <v>4442</v>
      </c>
      <c r="H185" s="3237" t="s">
        <v>3219</v>
      </c>
      <c r="I185" s="3236" t="s">
        <v>4462</v>
      </c>
      <c r="J185" s="3236">
        <v>30.45</v>
      </c>
    </row>
    <row r="186" spans="1:10" ht="11.25" customHeight="1">
      <c r="A186" s="3363">
        <v>180</v>
      </c>
      <c r="B186" s="3237" t="s">
        <v>4458</v>
      </c>
      <c r="C186" s="3237" t="s">
        <v>3422</v>
      </c>
      <c r="D186" s="3237" t="s">
        <v>4459</v>
      </c>
      <c r="E186" s="3237" t="s">
        <v>4460</v>
      </c>
      <c r="F186" s="3237" t="s">
        <v>4461</v>
      </c>
      <c r="G186" s="3237" t="s">
        <v>4442</v>
      </c>
      <c r="H186" s="3237" t="s">
        <v>3219</v>
      </c>
      <c r="I186" s="3236" t="s">
        <v>4462</v>
      </c>
      <c r="J186" s="3236">
        <v>30.45</v>
      </c>
    </row>
    <row r="187" spans="1:10" ht="11.25" customHeight="1">
      <c r="A187" s="3363">
        <v>181</v>
      </c>
      <c r="B187" s="3237" t="s">
        <v>4458</v>
      </c>
      <c r="C187" s="3237" t="s">
        <v>3423</v>
      </c>
      <c r="D187" s="3237" t="s">
        <v>4459</v>
      </c>
      <c r="E187" s="3237" t="s">
        <v>4460</v>
      </c>
      <c r="F187" s="3237" t="s">
        <v>4461</v>
      </c>
      <c r="G187" s="3237" t="s">
        <v>4442</v>
      </c>
      <c r="H187" s="3237" t="s">
        <v>3219</v>
      </c>
      <c r="I187" s="3236" t="s">
        <v>4462</v>
      </c>
      <c r="J187" s="3236">
        <v>30.45</v>
      </c>
    </row>
    <row r="188" spans="1:10" ht="11.25" customHeight="1">
      <c r="A188" s="3363">
        <v>182</v>
      </c>
      <c r="B188" s="3237" t="s">
        <v>4458</v>
      </c>
      <c r="C188" s="3237" t="s">
        <v>3424</v>
      </c>
      <c r="D188" s="3237" t="s">
        <v>4459</v>
      </c>
      <c r="E188" s="3237" t="s">
        <v>4460</v>
      </c>
      <c r="F188" s="3237" t="s">
        <v>4461</v>
      </c>
      <c r="G188" s="3237" t="s">
        <v>4442</v>
      </c>
      <c r="H188" s="3237" t="s">
        <v>3219</v>
      </c>
      <c r="I188" s="3236" t="s">
        <v>4462</v>
      </c>
      <c r="J188" s="3236">
        <v>30.45</v>
      </c>
    </row>
    <row r="189" spans="1:10" ht="11.25" customHeight="1">
      <c r="A189" s="3363">
        <v>183</v>
      </c>
      <c r="B189" s="3237" t="s">
        <v>4458</v>
      </c>
      <c r="C189" s="3237" t="s">
        <v>3425</v>
      </c>
      <c r="D189" s="3237" t="s">
        <v>4459</v>
      </c>
      <c r="E189" s="3237" t="s">
        <v>4460</v>
      </c>
      <c r="F189" s="3237" t="s">
        <v>4461</v>
      </c>
      <c r="G189" s="3237" t="s">
        <v>4442</v>
      </c>
      <c r="H189" s="3237" t="s">
        <v>3219</v>
      </c>
      <c r="I189" s="3236" t="s">
        <v>4462</v>
      </c>
      <c r="J189" s="3236">
        <v>30.45</v>
      </c>
    </row>
    <row r="190" spans="1:10" ht="11.25" customHeight="1">
      <c r="A190" s="3363">
        <v>184</v>
      </c>
      <c r="B190" s="3237" t="s">
        <v>4458</v>
      </c>
      <c r="C190" s="3237" t="s">
        <v>3426</v>
      </c>
      <c r="D190" s="3237" t="s">
        <v>4459</v>
      </c>
      <c r="E190" s="3237" t="s">
        <v>4460</v>
      </c>
      <c r="F190" s="3237" t="s">
        <v>4461</v>
      </c>
      <c r="G190" s="3237" t="s">
        <v>4442</v>
      </c>
      <c r="H190" s="3237" t="s">
        <v>3219</v>
      </c>
      <c r="I190" s="3236" t="s">
        <v>4462</v>
      </c>
      <c r="J190" s="3236">
        <v>30.45</v>
      </c>
    </row>
    <row r="191" spans="1:10" ht="11.25" customHeight="1">
      <c r="A191" s="3363">
        <v>185</v>
      </c>
      <c r="B191" s="3237" t="s">
        <v>4458</v>
      </c>
      <c r="C191" s="3237" t="s">
        <v>3427</v>
      </c>
      <c r="D191" s="3237" t="s">
        <v>4459</v>
      </c>
      <c r="E191" s="3237" t="s">
        <v>4460</v>
      </c>
      <c r="F191" s="3237" t="s">
        <v>4461</v>
      </c>
      <c r="G191" s="3237" t="s">
        <v>4442</v>
      </c>
      <c r="H191" s="3237" t="s">
        <v>3219</v>
      </c>
      <c r="I191" s="3236" t="s">
        <v>4462</v>
      </c>
      <c r="J191" s="3236">
        <v>30.45</v>
      </c>
    </row>
    <row r="192" spans="1:10" ht="11.25" customHeight="1">
      <c r="A192" s="3363">
        <v>186</v>
      </c>
      <c r="B192" s="3237" t="s">
        <v>4458</v>
      </c>
      <c r="C192" s="3237" t="s">
        <v>3428</v>
      </c>
      <c r="D192" s="3237" t="s">
        <v>4459</v>
      </c>
      <c r="E192" s="3237" t="s">
        <v>4460</v>
      </c>
      <c r="F192" s="3237" t="s">
        <v>4461</v>
      </c>
      <c r="G192" s="3237" t="s">
        <v>4442</v>
      </c>
      <c r="H192" s="3237" t="s">
        <v>3219</v>
      </c>
      <c r="I192" s="3236" t="s">
        <v>4462</v>
      </c>
      <c r="J192" s="3236">
        <v>30.45</v>
      </c>
    </row>
    <row r="193" spans="1:10" ht="11.25" customHeight="1">
      <c r="A193" s="3363">
        <v>187</v>
      </c>
      <c r="B193" s="3237" t="s">
        <v>4458</v>
      </c>
      <c r="C193" s="3237" t="s">
        <v>3429</v>
      </c>
      <c r="D193" s="3237" t="s">
        <v>4459</v>
      </c>
      <c r="E193" s="3237" t="s">
        <v>4460</v>
      </c>
      <c r="F193" s="3237" t="s">
        <v>4461</v>
      </c>
      <c r="G193" s="3237" t="s">
        <v>4442</v>
      </c>
      <c r="H193" s="3237" t="s">
        <v>3219</v>
      </c>
      <c r="I193" s="3236" t="s">
        <v>4462</v>
      </c>
      <c r="J193" s="3236">
        <v>30.45</v>
      </c>
    </row>
    <row r="194" spans="1:10" ht="11.25" customHeight="1">
      <c r="A194" s="3363">
        <v>188</v>
      </c>
      <c r="B194" s="3237" t="s">
        <v>4458</v>
      </c>
      <c r="C194" s="3237" t="s">
        <v>3430</v>
      </c>
      <c r="D194" s="3237" t="s">
        <v>4459</v>
      </c>
      <c r="E194" s="3237" t="s">
        <v>4460</v>
      </c>
      <c r="F194" s="3237" t="s">
        <v>4461</v>
      </c>
      <c r="G194" s="3237" t="s">
        <v>4442</v>
      </c>
      <c r="H194" s="3237" t="s">
        <v>3219</v>
      </c>
      <c r="I194" s="3236" t="s">
        <v>4462</v>
      </c>
      <c r="J194" s="3236">
        <v>30.45</v>
      </c>
    </row>
    <row r="195" spans="1:10" ht="11.25" customHeight="1">
      <c r="A195" s="3363">
        <v>189</v>
      </c>
      <c r="B195" s="3237" t="s">
        <v>4458</v>
      </c>
      <c r="C195" s="3237" t="s">
        <v>3431</v>
      </c>
      <c r="D195" s="3237" t="s">
        <v>4459</v>
      </c>
      <c r="E195" s="3237" t="s">
        <v>4460</v>
      </c>
      <c r="F195" s="3237" t="s">
        <v>4461</v>
      </c>
      <c r="G195" s="3237" t="s">
        <v>4442</v>
      </c>
      <c r="H195" s="3237" t="s">
        <v>3219</v>
      </c>
      <c r="I195" s="3236" t="s">
        <v>4462</v>
      </c>
      <c r="J195" s="3236">
        <v>30.45</v>
      </c>
    </row>
    <row r="196" spans="1:10" ht="11.25" customHeight="1">
      <c r="A196" s="3363">
        <v>190</v>
      </c>
      <c r="B196" s="3237" t="s">
        <v>4458</v>
      </c>
      <c r="C196" s="3237" t="s">
        <v>3432</v>
      </c>
      <c r="D196" s="3237" t="s">
        <v>4459</v>
      </c>
      <c r="E196" s="3237" t="s">
        <v>4460</v>
      </c>
      <c r="F196" s="3237" t="s">
        <v>4461</v>
      </c>
      <c r="G196" s="3237" t="s">
        <v>4442</v>
      </c>
      <c r="H196" s="3237" t="s">
        <v>3219</v>
      </c>
      <c r="I196" s="3236" t="s">
        <v>4462</v>
      </c>
      <c r="J196" s="3236">
        <v>30.45</v>
      </c>
    </row>
    <row r="197" spans="1:10" ht="11.25" customHeight="1">
      <c r="A197" s="3363">
        <v>191</v>
      </c>
      <c r="B197" s="3237" t="s">
        <v>4458</v>
      </c>
      <c r="C197" s="3237" t="s">
        <v>3433</v>
      </c>
      <c r="D197" s="3237" t="s">
        <v>4459</v>
      </c>
      <c r="E197" s="3237" t="s">
        <v>4460</v>
      </c>
      <c r="F197" s="3237" t="s">
        <v>4461</v>
      </c>
      <c r="G197" s="3237" t="s">
        <v>4442</v>
      </c>
      <c r="H197" s="3237" t="s">
        <v>3219</v>
      </c>
      <c r="I197" s="3236" t="s">
        <v>4462</v>
      </c>
      <c r="J197" s="3236">
        <v>30.45</v>
      </c>
    </row>
    <row r="198" spans="1:10" ht="11.25" customHeight="1">
      <c r="A198" s="3363">
        <v>192</v>
      </c>
      <c r="B198" s="3237" t="s">
        <v>4458</v>
      </c>
      <c r="C198" s="3237" t="s">
        <v>3434</v>
      </c>
      <c r="D198" s="3237" t="s">
        <v>4459</v>
      </c>
      <c r="E198" s="3237" t="s">
        <v>4460</v>
      </c>
      <c r="F198" s="3237" t="s">
        <v>4461</v>
      </c>
      <c r="G198" s="3237" t="s">
        <v>4442</v>
      </c>
      <c r="H198" s="3237" t="s">
        <v>3219</v>
      </c>
      <c r="I198" s="3236" t="s">
        <v>4462</v>
      </c>
      <c r="J198" s="3236">
        <v>30.45</v>
      </c>
    </row>
    <row r="199" spans="1:10" ht="11.25" customHeight="1">
      <c r="A199" s="3363">
        <v>193</v>
      </c>
      <c r="B199" s="3237" t="s">
        <v>4458</v>
      </c>
      <c r="C199" s="3237" t="s">
        <v>3435</v>
      </c>
      <c r="D199" s="3237" t="s">
        <v>4459</v>
      </c>
      <c r="E199" s="3237" t="s">
        <v>4460</v>
      </c>
      <c r="F199" s="3237" t="s">
        <v>4461</v>
      </c>
      <c r="G199" s="3237" t="s">
        <v>4442</v>
      </c>
      <c r="H199" s="3237" t="s">
        <v>3219</v>
      </c>
      <c r="I199" s="3236" t="s">
        <v>4462</v>
      </c>
      <c r="J199" s="3236">
        <v>30.45</v>
      </c>
    </row>
    <row r="200" spans="1:10" ht="11.25" customHeight="1">
      <c r="A200" s="3363">
        <v>194</v>
      </c>
      <c r="B200" s="3237" t="s">
        <v>4458</v>
      </c>
      <c r="C200" s="3237" t="s">
        <v>3436</v>
      </c>
      <c r="D200" s="3237" t="s">
        <v>4459</v>
      </c>
      <c r="E200" s="3237" t="s">
        <v>4460</v>
      </c>
      <c r="F200" s="3237" t="s">
        <v>4461</v>
      </c>
      <c r="G200" s="3237" t="s">
        <v>4442</v>
      </c>
      <c r="H200" s="3237" t="s">
        <v>3219</v>
      </c>
      <c r="I200" s="3236" t="s">
        <v>4462</v>
      </c>
      <c r="J200" s="3236">
        <v>30.45</v>
      </c>
    </row>
    <row r="201" spans="1:10" ht="11.25" customHeight="1">
      <c r="A201" s="3363">
        <v>195</v>
      </c>
      <c r="B201" s="3237" t="s">
        <v>4458</v>
      </c>
      <c r="C201" s="3237" t="s">
        <v>3437</v>
      </c>
      <c r="D201" s="3237" t="s">
        <v>4459</v>
      </c>
      <c r="E201" s="3237" t="s">
        <v>4460</v>
      </c>
      <c r="F201" s="3237" t="s">
        <v>4461</v>
      </c>
      <c r="G201" s="3237" t="s">
        <v>4442</v>
      </c>
      <c r="H201" s="3237" t="s">
        <v>3219</v>
      </c>
      <c r="I201" s="3236" t="s">
        <v>4462</v>
      </c>
      <c r="J201" s="3236">
        <v>30.45</v>
      </c>
    </row>
    <row r="202" spans="1:10" ht="11.25" customHeight="1">
      <c r="A202" s="3363">
        <v>196</v>
      </c>
      <c r="B202" s="3237" t="s">
        <v>4458</v>
      </c>
      <c r="C202" s="3237" t="s">
        <v>3438</v>
      </c>
      <c r="D202" s="3237" t="s">
        <v>4459</v>
      </c>
      <c r="E202" s="3237" t="s">
        <v>4460</v>
      </c>
      <c r="F202" s="3237" t="s">
        <v>4461</v>
      </c>
      <c r="G202" s="3237" t="s">
        <v>4442</v>
      </c>
      <c r="H202" s="3237" t="s">
        <v>3219</v>
      </c>
      <c r="I202" s="3236" t="s">
        <v>4462</v>
      </c>
      <c r="J202" s="3236">
        <v>30.45</v>
      </c>
    </row>
    <row r="203" spans="1:10" ht="11.25" customHeight="1">
      <c r="A203" s="3363">
        <v>197</v>
      </c>
      <c r="B203" s="3237" t="s">
        <v>4458</v>
      </c>
      <c r="C203" s="3237" t="s">
        <v>3439</v>
      </c>
      <c r="D203" s="3237" t="s">
        <v>4459</v>
      </c>
      <c r="E203" s="3237" t="s">
        <v>4460</v>
      </c>
      <c r="F203" s="3237" t="s">
        <v>4461</v>
      </c>
      <c r="G203" s="3237" t="s">
        <v>4442</v>
      </c>
      <c r="H203" s="3237" t="s">
        <v>3219</v>
      </c>
      <c r="I203" s="3236" t="s">
        <v>4462</v>
      </c>
      <c r="J203" s="3236">
        <v>30.45</v>
      </c>
    </row>
    <row r="204" spans="1:10" ht="11.25" customHeight="1">
      <c r="A204" s="3363">
        <v>198</v>
      </c>
      <c r="B204" s="3237" t="s">
        <v>4458</v>
      </c>
      <c r="C204" s="3237" t="s">
        <v>3440</v>
      </c>
      <c r="D204" s="3237" t="s">
        <v>4459</v>
      </c>
      <c r="E204" s="3237" t="s">
        <v>4460</v>
      </c>
      <c r="F204" s="3237" t="s">
        <v>4461</v>
      </c>
      <c r="G204" s="3237" t="s">
        <v>4442</v>
      </c>
      <c r="H204" s="3237" t="s">
        <v>3219</v>
      </c>
      <c r="I204" s="3236" t="s">
        <v>4462</v>
      </c>
      <c r="J204" s="3236">
        <v>30.45</v>
      </c>
    </row>
    <row r="205" spans="1:10" ht="11.25" customHeight="1">
      <c r="A205" s="3363">
        <v>199</v>
      </c>
      <c r="B205" s="3237" t="s">
        <v>4458</v>
      </c>
      <c r="C205" s="3237" t="s">
        <v>3441</v>
      </c>
      <c r="D205" s="3237" t="s">
        <v>4459</v>
      </c>
      <c r="E205" s="3237" t="s">
        <v>4460</v>
      </c>
      <c r="F205" s="3237" t="s">
        <v>4461</v>
      </c>
      <c r="G205" s="3237" t="s">
        <v>4442</v>
      </c>
      <c r="H205" s="3237" t="s">
        <v>3219</v>
      </c>
      <c r="I205" s="3236" t="s">
        <v>4462</v>
      </c>
      <c r="J205" s="3236">
        <v>30.45</v>
      </c>
    </row>
    <row r="206" spans="1:10" ht="11.25" customHeight="1">
      <c r="A206" s="3363">
        <v>200</v>
      </c>
      <c r="B206" s="3237" t="s">
        <v>4458</v>
      </c>
      <c r="C206" s="3237" t="s">
        <v>3442</v>
      </c>
      <c r="D206" s="3237" t="s">
        <v>4459</v>
      </c>
      <c r="E206" s="3237" t="s">
        <v>4460</v>
      </c>
      <c r="F206" s="3237" t="s">
        <v>4461</v>
      </c>
      <c r="G206" s="3237" t="s">
        <v>4442</v>
      </c>
      <c r="H206" s="3237" t="s">
        <v>3219</v>
      </c>
      <c r="I206" s="3236" t="s">
        <v>4462</v>
      </c>
      <c r="J206" s="3236">
        <v>30.45</v>
      </c>
    </row>
    <row r="207" spans="1:10" ht="11.25" customHeight="1">
      <c r="A207" s="3363">
        <v>201</v>
      </c>
      <c r="B207" s="3237" t="s">
        <v>4458</v>
      </c>
      <c r="C207" s="3237" t="s">
        <v>3443</v>
      </c>
      <c r="D207" s="3237" t="s">
        <v>4459</v>
      </c>
      <c r="E207" s="3237" t="s">
        <v>4460</v>
      </c>
      <c r="F207" s="3237" t="s">
        <v>4461</v>
      </c>
      <c r="G207" s="3237" t="s">
        <v>4442</v>
      </c>
      <c r="H207" s="3237" t="s">
        <v>3219</v>
      </c>
      <c r="I207" s="3236" t="s">
        <v>4462</v>
      </c>
      <c r="J207" s="3236">
        <v>30.45</v>
      </c>
    </row>
    <row r="208" spans="1:10" ht="11.25" customHeight="1">
      <c r="A208" s="3363">
        <v>202</v>
      </c>
      <c r="B208" s="3237" t="s">
        <v>4458</v>
      </c>
      <c r="C208" s="3237" t="s">
        <v>3444</v>
      </c>
      <c r="D208" s="3237" t="s">
        <v>4459</v>
      </c>
      <c r="E208" s="3237" t="s">
        <v>4460</v>
      </c>
      <c r="F208" s="3237" t="s">
        <v>4461</v>
      </c>
      <c r="G208" s="3237" t="s">
        <v>4442</v>
      </c>
      <c r="H208" s="3237" t="s">
        <v>3219</v>
      </c>
      <c r="I208" s="3236" t="s">
        <v>4462</v>
      </c>
      <c r="J208" s="3236">
        <v>30.45</v>
      </c>
    </row>
    <row r="209" spans="1:10" ht="11.25" customHeight="1">
      <c r="A209" s="3363">
        <v>203</v>
      </c>
      <c r="B209" s="3237" t="s">
        <v>4458</v>
      </c>
      <c r="C209" s="3237" t="s">
        <v>3445</v>
      </c>
      <c r="D209" s="3237" t="s">
        <v>4459</v>
      </c>
      <c r="E209" s="3237" t="s">
        <v>4460</v>
      </c>
      <c r="F209" s="3237" t="s">
        <v>4461</v>
      </c>
      <c r="G209" s="3237" t="s">
        <v>4442</v>
      </c>
      <c r="H209" s="3237" t="s">
        <v>3219</v>
      </c>
      <c r="I209" s="3236" t="s">
        <v>4462</v>
      </c>
      <c r="J209" s="3236">
        <v>30.45</v>
      </c>
    </row>
    <row r="210" spans="1:10" ht="11.25" customHeight="1">
      <c r="A210" s="3363">
        <v>204</v>
      </c>
      <c r="B210" s="3237" t="s">
        <v>4458</v>
      </c>
      <c r="C210" s="3237" t="s">
        <v>3446</v>
      </c>
      <c r="D210" s="3237" t="s">
        <v>4459</v>
      </c>
      <c r="E210" s="3237" t="s">
        <v>4460</v>
      </c>
      <c r="F210" s="3237" t="s">
        <v>4461</v>
      </c>
      <c r="G210" s="3237" t="s">
        <v>4442</v>
      </c>
      <c r="H210" s="3237" t="s">
        <v>3219</v>
      </c>
      <c r="I210" s="3236" t="s">
        <v>4462</v>
      </c>
      <c r="J210" s="3236">
        <v>30.45</v>
      </c>
    </row>
    <row r="211" spans="1:10" ht="11.25" customHeight="1">
      <c r="A211" s="3363">
        <v>205</v>
      </c>
      <c r="B211" s="3237" t="s">
        <v>4458</v>
      </c>
      <c r="C211" s="3237" t="s">
        <v>3447</v>
      </c>
      <c r="D211" s="3237" t="s">
        <v>4459</v>
      </c>
      <c r="E211" s="3237" t="s">
        <v>4460</v>
      </c>
      <c r="F211" s="3237" t="s">
        <v>4461</v>
      </c>
      <c r="G211" s="3237" t="s">
        <v>4442</v>
      </c>
      <c r="H211" s="3237" t="s">
        <v>3219</v>
      </c>
      <c r="I211" s="3236" t="s">
        <v>4462</v>
      </c>
      <c r="J211" s="3236">
        <v>30.45</v>
      </c>
    </row>
    <row r="212" spans="1:10" ht="11.25" customHeight="1">
      <c r="A212" s="3363">
        <v>206</v>
      </c>
      <c r="B212" s="3237" t="s">
        <v>4458</v>
      </c>
      <c r="C212" s="3237" t="s">
        <v>3448</v>
      </c>
      <c r="D212" s="3237" t="s">
        <v>4459</v>
      </c>
      <c r="E212" s="3237" t="s">
        <v>4460</v>
      </c>
      <c r="F212" s="3237" t="s">
        <v>4461</v>
      </c>
      <c r="G212" s="3237" t="s">
        <v>4442</v>
      </c>
      <c r="H212" s="3237" t="s">
        <v>3219</v>
      </c>
      <c r="I212" s="3236" t="s">
        <v>4462</v>
      </c>
      <c r="J212" s="3236">
        <v>30.45</v>
      </c>
    </row>
    <row r="213" spans="1:10" ht="11.25" customHeight="1">
      <c r="A213" s="3363">
        <v>207</v>
      </c>
      <c r="B213" s="3237" t="s">
        <v>4458</v>
      </c>
      <c r="C213" s="3237" t="s">
        <v>3449</v>
      </c>
      <c r="D213" s="3237" t="s">
        <v>4459</v>
      </c>
      <c r="E213" s="3237" t="s">
        <v>4460</v>
      </c>
      <c r="F213" s="3237" t="s">
        <v>4461</v>
      </c>
      <c r="G213" s="3237" t="s">
        <v>4442</v>
      </c>
      <c r="H213" s="3237" t="s">
        <v>3219</v>
      </c>
      <c r="I213" s="3236" t="s">
        <v>4462</v>
      </c>
      <c r="J213" s="3236">
        <v>30.45</v>
      </c>
    </row>
    <row r="214" spans="1:10" ht="11.25" customHeight="1">
      <c r="A214" s="3363">
        <v>208</v>
      </c>
      <c r="B214" s="3237" t="s">
        <v>4458</v>
      </c>
      <c r="C214" s="3237" t="s">
        <v>3450</v>
      </c>
      <c r="D214" s="3237" t="s">
        <v>4459</v>
      </c>
      <c r="E214" s="3237" t="s">
        <v>4460</v>
      </c>
      <c r="F214" s="3237" t="s">
        <v>4461</v>
      </c>
      <c r="G214" s="3237" t="s">
        <v>4442</v>
      </c>
      <c r="H214" s="3237" t="s">
        <v>3219</v>
      </c>
      <c r="I214" s="3236" t="s">
        <v>4462</v>
      </c>
      <c r="J214" s="3236">
        <v>30.45</v>
      </c>
    </row>
    <row r="215" spans="1:10" ht="11.25" customHeight="1">
      <c r="A215" s="3363">
        <v>209</v>
      </c>
      <c r="B215" s="3237" t="s">
        <v>4458</v>
      </c>
      <c r="C215" s="3237" t="s">
        <v>3451</v>
      </c>
      <c r="D215" s="3237" t="s">
        <v>4459</v>
      </c>
      <c r="E215" s="3237" t="s">
        <v>4460</v>
      </c>
      <c r="F215" s="3237" t="s">
        <v>4461</v>
      </c>
      <c r="G215" s="3237" t="s">
        <v>4442</v>
      </c>
      <c r="H215" s="3237" t="s">
        <v>3219</v>
      </c>
      <c r="I215" s="3236" t="s">
        <v>4462</v>
      </c>
      <c r="J215" s="3236">
        <v>30.45</v>
      </c>
    </row>
    <row r="216" spans="1:10" ht="11.25" customHeight="1">
      <c r="A216" s="3363">
        <v>210</v>
      </c>
      <c r="B216" s="3237" t="s">
        <v>4458</v>
      </c>
      <c r="C216" s="3237" t="s">
        <v>3452</v>
      </c>
      <c r="D216" s="3237" t="s">
        <v>4459</v>
      </c>
      <c r="E216" s="3237" t="s">
        <v>4460</v>
      </c>
      <c r="F216" s="3237" t="s">
        <v>4461</v>
      </c>
      <c r="G216" s="3237" t="s">
        <v>4442</v>
      </c>
      <c r="H216" s="3237" t="s">
        <v>3219</v>
      </c>
      <c r="I216" s="3236" t="s">
        <v>4462</v>
      </c>
      <c r="J216" s="3236">
        <v>30.45</v>
      </c>
    </row>
    <row r="217" spans="1:10" ht="11.25" customHeight="1">
      <c r="A217" s="3363">
        <v>211</v>
      </c>
      <c r="B217" s="3237" t="s">
        <v>4458</v>
      </c>
      <c r="C217" s="3237" t="s">
        <v>3453</v>
      </c>
      <c r="D217" s="3237" t="s">
        <v>4459</v>
      </c>
      <c r="E217" s="3237" t="s">
        <v>4460</v>
      </c>
      <c r="F217" s="3237" t="s">
        <v>4461</v>
      </c>
      <c r="G217" s="3237" t="s">
        <v>4442</v>
      </c>
      <c r="H217" s="3237" t="s">
        <v>3219</v>
      </c>
      <c r="I217" s="3236" t="s">
        <v>4462</v>
      </c>
      <c r="J217" s="3236">
        <v>30.45</v>
      </c>
    </row>
    <row r="218" spans="1:10" ht="11.25" customHeight="1">
      <c r="A218" s="3363">
        <v>212</v>
      </c>
      <c r="B218" s="3237" t="s">
        <v>4458</v>
      </c>
      <c r="C218" s="3237" t="s">
        <v>3454</v>
      </c>
      <c r="D218" s="3237" t="s">
        <v>4459</v>
      </c>
      <c r="E218" s="3237" t="s">
        <v>4460</v>
      </c>
      <c r="F218" s="3237" t="s">
        <v>4461</v>
      </c>
      <c r="G218" s="3237" t="s">
        <v>4442</v>
      </c>
      <c r="H218" s="3237" t="s">
        <v>3219</v>
      </c>
      <c r="I218" s="3236" t="s">
        <v>4462</v>
      </c>
      <c r="J218" s="3236">
        <v>30.45</v>
      </c>
    </row>
    <row r="219" spans="1:10" ht="11.25" customHeight="1">
      <c r="A219" s="3363">
        <v>213</v>
      </c>
      <c r="B219" s="3237" t="s">
        <v>4458</v>
      </c>
      <c r="C219" s="3237" t="s">
        <v>3455</v>
      </c>
      <c r="D219" s="3237" t="s">
        <v>4459</v>
      </c>
      <c r="E219" s="3237" t="s">
        <v>4460</v>
      </c>
      <c r="F219" s="3237" t="s">
        <v>4461</v>
      </c>
      <c r="G219" s="3237" t="s">
        <v>4442</v>
      </c>
      <c r="H219" s="3237" t="s">
        <v>3219</v>
      </c>
      <c r="I219" s="3236" t="s">
        <v>4462</v>
      </c>
      <c r="J219" s="3236">
        <v>30.45</v>
      </c>
    </row>
    <row r="220" spans="1:10" ht="11.25" customHeight="1">
      <c r="A220" s="3363">
        <v>214</v>
      </c>
      <c r="B220" s="3237" t="s">
        <v>4458</v>
      </c>
      <c r="C220" s="3237" t="s">
        <v>3456</v>
      </c>
      <c r="D220" s="3237" t="s">
        <v>4459</v>
      </c>
      <c r="E220" s="3237" t="s">
        <v>4460</v>
      </c>
      <c r="F220" s="3237" t="s">
        <v>4461</v>
      </c>
      <c r="G220" s="3237" t="s">
        <v>4442</v>
      </c>
      <c r="H220" s="3237" t="s">
        <v>3219</v>
      </c>
      <c r="I220" s="3236" t="s">
        <v>4462</v>
      </c>
      <c r="J220" s="3236">
        <v>30.45</v>
      </c>
    </row>
    <row r="221" spans="1:10" ht="11.25" customHeight="1">
      <c r="A221" s="3363">
        <v>215</v>
      </c>
      <c r="B221" s="3237" t="s">
        <v>4458</v>
      </c>
      <c r="C221" s="3237" t="s">
        <v>3457</v>
      </c>
      <c r="D221" s="3237" t="s">
        <v>4459</v>
      </c>
      <c r="E221" s="3237" t="s">
        <v>4460</v>
      </c>
      <c r="F221" s="3237" t="s">
        <v>4461</v>
      </c>
      <c r="G221" s="3237" t="s">
        <v>4442</v>
      </c>
      <c r="H221" s="3237" t="s">
        <v>3219</v>
      </c>
      <c r="I221" s="3236" t="s">
        <v>4462</v>
      </c>
      <c r="J221" s="3236">
        <v>30.45</v>
      </c>
    </row>
    <row r="222" spans="1:10" ht="11.25" customHeight="1">
      <c r="A222" s="3363">
        <v>216</v>
      </c>
      <c r="B222" s="3237" t="s">
        <v>4458</v>
      </c>
      <c r="C222" s="3237" t="s">
        <v>3458</v>
      </c>
      <c r="D222" s="3237" t="s">
        <v>4459</v>
      </c>
      <c r="E222" s="3237" t="s">
        <v>4460</v>
      </c>
      <c r="F222" s="3237" t="s">
        <v>4461</v>
      </c>
      <c r="G222" s="3237" t="s">
        <v>4442</v>
      </c>
      <c r="H222" s="3237" t="s">
        <v>3219</v>
      </c>
      <c r="I222" s="3236" t="s">
        <v>4462</v>
      </c>
      <c r="J222" s="3236">
        <v>30.45</v>
      </c>
    </row>
    <row r="223" spans="1:10" ht="11.25" customHeight="1">
      <c r="A223" s="3363">
        <v>217</v>
      </c>
      <c r="B223" s="3237" t="s">
        <v>4458</v>
      </c>
      <c r="C223" s="3237" t="s">
        <v>3459</v>
      </c>
      <c r="D223" s="3237" t="s">
        <v>4459</v>
      </c>
      <c r="E223" s="3237" t="s">
        <v>4460</v>
      </c>
      <c r="F223" s="3237" t="s">
        <v>4461</v>
      </c>
      <c r="G223" s="3237" t="s">
        <v>4442</v>
      </c>
      <c r="H223" s="3237" t="s">
        <v>3219</v>
      </c>
      <c r="I223" s="3236" t="s">
        <v>4462</v>
      </c>
      <c r="J223" s="3236">
        <v>30.45</v>
      </c>
    </row>
    <row r="224" spans="1:10" ht="11.25" customHeight="1">
      <c r="A224" s="3363">
        <v>218</v>
      </c>
      <c r="B224" s="3237" t="s">
        <v>4458</v>
      </c>
      <c r="C224" s="3237" t="s">
        <v>3460</v>
      </c>
      <c r="D224" s="3237" t="s">
        <v>4459</v>
      </c>
      <c r="E224" s="3237" t="s">
        <v>4460</v>
      </c>
      <c r="F224" s="3237" t="s">
        <v>4461</v>
      </c>
      <c r="G224" s="3237" t="s">
        <v>4442</v>
      </c>
      <c r="H224" s="3237" t="s">
        <v>3219</v>
      </c>
      <c r="I224" s="3236" t="s">
        <v>4462</v>
      </c>
      <c r="J224" s="3236">
        <v>30.45</v>
      </c>
    </row>
    <row r="225" spans="1:10" ht="11.25" customHeight="1">
      <c r="A225" s="3363">
        <v>219</v>
      </c>
      <c r="B225" s="3237" t="s">
        <v>4458</v>
      </c>
      <c r="C225" s="3237" t="s">
        <v>3461</v>
      </c>
      <c r="D225" s="3237" t="s">
        <v>4459</v>
      </c>
      <c r="E225" s="3237" t="s">
        <v>4460</v>
      </c>
      <c r="F225" s="3237" t="s">
        <v>4461</v>
      </c>
      <c r="G225" s="3237" t="s">
        <v>4442</v>
      </c>
      <c r="H225" s="3237" t="s">
        <v>3219</v>
      </c>
      <c r="I225" s="3236" t="s">
        <v>4462</v>
      </c>
      <c r="J225" s="3236">
        <v>30.45</v>
      </c>
    </row>
    <row r="226" spans="1:10" ht="11.25" customHeight="1">
      <c r="A226" s="3363">
        <v>220</v>
      </c>
      <c r="B226" s="3237" t="s">
        <v>4458</v>
      </c>
      <c r="C226" s="3237" t="s">
        <v>3462</v>
      </c>
      <c r="D226" s="3237" t="s">
        <v>4459</v>
      </c>
      <c r="E226" s="3237" t="s">
        <v>4460</v>
      </c>
      <c r="F226" s="3237" t="s">
        <v>4461</v>
      </c>
      <c r="G226" s="3237" t="s">
        <v>4442</v>
      </c>
      <c r="H226" s="3237" t="s">
        <v>3219</v>
      </c>
      <c r="I226" s="3236" t="s">
        <v>4462</v>
      </c>
      <c r="J226" s="3236">
        <v>30.45</v>
      </c>
    </row>
    <row r="227" spans="1:10" ht="11.25" customHeight="1">
      <c r="A227" s="3363">
        <v>221</v>
      </c>
      <c r="B227" s="3237" t="s">
        <v>4458</v>
      </c>
      <c r="C227" s="3237" t="s">
        <v>3463</v>
      </c>
      <c r="D227" s="3237" t="s">
        <v>4459</v>
      </c>
      <c r="E227" s="3237" t="s">
        <v>4460</v>
      </c>
      <c r="F227" s="3237" t="s">
        <v>4461</v>
      </c>
      <c r="G227" s="3237" t="s">
        <v>4442</v>
      </c>
      <c r="H227" s="3237" t="s">
        <v>3219</v>
      </c>
      <c r="I227" s="3236" t="s">
        <v>4462</v>
      </c>
      <c r="J227" s="3236">
        <v>30.45</v>
      </c>
    </row>
    <row r="228" spans="1:10" ht="11.25" customHeight="1">
      <c r="A228" s="3363">
        <v>222</v>
      </c>
      <c r="B228" s="3237" t="s">
        <v>4458</v>
      </c>
      <c r="C228" s="3237" t="s">
        <v>3464</v>
      </c>
      <c r="D228" s="3237" t="s">
        <v>4459</v>
      </c>
      <c r="E228" s="3237" t="s">
        <v>4460</v>
      </c>
      <c r="F228" s="3237" t="s">
        <v>4461</v>
      </c>
      <c r="G228" s="3237" t="s">
        <v>4442</v>
      </c>
      <c r="H228" s="3237" t="s">
        <v>3219</v>
      </c>
      <c r="I228" s="3236" t="s">
        <v>4462</v>
      </c>
      <c r="J228" s="3236">
        <v>30.45</v>
      </c>
    </row>
    <row r="229" spans="1:10" ht="11.25" customHeight="1">
      <c r="A229" s="3363">
        <v>223</v>
      </c>
      <c r="B229" s="3237" t="s">
        <v>4458</v>
      </c>
      <c r="C229" s="3237" t="s">
        <v>3465</v>
      </c>
      <c r="D229" s="3237" t="s">
        <v>4459</v>
      </c>
      <c r="E229" s="3237" t="s">
        <v>4460</v>
      </c>
      <c r="F229" s="3237" t="s">
        <v>4461</v>
      </c>
      <c r="G229" s="3237" t="s">
        <v>4442</v>
      </c>
      <c r="H229" s="3237" t="s">
        <v>3219</v>
      </c>
      <c r="I229" s="3236" t="s">
        <v>4462</v>
      </c>
      <c r="J229" s="3236">
        <v>30.45</v>
      </c>
    </row>
    <row r="230" spans="1:10" ht="11.25" customHeight="1">
      <c r="A230" s="3363">
        <v>224</v>
      </c>
      <c r="B230" s="3237" t="s">
        <v>4458</v>
      </c>
      <c r="C230" s="3237" t="s">
        <v>3466</v>
      </c>
      <c r="D230" s="3237" t="s">
        <v>4459</v>
      </c>
      <c r="E230" s="3237" t="s">
        <v>4460</v>
      </c>
      <c r="F230" s="3237" t="s">
        <v>4461</v>
      </c>
      <c r="G230" s="3237" t="s">
        <v>4442</v>
      </c>
      <c r="H230" s="3237" t="s">
        <v>3219</v>
      </c>
      <c r="I230" s="3236" t="s">
        <v>4462</v>
      </c>
      <c r="J230" s="3236">
        <v>30.45</v>
      </c>
    </row>
    <row r="231" spans="1:10" ht="11.25" customHeight="1">
      <c r="A231" s="3363">
        <v>225</v>
      </c>
      <c r="B231" s="3237" t="s">
        <v>4458</v>
      </c>
      <c r="C231" s="3237" t="s">
        <v>3467</v>
      </c>
      <c r="D231" s="3237" t="s">
        <v>4459</v>
      </c>
      <c r="E231" s="3237" t="s">
        <v>4460</v>
      </c>
      <c r="F231" s="3237" t="s">
        <v>4461</v>
      </c>
      <c r="G231" s="3237" t="s">
        <v>4442</v>
      </c>
      <c r="H231" s="3237" t="s">
        <v>3219</v>
      </c>
      <c r="I231" s="3236" t="s">
        <v>4462</v>
      </c>
      <c r="J231" s="3236">
        <v>42.51</v>
      </c>
    </row>
    <row r="232" spans="1:10" ht="11.25" customHeight="1">
      <c r="A232" s="3363">
        <v>226</v>
      </c>
      <c r="B232" s="3237" t="s">
        <v>4458</v>
      </c>
      <c r="C232" s="3237" t="s">
        <v>3468</v>
      </c>
      <c r="D232" s="3237" t="s">
        <v>4459</v>
      </c>
      <c r="E232" s="3237" t="s">
        <v>4460</v>
      </c>
      <c r="F232" s="3237" t="s">
        <v>4461</v>
      </c>
      <c r="G232" s="3237" t="s">
        <v>4442</v>
      </c>
      <c r="H232" s="3237" t="s">
        <v>3219</v>
      </c>
      <c r="I232" s="3236" t="s">
        <v>4462</v>
      </c>
      <c r="J232" s="3236">
        <v>30.45</v>
      </c>
    </row>
    <row r="233" spans="1:10" ht="11.25" customHeight="1">
      <c r="A233" s="3363">
        <v>227</v>
      </c>
      <c r="B233" s="3237" t="s">
        <v>4458</v>
      </c>
      <c r="C233" s="3237" t="s">
        <v>3469</v>
      </c>
      <c r="D233" s="3237" t="s">
        <v>4459</v>
      </c>
      <c r="E233" s="3237" t="s">
        <v>4460</v>
      </c>
      <c r="F233" s="3237" t="s">
        <v>4461</v>
      </c>
      <c r="G233" s="3237" t="s">
        <v>4442</v>
      </c>
      <c r="H233" s="3237" t="s">
        <v>3219</v>
      </c>
      <c r="I233" s="3236" t="s">
        <v>4462</v>
      </c>
      <c r="J233" s="3236">
        <v>30.45</v>
      </c>
    </row>
    <row r="234" spans="1:10" ht="11.25" customHeight="1">
      <c r="A234" s="3363">
        <v>228</v>
      </c>
      <c r="B234" s="3237" t="s">
        <v>4458</v>
      </c>
      <c r="C234" s="3237" t="s">
        <v>3470</v>
      </c>
      <c r="D234" s="3237" t="s">
        <v>4459</v>
      </c>
      <c r="E234" s="3237" t="s">
        <v>4460</v>
      </c>
      <c r="F234" s="3237" t="s">
        <v>4461</v>
      </c>
      <c r="G234" s="3237" t="s">
        <v>4442</v>
      </c>
      <c r="H234" s="3237" t="s">
        <v>3219</v>
      </c>
      <c r="I234" s="3236" t="s">
        <v>4462</v>
      </c>
      <c r="J234" s="3236">
        <v>30.45</v>
      </c>
    </row>
    <row r="235" spans="1:10" ht="11.25" customHeight="1">
      <c r="A235" s="3363">
        <v>229</v>
      </c>
      <c r="B235" s="3237" t="s">
        <v>4458</v>
      </c>
      <c r="C235" s="3237" t="s">
        <v>3471</v>
      </c>
      <c r="D235" s="3237" t="s">
        <v>4459</v>
      </c>
      <c r="E235" s="3237" t="s">
        <v>4460</v>
      </c>
      <c r="F235" s="3237" t="s">
        <v>4461</v>
      </c>
      <c r="G235" s="3237" t="s">
        <v>4442</v>
      </c>
      <c r="H235" s="3237" t="s">
        <v>3219</v>
      </c>
      <c r="I235" s="3236" t="s">
        <v>4462</v>
      </c>
      <c r="J235" s="3236">
        <v>30.45</v>
      </c>
    </row>
    <row r="236" spans="1:10" ht="11.25" customHeight="1">
      <c r="A236" s="3363">
        <v>230</v>
      </c>
      <c r="B236" s="3237" t="s">
        <v>4458</v>
      </c>
      <c r="C236" s="3237" t="s">
        <v>3472</v>
      </c>
      <c r="D236" s="3237" t="s">
        <v>4459</v>
      </c>
      <c r="E236" s="3237" t="s">
        <v>4460</v>
      </c>
      <c r="F236" s="3237" t="s">
        <v>4461</v>
      </c>
      <c r="G236" s="3237" t="s">
        <v>4442</v>
      </c>
      <c r="H236" s="3237" t="s">
        <v>3219</v>
      </c>
      <c r="I236" s="3236" t="s">
        <v>4462</v>
      </c>
      <c r="J236" s="3236">
        <v>30.45</v>
      </c>
    </row>
    <row r="237" spans="1:10" ht="11.25" customHeight="1">
      <c r="A237" s="3363">
        <v>231</v>
      </c>
      <c r="B237" s="3237" t="s">
        <v>4458</v>
      </c>
      <c r="C237" s="3237" t="s">
        <v>3473</v>
      </c>
      <c r="D237" s="3237" t="s">
        <v>4459</v>
      </c>
      <c r="E237" s="3237" t="s">
        <v>4460</v>
      </c>
      <c r="F237" s="3237" t="s">
        <v>4461</v>
      </c>
      <c r="G237" s="3237" t="s">
        <v>4442</v>
      </c>
      <c r="H237" s="3237" t="s">
        <v>3219</v>
      </c>
      <c r="I237" s="3236" t="s">
        <v>4462</v>
      </c>
      <c r="J237" s="3236">
        <v>30.45</v>
      </c>
    </row>
    <row r="238" spans="1:10" ht="11.25" customHeight="1">
      <c r="A238" s="3363">
        <v>232</v>
      </c>
      <c r="B238" s="3237" t="s">
        <v>4458</v>
      </c>
      <c r="C238" s="3237" t="s">
        <v>3474</v>
      </c>
      <c r="D238" s="3237" t="s">
        <v>4459</v>
      </c>
      <c r="E238" s="3237" t="s">
        <v>4460</v>
      </c>
      <c r="F238" s="3237" t="s">
        <v>4461</v>
      </c>
      <c r="G238" s="3237" t="s">
        <v>4442</v>
      </c>
      <c r="H238" s="3237" t="s">
        <v>3219</v>
      </c>
      <c r="I238" s="3236" t="s">
        <v>4462</v>
      </c>
      <c r="J238" s="3236">
        <v>30.45</v>
      </c>
    </row>
    <row r="239" spans="1:10" ht="11.25" customHeight="1">
      <c r="A239" s="3363">
        <v>233</v>
      </c>
      <c r="B239" s="3237" t="s">
        <v>4458</v>
      </c>
      <c r="C239" s="3237" t="s">
        <v>3475</v>
      </c>
      <c r="D239" s="3237" t="s">
        <v>4459</v>
      </c>
      <c r="E239" s="3237" t="s">
        <v>4460</v>
      </c>
      <c r="F239" s="3237" t="s">
        <v>4461</v>
      </c>
      <c r="G239" s="3237" t="s">
        <v>4442</v>
      </c>
      <c r="H239" s="3237" t="s">
        <v>3219</v>
      </c>
      <c r="I239" s="3236" t="s">
        <v>4462</v>
      </c>
      <c r="J239" s="3236">
        <v>30.45</v>
      </c>
    </row>
    <row r="240" spans="1:10" ht="11.25" customHeight="1">
      <c r="A240" s="3363">
        <v>234</v>
      </c>
      <c r="B240" s="3237" t="s">
        <v>4458</v>
      </c>
      <c r="C240" s="3237" t="s">
        <v>3476</v>
      </c>
      <c r="D240" s="3237" t="s">
        <v>4459</v>
      </c>
      <c r="E240" s="3237" t="s">
        <v>4460</v>
      </c>
      <c r="F240" s="3237" t="s">
        <v>4461</v>
      </c>
      <c r="G240" s="3237" t="s">
        <v>4442</v>
      </c>
      <c r="H240" s="3237" t="s">
        <v>3219</v>
      </c>
      <c r="I240" s="3236" t="s">
        <v>4462</v>
      </c>
      <c r="J240" s="3236">
        <v>30.45</v>
      </c>
    </row>
    <row r="241" spans="1:10" ht="11.25" customHeight="1">
      <c r="A241" s="3363">
        <v>235</v>
      </c>
      <c r="B241" s="3237" t="s">
        <v>4458</v>
      </c>
      <c r="C241" s="3237" t="s">
        <v>3477</v>
      </c>
      <c r="D241" s="3237" t="s">
        <v>4459</v>
      </c>
      <c r="E241" s="3237" t="s">
        <v>4460</v>
      </c>
      <c r="F241" s="3237" t="s">
        <v>4461</v>
      </c>
      <c r="G241" s="3237" t="s">
        <v>4442</v>
      </c>
      <c r="H241" s="3237" t="s">
        <v>3219</v>
      </c>
      <c r="I241" s="3236" t="s">
        <v>4462</v>
      </c>
      <c r="J241" s="3236">
        <v>30.45</v>
      </c>
    </row>
    <row r="242" spans="1:10" ht="11.25" customHeight="1">
      <c r="A242" s="3363">
        <v>236</v>
      </c>
      <c r="B242" s="3237" t="s">
        <v>4458</v>
      </c>
      <c r="C242" s="3237" t="s">
        <v>3478</v>
      </c>
      <c r="D242" s="3237" t="s">
        <v>4459</v>
      </c>
      <c r="E242" s="3237" t="s">
        <v>4460</v>
      </c>
      <c r="F242" s="3237" t="s">
        <v>4461</v>
      </c>
      <c r="G242" s="3237" t="s">
        <v>4442</v>
      </c>
      <c r="H242" s="3237" t="s">
        <v>3219</v>
      </c>
      <c r="I242" s="3236" t="s">
        <v>4462</v>
      </c>
      <c r="J242" s="3236">
        <v>30.45</v>
      </c>
    </row>
    <row r="243" spans="1:10" ht="11.25" customHeight="1">
      <c r="A243" s="3363">
        <v>237</v>
      </c>
      <c r="B243" s="3237" t="s">
        <v>4458</v>
      </c>
      <c r="C243" s="3237" t="s">
        <v>3479</v>
      </c>
      <c r="D243" s="3237" t="s">
        <v>4459</v>
      </c>
      <c r="E243" s="3237" t="s">
        <v>4460</v>
      </c>
      <c r="F243" s="3237" t="s">
        <v>4461</v>
      </c>
      <c r="G243" s="3237" t="s">
        <v>4442</v>
      </c>
      <c r="H243" s="3237" t="s">
        <v>3219</v>
      </c>
      <c r="I243" s="3236" t="s">
        <v>4462</v>
      </c>
      <c r="J243" s="3236">
        <v>30.45</v>
      </c>
    </row>
    <row r="244" spans="1:10" ht="11.25" customHeight="1">
      <c r="A244" s="3363">
        <v>238</v>
      </c>
      <c r="B244" s="3237" t="s">
        <v>4458</v>
      </c>
      <c r="C244" s="3237" t="s">
        <v>3480</v>
      </c>
      <c r="D244" s="3237" t="s">
        <v>4459</v>
      </c>
      <c r="E244" s="3237" t="s">
        <v>4460</v>
      </c>
      <c r="F244" s="3237" t="s">
        <v>4461</v>
      </c>
      <c r="G244" s="3237" t="s">
        <v>4442</v>
      </c>
      <c r="H244" s="3237" t="s">
        <v>3219</v>
      </c>
      <c r="I244" s="3236" t="s">
        <v>4462</v>
      </c>
      <c r="J244" s="3236">
        <v>30.45</v>
      </c>
    </row>
    <row r="245" spans="1:10" ht="11.25" customHeight="1">
      <c r="A245" s="3363">
        <v>239</v>
      </c>
      <c r="B245" s="3237" t="s">
        <v>4458</v>
      </c>
      <c r="C245" s="3237" t="s">
        <v>3481</v>
      </c>
      <c r="D245" s="3237" t="s">
        <v>4459</v>
      </c>
      <c r="E245" s="3237" t="s">
        <v>4460</v>
      </c>
      <c r="F245" s="3237" t="s">
        <v>4461</v>
      </c>
      <c r="G245" s="3237" t="s">
        <v>4442</v>
      </c>
      <c r="H245" s="3237" t="s">
        <v>3219</v>
      </c>
      <c r="I245" s="3236" t="s">
        <v>4462</v>
      </c>
      <c r="J245" s="3236">
        <v>30.45</v>
      </c>
    </row>
    <row r="246" spans="1:10" ht="11.25" customHeight="1">
      <c r="A246" s="3363">
        <v>240</v>
      </c>
      <c r="B246" s="3237" t="s">
        <v>4458</v>
      </c>
      <c r="C246" s="3237" t="s">
        <v>3482</v>
      </c>
      <c r="D246" s="3237" t="s">
        <v>4459</v>
      </c>
      <c r="E246" s="3237" t="s">
        <v>4460</v>
      </c>
      <c r="F246" s="3237" t="s">
        <v>4461</v>
      </c>
      <c r="G246" s="3237" t="s">
        <v>4442</v>
      </c>
      <c r="H246" s="3237" t="s">
        <v>3219</v>
      </c>
      <c r="I246" s="3236" t="s">
        <v>4462</v>
      </c>
      <c r="J246" s="3236">
        <v>30.45</v>
      </c>
    </row>
    <row r="247" spans="1:10" ht="11.25" customHeight="1">
      <c r="A247" s="3363">
        <v>241</v>
      </c>
      <c r="B247" s="3237" t="s">
        <v>4458</v>
      </c>
      <c r="C247" s="3237" t="s">
        <v>3483</v>
      </c>
      <c r="D247" s="3237" t="s">
        <v>4459</v>
      </c>
      <c r="E247" s="3237" t="s">
        <v>4460</v>
      </c>
      <c r="F247" s="3237" t="s">
        <v>4461</v>
      </c>
      <c r="G247" s="3237" t="s">
        <v>4442</v>
      </c>
      <c r="H247" s="3237" t="s">
        <v>3219</v>
      </c>
      <c r="I247" s="3236" t="s">
        <v>4462</v>
      </c>
      <c r="J247" s="3236">
        <v>30.45</v>
      </c>
    </row>
    <row r="248" spans="1:10" ht="11.25" customHeight="1">
      <c r="A248" s="3363">
        <v>242</v>
      </c>
      <c r="B248" s="3237" t="s">
        <v>4458</v>
      </c>
      <c r="C248" s="3237" t="s">
        <v>3484</v>
      </c>
      <c r="D248" s="3237" t="s">
        <v>4459</v>
      </c>
      <c r="E248" s="3237" t="s">
        <v>4460</v>
      </c>
      <c r="F248" s="3237" t="s">
        <v>4461</v>
      </c>
      <c r="G248" s="3237" t="s">
        <v>4442</v>
      </c>
      <c r="H248" s="3237" t="s">
        <v>3219</v>
      </c>
      <c r="I248" s="3236" t="s">
        <v>4462</v>
      </c>
      <c r="J248" s="3236">
        <v>30.45</v>
      </c>
    </row>
    <row r="249" spans="1:10" ht="11.25" customHeight="1">
      <c r="A249" s="3363">
        <v>243</v>
      </c>
      <c r="B249" s="3237" t="s">
        <v>4458</v>
      </c>
      <c r="C249" s="3237" t="s">
        <v>3485</v>
      </c>
      <c r="D249" s="3237" t="s">
        <v>4459</v>
      </c>
      <c r="E249" s="3237" t="s">
        <v>4460</v>
      </c>
      <c r="F249" s="3237" t="s">
        <v>4461</v>
      </c>
      <c r="G249" s="3237" t="s">
        <v>4442</v>
      </c>
      <c r="H249" s="3237" t="s">
        <v>3219</v>
      </c>
      <c r="I249" s="3236" t="s">
        <v>4462</v>
      </c>
      <c r="J249" s="3236">
        <v>30.45</v>
      </c>
    </row>
    <row r="250" spans="1:10" ht="11.25" customHeight="1">
      <c r="A250" s="3363">
        <v>244</v>
      </c>
      <c r="B250" s="3237" t="s">
        <v>4458</v>
      </c>
      <c r="C250" s="3237" t="s">
        <v>3486</v>
      </c>
      <c r="D250" s="3237" t="s">
        <v>4459</v>
      </c>
      <c r="E250" s="3237" t="s">
        <v>4460</v>
      </c>
      <c r="F250" s="3237" t="s">
        <v>4461</v>
      </c>
      <c r="G250" s="3237" t="s">
        <v>4442</v>
      </c>
      <c r="H250" s="3237" t="s">
        <v>3219</v>
      </c>
      <c r="I250" s="3236" t="s">
        <v>4462</v>
      </c>
      <c r="J250" s="3236">
        <v>30.45</v>
      </c>
    </row>
    <row r="251" spans="1:10" ht="11.25" customHeight="1">
      <c r="A251" s="3363">
        <v>245</v>
      </c>
      <c r="B251" s="3237" t="s">
        <v>4458</v>
      </c>
      <c r="C251" s="3237" t="s">
        <v>3487</v>
      </c>
      <c r="D251" s="3237" t="s">
        <v>4459</v>
      </c>
      <c r="E251" s="3237" t="s">
        <v>4460</v>
      </c>
      <c r="F251" s="3237" t="s">
        <v>4461</v>
      </c>
      <c r="G251" s="3237" t="s">
        <v>4442</v>
      </c>
      <c r="H251" s="3237" t="s">
        <v>3219</v>
      </c>
      <c r="I251" s="3236" t="s">
        <v>4462</v>
      </c>
      <c r="J251" s="3236">
        <v>30.45</v>
      </c>
    </row>
    <row r="252" spans="1:10" ht="11.25" customHeight="1">
      <c r="A252" s="3363">
        <v>246</v>
      </c>
      <c r="B252" s="3237" t="s">
        <v>4458</v>
      </c>
      <c r="C252" s="3237" t="s">
        <v>3488</v>
      </c>
      <c r="D252" s="3237" t="s">
        <v>4459</v>
      </c>
      <c r="E252" s="3237" t="s">
        <v>4460</v>
      </c>
      <c r="F252" s="3237" t="s">
        <v>4461</v>
      </c>
      <c r="G252" s="3237" t="s">
        <v>4442</v>
      </c>
      <c r="H252" s="3237" t="s">
        <v>3219</v>
      </c>
      <c r="I252" s="3236" t="s">
        <v>4462</v>
      </c>
      <c r="J252" s="3236">
        <v>30.45</v>
      </c>
    </row>
    <row r="253" spans="1:10" ht="11.25" customHeight="1">
      <c r="A253" s="3363">
        <v>247</v>
      </c>
      <c r="B253" s="3237" t="s">
        <v>4458</v>
      </c>
      <c r="C253" s="3237" t="s">
        <v>3489</v>
      </c>
      <c r="D253" s="3237" t="s">
        <v>4459</v>
      </c>
      <c r="E253" s="3237" t="s">
        <v>4460</v>
      </c>
      <c r="F253" s="3237" t="s">
        <v>4461</v>
      </c>
      <c r="G253" s="3237" t="s">
        <v>4442</v>
      </c>
      <c r="H253" s="3237" t="s">
        <v>3219</v>
      </c>
      <c r="I253" s="3236" t="s">
        <v>4462</v>
      </c>
      <c r="J253" s="3236">
        <v>30.45</v>
      </c>
    </row>
    <row r="254" spans="1:10" ht="11.25" customHeight="1">
      <c r="A254" s="3363">
        <v>248</v>
      </c>
      <c r="B254" s="3237" t="s">
        <v>4458</v>
      </c>
      <c r="C254" s="3237" t="s">
        <v>3490</v>
      </c>
      <c r="D254" s="3237" t="s">
        <v>4459</v>
      </c>
      <c r="E254" s="3237" t="s">
        <v>4460</v>
      </c>
      <c r="F254" s="3237" t="s">
        <v>4461</v>
      </c>
      <c r="G254" s="3237" t="s">
        <v>4442</v>
      </c>
      <c r="H254" s="3237" t="s">
        <v>3219</v>
      </c>
      <c r="I254" s="3236" t="s">
        <v>4462</v>
      </c>
      <c r="J254" s="3236">
        <v>30.45</v>
      </c>
    </row>
    <row r="255" spans="1:10" ht="11.25" customHeight="1">
      <c r="A255" s="3363">
        <v>249</v>
      </c>
      <c r="B255" s="3237" t="s">
        <v>4458</v>
      </c>
      <c r="C255" s="3237" t="s">
        <v>3491</v>
      </c>
      <c r="D255" s="3237" t="s">
        <v>4459</v>
      </c>
      <c r="E255" s="3237" t="s">
        <v>4460</v>
      </c>
      <c r="F255" s="3237" t="s">
        <v>4461</v>
      </c>
      <c r="G255" s="3237" t="s">
        <v>4442</v>
      </c>
      <c r="H255" s="3237" t="s">
        <v>3219</v>
      </c>
      <c r="I255" s="3236" t="s">
        <v>4462</v>
      </c>
      <c r="J255" s="3236">
        <v>30.45</v>
      </c>
    </row>
    <row r="256" spans="1:10" ht="11.25" customHeight="1">
      <c r="A256" s="3363">
        <v>250</v>
      </c>
      <c r="B256" s="3237" t="s">
        <v>4458</v>
      </c>
      <c r="C256" s="3237" t="s">
        <v>3492</v>
      </c>
      <c r="D256" s="3237" t="s">
        <v>4459</v>
      </c>
      <c r="E256" s="3237" t="s">
        <v>4460</v>
      </c>
      <c r="F256" s="3237" t="s">
        <v>4461</v>
      </c>
      <c r="G256" s="3237" t="s">
        <v>4442</v>
      </c>
      <c r="H256" s="3237" t="s">
        <v>3219</v>
      </c>
      <c r="I256" s="3236" t="s">
        <v>4462</v>
      </c>
      <c r="J256" s="3236">
        <v>30.45</v>
      </c>
    </row>
    <row r="257" spans="1:10" ht="11.25" customHeight="1">
      <c r="A257" s="3363">
        <v>251</v>
      </c>
      <c r="B257" s="3237" t="s">
        <v>4458</v>
      </c>
      <c r="C257" s="3237" t="s">
        <v>3493</v>
      </c>
      <c r="D257" s="3237" t="s">
        <v>4459</v>
      </c>
      <c r="E257" s="3237" t="s">
        <v>4460</v>
      </c>
      <c r="F257" s="3237" t="s">
        <v>4461</v>
      </c>
      <c r="G257" s="3237" t="s">
        <v>4442</v>
      </c>
      <c r="H257" s="3237" t="s">
        <v>3219</v>
      </c>
      <c r="I257" s="3236" t="s">
        <v>4462</v>
      </c>
      <c r="J257" s="3236">
        <v>30.45</v>
      </c>
    </row>
    <row r="258" spans="1:10" ht="11.25" customHeight="1">
      <c r="A258" s="3363">
        <v>252</v>
      </c>
      <c r="B258" s="3237" t="s">
        <v>4458</v>
      </c>
      <c r="C258" s="3237" t="s">
        <v>3494</v>
      </c>
      <c r="D258" s="3237" t="s">
        <v>4459</v>
      </c>
      <c r="E258" s="3237" t="s">
        <v>4460</v>
      </c>
      <c r="F258" s="3237" t="s">
        <v>4461</v>
      </c>
      <c r="G258" s="3237" t="s">
        <v>4442</v>
      </c>
      <c r="H258" s="3237" t="s">
        <v>3219</v>
      </c>
      <c r="I258" s="3236" t="s">
        <v>4462</v>
      </c>
      <c r="J258" s="3236">
        <v>30.45</v>
      </c>
    </row>
    <row r="259" spans="1:10" ht="11.25" customHeight="1">
      <c r="A259" s="3363">
        <v>253</v>
      </c>
      <c r="B259" s="3237" t="s">
        <v>4458</v>
      </c>
      <c r="C259" s="3237" t="s">
        <v>3495</v>
      </c>
      <c r="D259" s="3237" t="s">
        <v>4459</v>
      </c>
      <c r="E259" s="3237" t="s">
        <v>4460</v>
      </c>
      <c r="F259" s="3237" t="s">
        <v>4461</v>
      </c>
      <c r="G259" s="3237" t="s">
        <v>4442</v>
      </c>
      <c r="H259" s="3237" t="s">
        <v>3219</v>
      </c>
      <c r="I259" s="3236" t="s">
        <v>4462</v>
      </c>
      <c r="J259" s="3236">
        <v>30.45</v>
      </c>
    </row>
    <row r="260" spans="1:10" ht="11.25" customHeight="1">
      <c r="A260" s="3363">
        <v>254</v>
      </c>
      <c r="B260" s="3237" t="s">
        <v>4458</v>
      </c>
      <c r="C260" s="3237" t="s">
        <v>3496</v>
      </c>
      <c r="D260" s="3237" t="s">
        <v>4459</v>
      </c>
      <c r="E260" s="3237" t="s">
        <v>4460</v>
      </c>
      <c r="F260" s="3237" t="s">
        <v>4461</v>
      </c>
      <c r="G260" s="3237" t="s">
        <v>4442</v>
      </c>
      <c r="H260" s="3237" t="s">
        <v>3219</v>
      </c>
      <c r="I260" s="3236" t="s">
        <v>4462</v>
      </c>
      <c r="J260" s="3236">
        <v>30.45</v>
      </c>
    </row>
    <row r="261" spans="1:10" ht="11.25" customHeight="1">
      <c r="A261" s="3363">
        <v>255</v>
      </c>
      <c r="B261" s="3237" t="s">
        <v>4458</v>
      </c>
      <c r="C261" s="3237" t="s">
        <v>3497</v>
      </c>
      <c r="D261" s="3237" t="s">
        <v>4459</v>
      </c>
      <c r="E261" s="3237" t="s">
        <v>4460</v>
      </c>
      <c r="F261" s="3237" t="s">
        <v>4461</v>
      </c>
      <c r="G261" s="3237" t="s">
        <v>4442</v>
      </c>
      <c r="H261" s="3237" t="s">
        <v>3219</v>
      </c>
      <c r="I261" s="3236" t="s">
        <v>4462</v>
      </c>
      <c r="J261" s="3236">
        <v>30.45</v>
      </c>
    </row>
    <row r="262" spans="1:10" ht="11.25" customHeight="1">
      <c r="A262" s="3363">
        <v>256</v>
      </c>
      <c r="B262" s="3237" t="s">
        <v>4458</v>
      </c>
      <c r="C262" s="3237" t="s">
        <v>3498</v>
      </c>
      <c r="D262" s="3237" t="s">
        <v>4459</v>
      </c>
      <c r="E262" s="3237" t="s">
        <v>4460</v>
      </c>
      <c r="F262" s="3237" t="s">
        <v>4461</v>
      </c>
      <c r="G262" s="3237" t="s">
        <v>4442</v>
      </c>
      <c r="H262" s="3237" t="s">
        <v>3219</v>
      </c>
      <c r="I262" s="3236" t="s">
        <v>4462</v>
      </c>
      <c r="J262" s="3236">
        <v>30.45</v>
      </c>
    </row>
    <row r="263" spans="1:10" ht="11.25" customHeight="1">
      <c r="A263" s="3363">
        <v>257</v>
      </c>
      <c r="B263" s="3237" t="s">
        <v>4458</v>
      </c>
      <c r="C263" s="3237" t="s">
        <v>3499</v>
      </c>
      <c r="D263" s="3237" t="s">
        <v>4459</v>
      </c>
      <c r="E263" s="3237" t="s">
        <v>4460</v>
      </c>
      <c r="F263" s="3237" t="s">
        <v>4461</v>
      </c>
      <c r="G263" s="3237" t="s">
        <v>4442</v>
      </c>
      <c r="H263" s="3237" t="s">
        <v>3219</v>
      </c>
      <c r="I263" s="3236" t="s">
        <v>4462</v>
      </c>
      <c r="J263" s="3236">
        <v>30.45</v>
      </c>
    </row>
    <row r="264" spans="1:10" ht="11.25" customHeight="1">
      <c r="A264" s="3363">
        <v>258</v>
      </c>
      <c r="B264" s="3237" t="s">
        <v>4458</v>
      </c>
      <c r="C264" s="3237" t="s">
        <v>3500</v>
      </c>
      <c r="D264" s="3237" t="s">
        <v>4459</v>
      </c>
      <c r="E264" s="3237" t="s">
        <v>4460</v>
      </c>
      <c r="F264" s="3237" t="s">
        <v>4461</v>
      </c>
      <c r="G264" s="3237" t="s">
        <v>4442</v>
      </c>
      <c r="H264" s="3237" t="s">
        <v>3219</v>
      </c>
      <c r="I264" s="3236" t="s">
        <v>4462</v>
      </c>
      <c r="J264" s="3236">
        <v>30.45</v>
      </c>
    </row>
    <row r="265" spans="1:10" ht="11.25" customHeight="1">
      <c r="A265" s="3363">
        <v>259</v>
      </c>
      <c r="B265" s="3237" t="s">
        <v>4458</v>
      </c>
      <c r="C265" s="3237" t="s">
        <v>3501</v>
      </c>
      <c r="D265" s="3237" t="s">
        <v>4459</v>
      </c>
      <c r="E265" s="3237" t="s">
        <v>4460</v>
      </c>
      <c r="F265" s="3237" t="s">
        <v>4461</v>
      </c>
      <c r="G265" s="3237" t="s">
        <v>4442</v>
      </c>
      <c r="H265" s="3237" t="s">
        <v>3219</v>
      </c>
      <c r="I265" s="3236" t="s">
        <v>4462</v>
      </c>
      <c r="J265" s="3236">
        <v>30.45</v>
      </c>
    </row>
    <row r="266" spans="1:10" ht="11.25" customHeight="1">
      <c r="A266" s="3363">
        <v>260</v>
      </c>
      <c r="B266" s="3237" t="s">
        <v>4458</v>
      </c>
      <c r="C266" s="3237" t="s">
        <v>3502</v>
      </c>
      <c r="D266" s="3237" t="s">
        <v>4459</v>
      </c>
      <c r="E266" s="3237" t="s">
        <v>4460</v>
      </c>
      <c r="F266" s="3237" t="s">
        <v>4461</v>
      </c>
      <c r="G266" s="3237" t="s">
        <v>4442</v>
      </c>
      <c r="H266" s="3237" t="s">
        <v>3219</v>
      </c>
      <c r="I266" s="3236" t="s">
        <v>4462</v>
      </c>
      <c r="J266" s="3236">
        <v>30.45</v>
      </c>
    </row>
    <row r="267" spans="1:10" ht="11.25" customHeight="1">
      <c r="A267" s="3363">
        <v>261</v>
      </c>
      <c r="B267" s="3237" t="s">
        <v>4458</v>
      </c>
      <c r="C267" s="3237" t="s">
        <v>3503</v>
      </c>
      <c r="D267" s="3237" t="s">
        <v>4459</v>
      </c>
      <c r="E267" s="3237" t="s">
        <v>4460</v>
      </c>
      <c r="F267" s="3237" t="s">
        <v>4461</v>
      </c>
      <c r="G267" s="3237" t="s">
        <v>4442</v>
      </c>
      <c r="H267" s="3237" t="s">
        <v>3219</v>
      </c>
      <c r="I267" s="3236" t="s">
        <v>4462</v>
      </c>
      <c r="J267" s="3236">
        <v>30.45</v>
      </c>
    </row>
    <row r="268" spans="1:10" ht="11.25" customHeight="1">
      <c r="A268" s="3363">
        <v>262</v>
      </c>
      <c r="B268" s="3237" t="s">
        <v>4458</v>
      </c>
      <c r="C268" s="3237" t="s">
        <v>3504</v>
      </c>
      <c r="D268" s="3237" t="s">
        <v>4459</v>
      </c>
      <c r="E268" s="3237" t="s">
        <v>4460</v>
      </c>
      <c r="F268" s="3237" t="s">
        <v>4461</v>
      </c>
      <c r="G268" s="3237" t="s">
        <v>4442</v>
      </c>
      <c r="H268" s="3237" t="s">
        <v>3219</v>
      </c>
      <c r="I268" s="3236" t="s">
        <v>4462</v>
      </c>
      <c r="J268" s="3236">
        <v>30.45</v>
      </c>
    </row>
    <row r="269" spans="1:10" ht="11.25" customHeight="1">
      <c r="A269" s="3363">
        <v>263</v>
      </c>
      <c r="B269" s="3237" t="s">
        <v>4458</v>
      </c>
      <c r="C269" s="3237" t="s">
        <v>3505</v>
      </c>
      <c r="D269" s="3237" t="s">
        <v>4459</v>
      </c>
      <c r="E269" s="3237" t="s">
        <v>4460</v>
      </c>
      <c r="F269" s="3237" t="s">
        <v>4461</v>
      </c>
      <c r="G269" s="3237" t="s">
        <v>4442</v>
      </c>
      <c r="H269" s="3237" t="s">
        <v>3219</v>
      </c>
      <c r="I269" s="3236" t="s">
        <v>4462</v>
      </c>
      <c r="J269" s="3236">
        <v>30.45</v>
      </c>
    </row>
    <row r="270" spans="1:10" ht="11.25" customHeight="1">
      <c r="A270" s="3363">
        <v>264</v>
      </c>
      <c r="B270" s="3237" t="s">
        <v>4458</v>
      </c>
      <c r="C270" s="3237" t="s">
        <v>3506</v>
      </c>
      <c r="D270" s="3237" t="s">
        <v>4459</v>
      </c>
      <c r="E270" s="3237" t="s">
        <v>4460</v>
      </c>
      <c r="F270" s="3237" t="s">
        <v>4461</v>
      </c>
      <c r="G270" s="3237" t="s">
        <v>4442</v>
      </c>
      <c r="H270" s="3237" t="s">
        <v>3219</v>
      </c>
      <c r="I270" s="3236" t="s">
        <v>4462</v>
      </c>
      <c r="J270" s="3236">
        <v>30.45</v>
      </c>
    </row>
    <row r="271" spans="1:10" ht="11.25" customHeight="1">
      <c r="A271" s="3363">
        <v>265</v>
      </c>
      <c r="B271" s="3237" t="s">
        <v>4458</v>
      </c>
      <c r="C271" s="3237" t="s">
        <v>3507</v>
      </c>
      <c r="D271" s="3237" t="s">
        <v>4459</v>
      </c>
      <c r="E271" s="3237" t="s">
        <v>4460</v>
      </c>
      <c r="F271" s="3237" t="s">
        <v>4461</v>
      </c>
      <c r="G271" s="3237" t="s">
        <v>4442</v>
      </c>
      <c r="H271" s="3237" t="s">
        <v>3219</v>
      </c>
      <c r="I271" s="3236" t="s">
        <v>4462</v>
      </c>
      <c r="J271" s="3236">
        <v>30.45</v>
      </c>
    </row>
    <row r="272" spans="1:10" ht="11.25" customHeight="1">
      <c r="A272" s="3363">
        <v>266</v>
      </c>
      <c r="B272" s="3237" t="s">
        <v>4458</v>
      </c>
      <c r="C272" s="3237" t="s">
        <v>3508</v>
      </c>
      <c r="D272" s="3237" t="s">
        <v>4459</v>
      </c>
      <c r="E272" s="3237" t="s">
        <v>4460</v>
      </c>
      <c r="F272" s="3237" t="s">
        <v>4461</v>
      </c>
      <c r="G272" s="3237" t="s">
        <v>4442</v>
      </c>
      <c r="H272" s="3237" t="s">
        <v>3219</v>
      </c>
      <c r="I272" s="3236" t="s">
        <v>4462</v>
      </c>
      <c r="J272" s="3236">
        <v>30.45</v>
      </c>
    </row>
    <row r="273" spans="1:10" ht="11.25" customHeight="1">
      <c r="A273" s="3363">
        <v>267</v>
      </c>
      <c r="B273" s="3237" t="s">
        <v>4458</v>
      </c>
      <c r="C273" s="3237" t="s">
        <v>3509</v>
      </c>
      <c r="D273" s="3237" t="s">
        <v>4459</v>
      </c>
      <c r="E273" s="3237" t="s">
        <v>4460</v>
      </c>
      <c r="F273" s="3237" t="s">
        <v>4461</v>
      </c>
      <c r="G273" s="3237" t="s">
        <v>4442</v>
      </c>
      <c r="H273" s="3237" t="s">
        <v>3219</v>
      </c>
      <c r="I273" s="3236" t="s">
        <v>4462</v>
      </c>
      <c r="J273" s="3236">
        <v>30.45</v>
      </c>
    </row>
    <row r="274" spans="1:10" ht="11.25" customHeight="1">
      <c r="A274" s="3363">
        <v>268</v>
      </c>
      <c r="B274" s="3237" t="s">
        <v>4458</v>
      </c>
      <c r="C274" s="3237" t="s">
        <v>3510</v>
      </c>
      <c r="D274" s="3237" t="s">
        <v>4459</v>
      </c>
      <c r="E274" s="3237" t="s">
        <v>4460</v>
      </c>
      <c r="F274" s="3237" t="s">
        <v>4461</v>
      </c>
      <c r="G274" s="3237" t="s">
        <v>4442</v>
      </c>
      <c r="H274" s="3237" t="s">
        <v>3219</v>
      </c>
      <c r="I274" s="3236" t="s">
        <v>4462</v>
      </c>
      <c r="J274" s="3236">
        <v>30.45</v>
      </c>
    </row>
    <row r="275" spans="1:10" ht="11.25" customHeight="1">
      <c r="A275" s="3363">
        <v>269</v>
      </c>
      <c r="B275" s="3237" t="s">
        <v>4458</v>
      </c>
      <c r="C275" s="3237" t="s">
        <v>3511</v>
      </c>
      <c r="D275" s="3237" t="s">
        <v>4459</v>
      </c>
      <c r="E275" s="3237" t="s">
        <v>4460</v>
      </c>
      <c r="F275" s="3237" t="s">
        <v>4461</v>
      </c>
      <c r="G275" s="3237" t="s">
        <v>4442</v>
      </c>
      <c r="H275" s="3237" t="s">
        <v>3219</v>
      </c>
      <c r="I275" s="3236" t="s">
        <v>4462</v>
      </c>
      <c r="J275" s="3236">
        <v>30.45</v>
      </c>
    </row>
    <row r="276" spans="1:10" ht="11.25" customHeight="1">
      <c r="A276" s="3363">
        <v>270</v>
      </c>
      <c r="B276" s="3237" t="s">
        <v>4458</v>
      </c>
      <c r="C276" s="3237" t="s">
        <v>3512</v>
      </c>
      <c r="D276" s="3237" t="s">
        <v>4459</v>
      </c>
      <c r="E276" s="3237" t="s">
        <v>4460</v>
      </c>
      <c r="F276" s="3237" t="s">
        <v>4461</v>
      </c>
      <c r="G276" s="3237" t="s">
        <v>4442</v>
      </c>
      <c r="H276" s="3237" t="s">
        <v>3219</v>
      </c>
      <c r="I276" s="3236" t="s">
        <v>4462</v>
      </c>
      <c r="J276" s="3236">
        <v>30.45</v>
      </c>
    </row>
    <row r="277" spans="1:10" ht="11.25" customHeight="1">
      <c r="A277" s="3363">
        <v>271</v>
      </c>
      <c r="B277" s="3237" t="s">
        <v>4458</v>
      </c>
      <c r="C277" s="3237" t="s">
        <v>3513</v>
      </c>
      <c r="D277" s="3237" t="s">
        <v>4459</v>
      </c>
      <c r="E277" s="3237" t="s">
        <v>4460</v>
      </c>
      <c r="F277" s="3237" t="s">
        <v>4461</v>
      </c>
      <c r="G277" s="3237" t="s">
        <v>4442</v>
      </c>
      <c r="H277" s="3237" t="s">
        <v>3219</v>
      </c>
      <c r="I277" s="3236" t="s">
        <v>4462</v>
      </c>
      <c r="J277" s="3236">
        <v>30.45</v>
      </c>
    </row>
    <row r="278" spans="1:10" ht="11.25" customHeight="1">
      <c r="A278" s="3363">
        <v>272</v>
      </c>
      <c r="B278" s="3237" t="s">
        <v>4458</v>
      </c>
      <c r="C278" s="3237" t="s">
        <v>3514</v>
      </c>
      <c r="D278" s="3237" t="s">
        <v>4459</v>
      </c>
      <c r="E278" s="3237" t="s">
        <v>4460</v>
      </c>
      <c r="F278" s="3237" t="s">
        <v>4461</v>
      </c>
      <c r="G278" s="3237" t="s">
        <v>4442</v>
      </c>
      <c r="H278" s="3237" t="s">
        <v>3219</v>
      </c>
      <c r="I278" s="3236" t="s">
        <v>4462</v>
      </c>
      <c r="J278" s="3236">
        <v>30.45</v>
      </c>
    </row>
    <row r="279" spans="1:10" ht="11.25" customHeight="1">
      <c r="A279" s="3363">
        <v>273</v>
      </c>
      <c r="B279" s="3237" t="s">
        <v>4458</v>
      </c>
      <c r="C279" s="3237" t="s">
        <v>3515</v>
      </c>
      <c r="D279" s="3237" t="s">
        <v>4459</v>
      </c>
      <c r="E279" s="3237" t="s">
        <v>4460</v>
      </c>
      <c r="F279" s="3237" t="s">
        <v>4461</v>
      </c>
      <c r="G279" s="3237" t="s">
        <v>4442</v>
      </c>
      <c r="H279" s="3237" t="s">
        <v>3219</v>
      </c>
      <c r="I279" s="3236" t="s">
        <v>4462</v>
      </c>
      <c r="J279" s="3236">
        <v>30.45</v>
      </c>
    </row>
    <row r="280" spans="1:10" ht="11.25" customHeight="1">
      <c r="A280" s="3363">
        <v>274</v>
      </c>
      <c r="B280" s="3237" t="s">
        <v>4458</v>
      </c>
      <c r="C280" s="3237" t="s">
        <v>3516</v>
      </c>
      <c r="D280" s="3237" t="s">
        <v>4459</v>
      </c>
      <c r="E280" s="3237" t="s">
        <v>4460</v>
      </c>
      <c r="F280" s="3237" t="s">
        <v>4461</v>
      </c>
      <c r="G280" s="3237" t="s">
        <v>4442</v>
      </c>
      <c r="H280" s="3237" t="s">
        <v>3219</v>
      </c>
      <c r="I280" s="3236" t="s">
        <v>4462</v>
      </c>
      <c r="J280" s="3236">
        <v>30.45</v>
      </c>
    </row>
    <row r="281" spans="1:10" ht="11.25" customHeight="1">
      <c r="A281" s="3363">
        <v>275</v>
      </c>
      <c r="B281" s="3237" t="s">
        <v>4458</v>
      </c>
      <c r="C281" s="3237" t="s">
        <v>3517</v>
      </c>
      <c r="D281" s="3237" t="s">
        <v>4459</v>
      </c>
      <c r="E281" s="3237" t="s">
        <v>4460</v>
      </c>
      <c r="F281" s="3237" t="s">
        <v>4461</v>
      </c>
      <c r="G281" s="3237" t="s">
        <v>4442</v>
      </c>
      <c r="H281" s="3237" t="s">
        <v>3219</v>
      </c>
      <c r="I281" s="3236" t="s">
        <v>4462</v>
      </c>
      <c r="J281" s="3236">
        <v>30.45</v>
      </c>
    </row>
    <row r="282" spans="1:10" ht="11.25" customHeight="1">
      <c r="A282" s="3363">
        <v>276</v>
      </c>
      <c r="B282" s="3237" t="s">
        <v>4458</v>
      </c>
      <c r="C282" s="3237" t="s">
        <v>3518</v>
      </c>
      <c r="D282" s="3237" t="s">
        <v>4459</v>
      </c>
      <c r="E282" s="3237" t="s">
        <v>4460</v>
      </c>
      <c r="F282" s="3237" t="s">
        <v>4461</v>
      </c>
      <c r="G282" s="3237" t="s">
        <v>4442</v>
      </c>
      <c r="H282" s="3237" t="s">
        <v>3219</v>
      </c>
      <c r="I282" s="3236" t="s">
        <v>4462</v>
      </c>
      <c r="J282" s="3236">
        <v>30.45</v>
      </c>
    </row>
    <row r="283" spans="1:10" ht="11.25" customHeight="1">
      <c r="A283" s="3363">
        <v>277</v>
      </c>
      <c r="B283" s="3237" t="s">
        <v>4458</v>
      </c>
      <c r="C283" s="3237" t="s">
        <v>3519</v>
      </c>
      <c r="D283" s="3237" t="s">
        <v>4459</v>
      </c>
      <c r="E283" s="3237" t="s">
        <v>4460</v>
      </c>
      <c r="F283" s="3237" t="s">
        <v>4461</v>
      </c>
      <c r="G283" s="3237" t="s">
        <v>4442</v>
      </c>
      <c r="H283" s="3237" t="s">
        <v>3219</v>
      </c>
      <c r="I283" s="3236" t="s">
        <v>4462</v>
      </c>
      <c r="J283" s="3236">
        <v>30.45</v>
      </c>
    </row>
    <row r="284" spans="1:10" ht="11.25" customHeight="1">
      <c r="A284" s="3363">
        <v>278</v>
      </c>
      <c r="B284" s="3237" t="s">
        <v>4458</v>
      </c>
      <c r="C284" s="3237" t="s">
        <v>3520</v>
      </c>
      <c r="D284" s="3237" t="s">
        <v>4459</v>
      </c>
      <c r="E284" s="3237" t="s">
        <v>4460</v>
      </c>
      <c r="F284" s="3237" t="s">
        <v>4461</v>
      </c>
      <c r="G284" s="3237" t="s">
        <v>4442</v>
      </c>
      <c r="H284" s="3237" t="s">
        <v>3219</v>
      </c>
      <c r="I284" s="3236" t="s">
        <v>4462</v>
      </c>
      <c r="J284" s="3236">
        <v>30.45</v>
      </c>
    </row>
    <row r="285" spans="1:10" ht="11.25" customHeight="1">
      <c r="A285" s="3363">
        <v>279</v>
      </c>
      <c r="B285" s="3237" t="s">
        <v>4458</v>
      </c>
      <c r="C285" s="3237" t="s">
        <v>3521</v>
      </c>
      <c r="D285" s="3237" t="s">
        <v>4459</v>
      </c>
      <c r="E285" s="3237" t="s">
        <v>4460</v>
      </c>
      <c r="F285" s="3237" t="s">
        <v>4461</v>
      </c>
      <c r="G285" s="3237" t="s">
        <v>4442</v>
      </c>
      <c r="H285" s="3237" t="s">
        <v>3219</v>
      </c>
      <c r="I285" s="3236" t="s">
        <v>4462</v>
      </c>
      <c r="J285" s="3236">
        <v>30.45</v>
      </c>
    </row>
    <row r="286" spans="1:10" ht="11.25" customHeight="1">
      <c r="A286" s="3363">
        <v>280</v>
      </c>
      <c r="B286" s="3237" t="s">
        <v>4458</v>
      </c>
      <c r="C286" s="3237" t="s">
        <v>3522</v>
      </c>
      <c r="D286" s="3237" t="s">
        <v>4459</v>
      </c>
      <c r="E286" s="3237" t="s">
        <v>4460</v>
      </c>
      <c r="F286" s="3237" t="s">
        <v>4461</v>
      </c>
      <c r="G286" s="3237" t="s">
        <v>4442</v>
      </c>
      <c r="H286" s="3237" t="s">
        <v>3219</v>
      </c>
      <c r="I286" s="3236" t="s">
        <v>4462</v>
      </c>
      <c r="J286" s="3236">
        <v>30.45</v>
      </c>
    </row>
    <row r="287" spans="1:10" ht="11.25" customHeight="1">
      <c r="A287" s="3363">
        <v>281</v>
      </c>
      <c r="B287" s="3237" t="s">
        <v>4458</v>
      </c>
      <c r="C287" s="3237" t="s">
        <v>3523</v>
      </c>
      <c r="D287" s="3237" t="s">
        <v>4459</v>
      </c>
      <c r="E287" s="3237" t="s">
        <v>4460</v>
      </c>
      <c r="F287" s="3237" t="s">
        <v>4461</v>
      </c>
      <c r="G287" s="3237" t="s">
        <v>4442</v>
      </c>
      <c r="H287" s="3237" t="s">
        <v>3219</v>
      </c>
      <c r="I287" s="3236" t="s">
        <v>4462</v>
      </c>
      <c r="J287" s="3236">
        <v>30.45</v>
      </c>
    </row>
    <row r="288" spans="1:10" ht="11.25" customHeight="1">
      <c r="A288" s="3363">
        <v>282</v>
      </c>
      <c r="B288" s="3237" t="s">
        <v>4458</v>
      </c>
      <c r="C288" s="3237" t="s">
        <v>3524</v>
      </c>
      <c r="D288" s="3237" t="s">
        <v>4459</v>
      </c>
      <c r="E288" s="3237" t="s">
        <v>4460</v>
      </c>
      <c r="F288" s="3237" t="s">
        <v>4461</v>
      </c>
      <c r="G288" s="3237" t="s">
        <v>4442</v>
      </c>
      <c r="H288" s="3237" t="s">
        <v>3219</v>
      </c>
      <c r="I288" s="3236" t="s">
        <v>4462</v>
      </c>
      <c r="J288" s="3236">
        <v>30.45</v>
      </c>
    </row>
    <row r="289" spans="1:10" ht="11.25" customHeight="1">
      <c r="A289" s="3363">
        <v>283</v>
      </c>
      <c r="B289" s="3237" t="s">
        <v>4458</v>
      </c>
      <c r="C289" s="3237" t="s">
        <v>3525</v>
      </c>
      <c r="D289" s="3237" t="s">
        <v>4459</v>
      </c>
      <c r="E289" s="3237" t="s">
        <v>4460</v>
      </c>
      <c r="F289" s="3237" t="s">
        <v>4461</v>
      </c>
      <c r="G289" s="3237" t="s">
        <v>4442</v>
      </c>
      <c r="H289" s="3237" t="s">
        <v>3219</v>
      </c>
      <c r="I289" s="3236" t="s">
        <v>4462</v>
      </c>
      <c r="J289" s="3236">
        <v>30.45</v>
      </c>
    </row>
    <row r="290" spans="1:10" ht="11.25" customHeight="1">
      <c r="A290" s="3363">
        <v>284</v>
      </c>
      <c r="B290" s="3237" t="s">
        <v>4458</v>
      </c>
      <c r="C290" s="3237" t="s">
        <v>3526</v>
      </c>
      <c r="D290" s="3237" t="s">
        <v>4459</v>
      </c>
      <c r="E290" s="3237" t="s">
        <v>4460</v>
      </c>
      <c r="F290" s="3237" t="s">
        <v>4461</v>
      </c>
      <c r="G290" s="3237" t="s">
        <v>4442</v>
      </c>
      <c r="H290" s="3237" t="s">
        <v>3219</v>
      </c>
      <c r="I290" s="3236" t="s">
        <v>4462</v>
      </c>
      <c r="J290" s="3236">
        <v>30.45</v>
      </c>
    </row>
    <row r="291" spans="1:10" ht="11.25" customHeight="1">
      <c r="A291" s="3363">
        <v>285</v>
      </c>
      <c r="B291" s="3237" t="s">
        <v>4458</v>
      </c>
      <c r="C291" s="3237" t="s">
        <v>3527</v>
      </c>
      <c r="D291" s="3237" t="s">
        <v>4459</v>
      </c>
      <c r="E291" s="3237" t="s">
        <v>4460</v>
      </c>
      <c r="F291" s="3237" t="s">
        <v>4461</v>
      </c>
      <c r="G291" s="3237" t="s">
        <v>4442</v>
      </c>
      <c r="H291" s="3237" t="s">
        <v>3219</v>
      </c>
      <c r="I291" s="3236" t="s">
        <v>4462</v>
      </c>
      <c r="J291" s="3236">
        <v>30.45</v>
      </c>
    </row>
    <row r="292" spans="1:10" ht="11.25" customHeight="1">
      <c r="A292" s="3363">
        <v>286</v>
      </c>
      <c r="B292" s="3237" t="s">
        <v>4458</v>
      </c>
      <c r="C292" s="3237" t="s">
        <v>3528</v>
      </c>
      <c r="D292" s="3237" t="s">
        <v>4459</v>
      </c>
      <c r="E292" s="3237" t="s">
        <v>4460</v>
      </c>
      <c r="F292" s="3237" t="s">
        <v>4461</v>
      </c>
      <c r="G292" s="3237" t="s">
        <v>4442</v>
      </c>
      <c r="H292" s="3237" t="s">
        <v>3219</v>
      </c>
      <c r="I292" s="3236" t="s">
        <v>4462</v>
      </c>
      <c r="J292" s="3236">
        <v>30.45</v>
      </c>
    </row>
    <row r="293" spans="1:10" ht="11.25" customHeight="1">
      <c r="A293" s="3363">
        <v>287</v>
      </c>
      <c r="B293" s="3237" t="s">
        <v>4458</v>
      </c>
      <c r="C293" s="3237" t="s">
        <v>3529</v>
      </c>
      <c r="D293" s="3237" t="s">
        <v>4459</v>
      </c>
      <c r="E293" s="3237" t="s">
        <v>4460</v>
      </c>
      <c r="F293" s="3237" t="s">
        <v>4461</v>
      </c>
      <c r="G293" s="3237" t="s">
        <v>4442</v>
      </c>
      <c r="H293" s="3237" t="s">
        <v>3219</v>
      </c>
      <c r="I293" s="3236" t="s">
        <v>4462</v>
      </c>
      <c r="J293" s="3236">
        <v>30.45</v>
      </c>
    </row>
    <row r="294" spans="1:10" ht="11.25" customHeight="1">
      <c r="A294" s="3363">
        <v>288</v>
      </c>
      <c r="B294" s="3237" t="s">
        <v>4458</v>
      </c>
      <c r="C294" s="3237" t="s">
        <v>3530</v>
      </c>
      <c r="D294" s="3237" t="s">
        <v>4459</v>
      </c>
      <c r="E294" s="3237" t="s">
        <v>4460</v>
      </c>
      <c r="F294" s="3237" t="s">
        <v>4461</v>
      </c>
      <c r="G294" s="3237" t="s">
        <v>4442</v>
      </c>
      <c r="H294" s="3237" t="s">
        <v>3219</v>
      </c>
      <c r="I294" s="3236" t="s">
        <v>4462</v>
      </c>
      <c r="J294" s="3236">
        <v>30.45</v>
      </c>
    </row>
    <row r="295" spans="1:10" ht="11.25" customHeight="1">
      <c r="A295" s="3363">
        <v>289</v>
      </c>
      <c r="B295" s="3237" t="s">
        <v>4458</v>
      </c>
      <c r="C295" s="3237" t="s">
        <v>3531</v>
      </c>
      <c r="D295" s="3237" t="s">
        <v>4459</v>
      </c>
      <c r="E295" s="3237" t="s">
        <v>4460</v>
      </c>
      <c r="F295" s="3237" t="s">
        <v>4461</v>
      </c>
      <c r="G295" s="3237" t="s">
        <v>4442</v>
      </c>
      <c r="H295" s="3237" t="s">
        <v>3219</v>
      </c>
      <c r="I295" s="3236" t="s">
        <v>4462</v>
      </c>
      <c r="J295" s="3236">
        <v>30.45</v>
      </c>
    </row>
    <row r="296" spans="1:10" ht="11.25" customHeight="1">
      <c r="A296" s="3363">
        <v>290</v>
      </c>
      <c r="B296" s="3237" t="s">
        <v>4458</v>
      </c>
      <c r="C296" s="3237" t="s">
        <v>3532</v>
      </c>
      <c r="D296" s="3237" t="s">
        <v>4459</v>
      </c>
      <c r="E296" s="3237" t="s">
        <v>4460</v>
      </c>
      <c r="F296" s="3237" t="s">
        <v>4461</v>
      </c>
      <c r="G296" s="3237" t="s">
        <v>4442</v>
      </c>
      <c r="H296" s="3237" t="s">
        <v>3219</v>
      </c>
      <c r="I296" s="3236" t="s">
        <v>4462</v>
      </c>
      <c r="J296" s="3236">
        <v>30.45</v>
      </c>
    </row>
    <row r="297" spans="1:10" ht="11.25" customHeight="1">
      <c r="A297" s="3363">
        <v>291</v>
      </c>
      <c r="B297" s="3237" t="s">
        <v>4458</v>
      </c>
      <c r="C297" s="3237" t="s">
        <v>3533</v>
      </c>
      <c r="D297" s="3237" t="s">
        <v>4459</v>
      </c>
      <c r="E297" s="3237" t="s">
        <v>4460</v>
      </c>
      <c r="F297" s="3237" t="s">
        <v>4461</v>
      </c>
      <c r="G297" s="3237" t="s">
        <v>4442</v>
      </c>
      <c r="H297" s="3237" t="s">
        <v>3219</v>
      </c>
      <c r="I297" s="3236" t="s">
        <v>4462</v>
      </c>
      <c r="J297" s="3236">
        <v>30.45</v>
      </c>
    </row>
    <row r="298" spans="1:10" ht="11.25" customHeight="1">
      <c r="A298" s="3363">
        <v>292</v>
      </c>
      <c r="B298" s="3237" t="s">
        <v>4458</v>
      </c>
      <c r="C298" s="3237" t="s">
        <v>3534</v>
      </c>
      <c r="D298" s="3237" t="s">
        <v>4459</v>
      </c>
      <c r="E298" s="3237" t="s">
        <v>4460</v>
      </c>
      <c r="F298" s="3237" t="s">
        <v>4461</v>
      </c>
      <c r="G298" s="3237" t="s">
        <v>4442</v>
      </c>
      <c r="H298" s="3237" t="s">
        <v>3219</v>
      </c>
      <c r="I298" s="3236" t="s">
        <v>4462</v>
      </c>
      <c r="J298" s="3236">
        <v>30.45</v>
      </c>
    </row>
    <row r="299" spans="1:10" ht="11.25" customHeight="1">
      <c r="A299" s="3363">
        <v>293</v>
      </c>
      <c r="B299" s="3237" t="s">
        <v>4458</v>
      </c>
      <c r="C299" s="3237" t="s">
        <v>3535</v>
      </c>
      <c r="D299" s="3237" t="s">
        <v>4459</v>
      </c>
      <c r="E299" s="3237" t="s">
        <v>4460</v>
      </c>
      <c r="F299" s="3237" t="s">
        <v>4461</v>
      </c>
      <c r="G299" s="3237" t="s">
        <v>4442</v>
      </c>
      <c r="H299" s="3237" t="s">
        <v>3219</v>
      </c>
      <c r="I299" s="3236" t="s">
        <v>4462</v>
      </c>
      <c r="J299" s="3236">
        <v>30.45</v>
      </c>
    </row>
    <row r="300" spans="1:10" ht="11.25" customHeight="1">
      <c r="A300" s="3363">
        <v>294</v>
      </c>
      <c r="B300" s="3237" t="s">
        <v>4458</v>
      </c>
      <c r="C300" s="3237" t="s">
        <v>3536</v>
      </c>
      <c r="D300" s="3237" t="s">
        <v>4459</v>
      </c>
      <c r="E300" s="3237" t="s">
        <v>4460</v>
      </c>
      <c r="F300" s="3237" t="s">
        <v>4461</v>
      </c>
      <c r="G300" s="3237" t="s">
        <v>4442</v>
      </c>
      <c r="H300" s="3237" t="s">
        <v>3219</v>
      </c>
      <c r="I300" s="3236" t="s">
        <v>4462</v>
      </c>
      <c r="J300" s="3236">
        <v>30.45</v>
      </c>
    </row>
    <row r="301" spans="1:10" ht="11.25" customHeight="1">
      <c r="A301" s="3363">
        <v>295</v>
      </c>
      <c r="B301" s="3237" t="s">
        <v>4458</v>
      </c>
      <c r="C301" s="3237" t="s">
        <v>3537</v>
      </c>
      <c r="D301" s="3237" t="s">
        <v>4459</v>
      </c>
      <c r="E301" s="3237" t="s">
        <v>4460</v>
      </c>
      <c r="F301" s="3237" t="s">
        <v>4461</v>
      </c>
      <c r="G301" s="3237" t="s">
        <v>4442</v>
      </c>
      <c r="H301" s="3237" t="s">
        <v>3219</v>
      </c>
      <c r="I301" s="3236" t="s">
        <v>4462</v>
      </c>
      <c r="J301" s="3236">
        <v>30.45</v>
      </c>
    </row>
    <row r="302" spans="1:10" ht="11.25" customHeight="1">
      <c r="A302" s="3363">
        <v>296</v>
      </c>
      <c r="B302" s="3237" t="s">
        <v>4458</v>
      </c>
      <c r="C302" s="3237" t="s">
        <v>3538</v>
      </c>
      <c r="D302" s="3237" t="s">
        <v>4459</v>
      </c>
      <c r="E302" s="3237" t="s">
        <v>4460</v>
      </c>
      <c r="F302" s="3237" t="s">
        <v>4461</v>
      </c>
      <c r="G302" s="3237" t="s">
        <v>4442</v>
      </c>
      <c r="H302" s="3237" t="s">
        <v>3219</v>
      </c>
      <c r="I302" s="3236" t="s">
        <v>4462</v>
      </c>
      <c r="J302" s="3236">
        <v>30.45</v>
      </c>
    </row>
    <row r="303" spans="1:10" ht="11.25" customHeight="1">
      <c r="A303" s="3363">
        <v>297</v>
      </c>
      <c r="B303" s="3237" t="s">
        <v>4458</v>
      </c>
      <c r="C303" s="3237" t="s">
        <v>3539</v>
      </c>
      <c r="D303" s="3237" t="s">
        <v>4459</v>
      </c>
      <c r="E303" s="3237" t="s">
        <v>4460</v>
      </c>
      <c r="F303" s="3237" t="s">
        <v>4461</v>
      </c>
      <c r="G303" s="3237" t="s">
        <v>4442</v>
      </c>
      <c r="H303" s="3237" t="s">
        <v>3219</v>
      </c>
      <c r="I303" s="3236" t="s">
        <v>4462</v>
      </c>
      <c r="J303" s="3236">
        <v>30.45</v>
      </c>
    </row>
    <row r="304" spans="1:10" ht="11.25" customHeight="1">
      <c r="A304" s="3363">
        <v>298</v>
      </c>
      <c r="B304" s="3237" t="s">
        <v>4458</v>
      </c>
      <c r="C304" s="3237" t="s">
        <v>3540</v>
      </c>
      <c r="D304" s="3237" t="s">
        <v>4459</v>
      </c>
      <c r="E304" s="3237" t="s">
        <v>4460</v>
      </c>
      <c r="F304" s="3237" t="s">
        <v>4461</v>
      </c>
      <c r="G304" s="3237" t="s">
        <v>4442</v>
      </c>
      <c r="H304" s="3237" t="s">
        <v>3219</v>
      </c>
      <c r="I304" s="3236" t="s">
        <v>4462</v>
      </c>
      <c r="J304" s="3236">
        <v>30.45</v>
      </c>
    </row>
    <row r="305" spans="1:10" ht="11.25" customHeight="1">
      <c r="A305" s="3363">
        <v>299</v>
      </c>
      <c r="B305" s="3237" t="s">
        <v>4458</v>
      </c>
      <c r="C305" s="3237" t="s">
        <v>3541</v>
      </c>
      <c r="D305" s="3237" t="s">
        <v>4459</v>
      </c>
      <c r="E305" s="3237" t="s">
        <v>4460</v>
      </c>
      <c r="F305" s="3237" t="s">
        <v>4461</v>
      </c>
      <c r="G305" s="3237" t="s">
        <v>4442</v>
      </c>
      <c r="H305" s="3237" t="s">
        <v>3219</v>
      </c>
      <c r="I305" s="3236" t="s">
        <v>4462</v>
      </c>
      <c r="J305" s="3236">
        <v>30.45</v>
      </c>
    </row>
    <row r="306" spans="1:10" ht="11.25" customHeight="1">
      <c r="A306" s="3363">
        <v>300</v>
      </c>
      <c r="B306" s="3237" t="s">
        <v>4458</v>
      </c>
      <c r="C306" s="3237" t="s">
        <v>3542</v>
      </c>
      <c r="D306" s="3237" t="s">
        <v>4459</v>
      </c>
      <c r="E306" s="3237" t="s">
        <v>4460</v>
      </c>
      <c r="F306" s="3237" t="s">
        <v>4461</v>
      </c>
      <c r="G306" s="3237" t="s">
        <v>4442</v>
      </c>
      <c r="H306" s="3237" t="s">
        <v>3219</v>
      </c>
      <c r="I306" s="3236" t="s">
        <v>4462</v>
      </c>
      <c r="J306" s="3236">
        <v>30.45</v>
      </c>
    </row>
    <row r="307" spans="1:10" ht="11.25" customHeight="1">
      <c r="A307" s="3363">
        <v>301</v>
      </c>
      <c r="B307" s="3237" t="s">
        <v>4458</v>
      </c>
      <c r="C307" s="3237" t="s">
        <v>3543</v>
      </c>
      <c r="D307" s="3237" t="s">
        <v>4459</v>
      </c>
      <c r="E307" s="3237" t="s">
        <v>4460</v>
      </c>
      <c r="F307" s="3237" t="s">
        <v>4461</v>
      </c>
      <c r="G307" s="3237" t="s">
        <v>4442</v>
      </c>
      <c r="H307" s="3237" t="s">
        <v>3219</v>
      </c>
      <c r="I307" s="3236" t="s">
        <v>4462</v>
      </c>
      <c r="J307" s="3236">
        <v>30.45</v>
      </c>
    </row>
    <row r="308" spans="1:10" ht="11.25" customHeight="1">
      <c r="A308" s="3363">
        <v>302</v>
      </c>
      <c r="B308" s="3237" t="s">
        <v>4458</v>
      </c>
      <c r="C308" s="3237" t="s">
        <v>3544</v>
      </c>
      <c r="D308" s="3237" t="s">
        <v>4459</v>
      </c>
      <c r="E308" s="3237" t="s">
        <v>4460</v>
      </c>
      <c r="F308" s="3237" t="s">
        <v>4461</v>
      </c>
      <c r="G308" s="3237" t="s">
        <v>4442</v>
      </c>
      <c r="H308" s="3237" t="s">
        <v>3219</v>
      </c>
      <c r="I308" s="3236" t="s">
        <v>4462</v>
      </c>
      <c r="J308" s="3236">
        <v>30.45</v>
      </c>
    </row>
    <row r="309" spans="1:10" ht="11.25" customHeight="1">
      <c r="A309" s="3363">
        <v>303</v>
      </c>
      <c r="B309" s="3237" t="s">
        <v>4458</v>
      </c>
      <c r="C309" s="3237" t="s">
        <v>3545</v>
      </c>
      <c r="D309" s="3237" t="s">
        <v>4459</v>
      </c>
      <c r="E309" s="3237" t="s">
        <v>4460</v>
      </c>
      <c r="F309" s="3237" t="s">
        <v>4461</v>
      </c>
      <c r="G309" s="3237" t="s">
        <v>4442</v>
      </c>
      <c r="H309" s="3237" t="s">
        <v>3219</v>
      </c>
      <c r="I309" s="3236" t="s">
        <v>4462</v>
      </c>
      <c r="J309" s="3236">
        <v>30.45</v>
      </c>
    </row>
    <row r="310" spans="1:10" ht="11.25" customHeight="1">
      <c r="A310" s="3363">
        <v>304</v>
      </c>
      <c r="B310" s="3237" t="s">
        <v>4458</v>
      </c>
      <c r="C310" s="3237" t="s">
        <v>3546</v>
      </c>
      <c r="D310" s="3237" t="s">
        <v>4459</v>
      </c>
      <c r="E310" s="3237" t="s">
        <v>4460</v>
      </c>
      <c r="F310" s="3237" t="s">
        <v>4461</v>
      </c>
      <c r="G310" s="3237" t="s">
        <v>4442</v>
      </c>
      <c r="H310" s="3237" t="s">
        <v>3219</v>
      </c>
      <c r="I310" s="3236" t="s">
        <v>4462</v>
      </c>
      <c r="J310" s="3236">
        <v>30.45</v>
      </c>
    </row>
    <row r="311" spans="1:10" ht="11.25" customHeight="1">
      <c r="A311" s="3363">
        <v>305</v>
      </c>
      <c r="B311" s="3237" t="s">
        <v>4458</v>
      </c>
      <c r="C311" s="3237" t="s">
        <v>3547</v>
      </c>
      <c r="D311" s="3237" t="s">
        <v>4459</v>
      </c>
      <c r="E311" s="3237" t="s">
        <v>4460</v>
      </c>
      <c r="F311" s="3237" t="s">
        <v>4461</v>
      </c>
      <c r="G311" s="3237" t="s">
        <v>4442</v>
      </c>
      <c r="H311" s="3237" t="s">
        <v>3219</v>
      </c>
      <c r="I311" s="3236" t="s">
        <v>4462</v>
      </c>
      <c r="J311" s="3236">
        <v>30.45</v>
      </c>
    </row>
    <row r="312" spans="1:10" ht="11.25" customHeight="1">
      <c r="A312" s="3363">
        <v>306</v>
      </c>
      <c r="B312" s="3237" t="s">
        <v>4458</v>
      </c>
      <c r="C312" s="3237" t="s">
        <v>3548</v>
      </c>
      <c r="D312" s="3237" t="s">
        <v>4459</v>
      </c>
      <c r="E312" s="3237" t="s">
        <v>4460</v>
      </c>
      <c r="F312" s="3237" t="s">
        <v>4461</v>
      </c>
      <c r="G312" s="3237" t="s">
        <v>4442</v>
      </c>
      <c r="H312" s="3237" t="s">
        <v>3219</v>
      </c>
      <c r="I312" s="3236" t="s">
        <v>4462</v>
      </c>
      <c r="J312" s="3236">
        <v>30.45</v>
      </c>
    </row>
    <row r="313" spans="1:10" ht="11.25" customHeight="1">
      <c r="A313" s="3363">
        <v>307</v>
      </c>
      <c r="B313" s="3237" t="s">
        <v>4458</v>
      </c>
      <c r="C313" s="3237" t="s">
        <v>3549</v>
      </c>
      <c r="D313" s="3237" t="s">
        <v>4459</v>
      </c>
      <c r="E313" s="3237" t="s">
        <v>4460</v>
      </c>
      <c r="F313" s="3237" t="s">
        <v>4461</v>
      </c>
      <c r="G313" s="3237" t="s">
        <v>4442</v>
      </c>
      <c r="H313" s="3237" t="s">
        <v>3219</v>
      </c>
      <c r="I313" s="3236" t="s">
        <v>4462</v>
      </c>
      <c r="J313" s="3236">
        <v>30.45</v>
      </c>
    </row>
    <row r="314" spans="1:10" ht="11.25" customHeight="1">
      <c r="A314" s="3363">
        <v>308</v>
      </c>
      <c r="B314" s="3237" t="s">
        <v>4458</v>
      </c>
      <c r="C314" s="3237" t="s">
        <v>3550</v>
      </c>
      <c r="D314" s="3237" t="s">
        <v>4459</v>
      </c>
      <c r="E314" s="3237" t="s">
        <v>4460</v>
      </c>
      <c r="F314" s="3237" t="s">
        <v>4461</v>
      </c>
      <c r="G314" s="3237" t="s">
        <v>4442</v>
      </c>
      <c r="H314" s="3237" t="s">
        <v>3219</v>
      </c>
      <c r="I314" s="3236" t="s">
        <v>4462</v>
      </c>
      <c r="J314" s="3236">
        <v>30.45</v>
      </c>
    </row>
    <row r="315" spans="1:10" ht="11.25" customHeight="1">
      <c r="A315" s="3363">
        <v>309</v>
      </c>
      <c r="B315" s="3237" t="s">
        <v>4458</v>
      </c>
      <c r="C315" s="3237" t="s">
        <v>3551</v>
      </c>
      <c r="D315" s="3237" t="s">
        <v>4459</v>
      </c>
      <c r="E315" s="3237" t="s">
        <v>4460</v>
      </c>
      <c r="F315" s="3237" t="s">
        <v>4461</v>
      </c>
      <c r="G315" s="3237" t="s">
        <v>4442</v>
      </c>
      <c r="H315" s="3237" t="s">
        <v>3219</v>
      </c>
      <c r="I315" s="3236" t="s">
        <v>4462</v>
      </c>
      <c r="J315" s="3236">
        <v>30.45</v>
      </c>
    </row>
    <row r="316" spans="1:10" ht="11.25" customHeight="1">
      <c r="A316" s="3363">
        <v>310</v>
      </c>
      <c r="B316" s="3237" t="s">
        <v>4458</v>
      </c>
      <c r="C316" s="3237" t="s">
        <v>3552</v>
      </c>
      <c r="D316" s="3237" t="s">
        <v>4459</v>
      </c>
      <c r="E316" s="3237" t="s">
        <v>4460</v>
      </c>
      <c r="F316" s="3237" t="s">
        <v>4461</v>
      </c>
      <c r="G316" s="3237" t="s">
        <v>4442</v>
      </c>
      <c r="H316" s="3237" t="s">
        <v>3219</v>
      </c>
      <c r="I316" s="3236" t="s">
        <v>4462</v>
      </c>
      <c r="J316" s="3236">
        <v>30.45</v>
      </c>
    </row>
    <row r="317" spans="1:10" ht="11.25" customHeight="1">
      <c r="A317" s="3363">
        <v>311</v>
      </c>
      <c r="B317" s="3237" t="s">
        <v>4458</v>
      </c>
      <c r="C317" s="3237" t="s">
        <v>3553</v>
      </c>
      <c r="D317" s="3237" t="s">
        <v>4459</v>
      </c>
      <c r="E317" s="3237" t="s">
        <v>4460</v>
      </c>
      <c r="F317" s="3237" t="s">
        <v>4461</v>
      </c>
      <c r="G317" s="3237" t="s">
        <v>4442</v>
      </c>
      <c r="H317" s="3237" t="s">
        <v>3219</v>
      </c>
      <c r="I317" s="3236" t="s">
        <v>4462</v>
      </c>
      <c r="J317" s="3236">
        <v>30.45</v>
      </c>
    </row>
    <row r="318" spans="1:10" ht="11.25" customHeight="1">
      <c r="A318" s="3363">
        <v>312</v>
      </c>
      <c r="B318" s="3237" t="s">
        <v>4458</v>
      </c>
      <c r="C318" s="3237" t="s">
        <v>3554</v>
      </c>
      <c r="D318" s="3237" t="s">
        <v>4459</v>
      </c>
      <c r="E318" s="3237" t="s">
        <v>4460</v>
      </c>
      <c r="F318" s="3237" t="s">
        <v>4461</v>
      </c>
      <c r="G318" s="3237" t="s">
        <v>4442</v>
      </c>
      <c r="H318" s="3237" t="s">
        <v>3219</v>
      </c>
      <c r="I318" s="3236" t="s">
        <v>4462</v>
      </c>
      <c r="J318" s="3236">
        <v>30.45</v>
      </c>
    </row>
    <row r="319" spans="1:10" ht="11.25" customHeight="1">
      <c r="A319" s="3363">
        <v>313</v>
      </c>
      <c r="B319" s="3237" t="s">
        <v>4458</v>
      </c>
      <c r="C319" s="3237" t="s">
        <v>3555</v>
      </c>
      <c r="D319" s="3237" t="s">
        <v>4459</v>
      </c>
      <c r="E319" s="3237" t="s">
        <v>4460</v>
      </c>
      <c r="F319" s="3237" t="s">
        <v>4461</v>
      </c>
      <c r="G319" s="3237" t="s">
        <v>4442</v>
      </c>
      <c r="H319" s="3237" t="s">
        <v>3219</v>
      </c>
      <c r="I319" s="3236" t="s">
        <v>4462</v>
      </c>
      <c r="J319" s="3236">
        <v>30.45</v>
      </c>
    </row>
    <row r="320" spans="1:10" ht="11.25" customHeight="1">
      <c r="A320" s="3363">
        <v>314</v>
      </c>
      <c r="B320" s="3237" t="s">
        <v>4458</v>
      </c>
      <c r="C320" s="3237" t="s">
        <v>3556</v>
      </c>
      <c r="D320" s="3237" t="s">
        <v>4459</v>
      </c>
      <c r="E320" s="3237" t="s">
        <v>4460</v>
      </c>
      <c r="F320" s="3237" t="s">
        <v>4461</v>
      </c>
      <c r="G320" s="3237" t="s">
        <v>4442</v>
      </c>
      <c r="H320" s="3237" t="s">
        <v>3219</v>
      </c>
      <c r="I320" s="3236" t="s">
        <v>4462</v>
      </c>
      <c r="J320" s="3236">
        <v>30.45</v>
      </c>
    </row>
    <row r="321" spans="1:10" ht="11.25" customHeight="1">
      <c r="A321" s="3363">
        <v>315</v>
      </c>
      <c r="B321" s="3237" t="s">
        <v>4458</v>
      </c>
      <c r="C321" s="3237" t="s">
        <v>3557</v>
      </c>
      <c r="D321" s="3237" t="s">
        <v>4459</v>
      </c>
      <c r="E321" s="3237" t="s">
        <v>4460</v>
      </c>
      <c r="F321" s="3237" t="s">
        <v>4461</v>
      </c>
      <c r="G321" s="3237" t="s">
        <v>4442</v>
      </c>
      <c r="H321" s="3237" t="s">
        <v>3219</v>
      </c>
      <c r="I321" s="3236" t="s">
        <v>4462</v>
      </c>
      <c r="J321" s="3236">
        <v>30.45</v>
      </c>
    </row>
    <row r="322" spans="1:10" ht="11.25" customHeight="1">
      <c r="A322" s="3363">
        <v>316</v>
      </c>
      <c r="B322" s="3237" t="s">
        <v>4458</v>
      </c>
      <c r="C322" s="3237" t="s">
        <v>3558</v>
      </c>
      <c r="D322" s="3237" t="s">
        <v>4459</v>
      </c>
      <c r="E322" s="3237" t="s">
        <v>4460</v>
      </c>
      <c r="F322" s="3237" t="s">
        <v>4461</v>
      </c>
      <c r="G322" s="3237" t="s">
        <v>4442</v>
      </c>
      <c r="H322" s="3237" t="s">
        <v>3219</v>
      </c>
      <c r="I322" s="3236" t="s">
        <v>4462</v>
      </c>
      <c r="J322" s="3236">
        <v>30.45</v>
      </c>
    </row>
    <row r="323" spans="1:10" ht="11.25" customHeight="1">
      <c r="A323" s="3363">
        <v>317</v>
      </c>
      <c r="B323" s="3237" t="s">
        <v>4458</v>
      </c>
      <c r="C323" s="3237" t="s">
        <v>3559</v>
      </c>
      <c r="D323" s="3237" t="s">
        <v>4459</v>
      </c>
      <c r="E323" s="3237" t="s">
        <v>4460</v>
      </c>
      <c r="F323" s="3237" t="s">
        <v>4461</v>
      </c>
      <c r="G323" s="3237" t="s">
        <v>4442</v>
      </c>
      <c r="H323" s="3237" t="s">
        <v>3219</v>
      </c>
      <c r="I323" s="3236" t="s">
        <v>4462</v>
      </c>
      <c r="J323" s="3236">
        <v>30.45</v>
      </c>
    </row>
    <row r="324" spans="1:10" ht="11.25" customHeight="1">
      <c r="A324" s="3363">
        <v>318</v>
      </c>
      <c r="B324" s="3237" t="s">
        <v>4458</v>
      </c>
      <c r="C324" s="3237" t="s">
        <v>3560</v>
      </c>
      <c r="D324" s="3237" t="s">
        <v>4459</v>
      </c>
      <c r="E324" s="3237" t="s">
        <v>4460</v>
      </c>
      <c r="F324" s="3237" t="s">
        <v>4461</v>
      </c>
      <c r="G324" s="3237" t="s">
        <v>4442</v>
      </c>
      <c r="H324" s="3237" t="s">
        <v>3219</v>
      </c>
      <c r="I324" s="3236" t="s">
        <v>4462</v>
      </c>
      <c r="J324" s="3236">
        <v>30.45</v>
      </c>
    </row>
    <row r="325" spans="1:10" ht="11.25" customHeight="1">
      <c r="A325" s="3363">
        <v>319</v>
      </c>
      <c r="B325" s="3237" t="s">
        <v>4458</v>
      </c>
      <c r="C325" s="3237" t="s">
        <v>3561</v>
      </c>
      <c r="D325" s="3237" t="s">
        <v>4459</v>
      </c>
      <c r="E325" s="3237" t="s">
        <v>4460</v>
      </c>
      <c r="F325" s="3237" t="s">
        <v>4461</v>
      </c>
      <c r="G325" s="3237" t="s">
        <v>4442</v>
      </c>
      <c r="H325" s="3237" t="s">
        <v>3219</v>
      </c>
      <c r="I325" s="3236" t="s">
        <v>4462</v>
      </c>
      <c r="J325" s="3236">
        <v>30.45</v>
      </c>
    </row>
    <row r="326" spans="1:10" ht="11.25" customHeight="1">
      <c r="A326" s="3363">
        <v>320</v>
      </c>
      <c r="B326" s="3237" t="s">
        <v>4458</v>
      </c>
      <c r="C326" s="3237" t="s">
        <v>3562</v>
      </c>
      <c r="D326" s="3237" t="s">
        <v>4459</v>
      </c>
      <c r="E326" s="3237" t="s">
        <v>4460</v>
      </c>
      <c r="F326" s="3237" t="s">
        <v>4461</v>
      </c>
      <c r="G326" s="3237" t="s">
        <v>4442</v>
      </c>
      <c r="H326" s="3237" t="s">
        <v>3219</v>
      </c>
      <c r="I326" s="3236" t="s">
        <v>4462</v>
      </c>
      <c r="J326" s="3236">
        <v>30.45</v>
      </c>
    </row>
    <row r="327" spans="1:10" ht="11.25" customHeight="1">
      <c r="A327" s="3363">
        <v>321</v>
      </c>
      <c r="B327" s="3237" t="s">
        <v>4458</v>
      </c>
      <c r="C327" s="3237" t="s">
        <v>3563</v>
      </c>
      <c r="D327" s="3237" t="s">
        <v>4459</v>
      </c>
      <c r="E327" s="3237" t="s">
        <v>4460</v>
      </c>
      <c r="F327" s="3237" t="s">
        <v>4461</v>
      </c>
      <c r="G327" s="3237" t="s">
        <v>4442</v>
      </c>
      <c r="H327" s="3237" t="s">
        <v>3219</v>
      </c>
      <c r="I327" s="3236" t="s">
        <v>4462</v>
      </c>
      <c r="J327" s="3236">
        <v>30.45</v>
      </c>
    </row>
    <row r="328" spans="1:10" ht="11.25" customHeight="1">
      <c r="A328" s="3363">
        <v>322</v>
      </c>
      <c r="B328" s="3237" t="s">
        <v>4458</v>
      </c>
      <c r="C328" s="3237" t="s">
        <v>3564</v>
      </c>
      <c r="D328" s="3237" t="s">
        <v>4459</v>
      </c>
      <c r="E328" s="3237" t="s">
        <v>4460</v>
      </c>
      <c r="F328" s="3237" t="s">
        <v>4461</v>
      </c>
      <c r="G328" s="3237" t="s">
        <v>4442</v>
      </c>
      <c r="H328" s="3237" t="s">
        <v>3219</v>
      </c>
      <c r="I328" s="3236" t="s">
        <v>4462</v>
      </c>
      <c r="J328" s="3236">
        <v>30.45</v>
      </c>
    </row>
    <row r="329" spans="1:10" ht="11.25" customHeight="1">
      <c r="A329" s="3363">
        <v>323</v>
      </c>
      <c r="B329" s="3237" t="s">
        <v>4458</v>
      </c>
      <c r="C329" s="3237" t="s">
        <v>3565</v>
      </c>
      <c r="D329" s="3237" t="s">
        <v>4459</v>
      </c>
      <c r="E329" s="3237" t="s">
        <v>4460</v>
      </c>
      <c r="F329" s="3237" t="s">
        <v>4461</v>
      </c>
      <c r="G329" s="3237" t="s">
        <v>4442</v>
      </c>
      <c r="H329" s="3237" t="s">
        <v>3219</v>
      </c>
      <c r="I329" s="3236" t="s">
        <v>4462</v>
      </c>
      <c r="J329" s="3236">
        <v>30.45</v>
      </c>
    </row>
    <row r="330" spans="1:10" ht="11.25" customHeight="1">
      <c r="A330" s="3363">
        <v>324</v>
      </c>
      <c r="B330" s="3237" t="s">
        <v>4458</v>
      </c>
      <c r="C330" s="3237" t="s">
        <v>3566</v>
      </c>
      <c r="D330" s="3237" t="s">
        <v>4459</v>
      </c>
      <c r="E330" s="3237" t="s">
        <v>4460</v>
      </c>
      <c r="F330" s="3237" t="s">
        <v>4461</v>
      </c>
      <c r="G330" s="3237" t="s">
        <v>4442</v>
      </c>
      <c r="H330" s="3237" t="s">
        <v>3219</v>
      </c>
      <c r="I330" s="3236" t="s">
        <v>4462</v>
      </c>
      <c r="J330" s="3236">
        <v>30.45</v>
      </c>
    </row>
    <row r="331" spans="1:10" ht="11.25" customHeight="1">
      <c r="A331" s="3363">
        <v>325</v>
      </c>
      <c r="B331" s="3237" t="s">
        <v>4458</v>
      </c>
      <c r="C331" s="3237" t="s">
        <v>3567</v>
      </c>
      <c r="D331" s="3237" t="s">
        <v>4459</v>
      </c>
      <c r="E331" s="3237" t="s">
        <v>4460</v>
      </c>
      <c r="F331" s="3237" t="s">
        <v>4461</v>
      </c>
      <c r="G331" s="3237" t="s">
        <v>4442</v>
      </c>
      <c r="H331" s="3237" t="s">
        <v>3219</v>
      </c>
      <c r="I331" s="3236" t="s">
        <v>4462</v>
      </c>
      <c r="J331" s="3236">
        <v>30.45</v>
      </c>
    </row>
    <row r="332" spans="1:10" ht="11.25" customHeight="1">
      <c r="A332" s="3363">
        <v>326</v>
      </c>
      <c r="B332" s="3237" t="s">
        <v>4458</v>
      </c>
      <c r="C332" s="3237" t="s">
        <v>3568</v>
      </c>
      <c r="D332" s="3237" t="s">
        <v>4459</v>
      </c>
      <c r="E332" s="3237" t="s">
        <v>4460</v>
      </c>
      <c r="F332" s="3237" t="s">
        <v>4461</v>
      </c>
      <c r="G332" s="3237" t="s">
        <v>4442</v>
      </c>
      <c r="H332" s="3237" t="s">
        <v>3219</v>
      </c>
      <c r="I332" s="3236" t="s">
        <v>4462</v>
      </c>
      <c r="J332" s="3236">
        <v>30.45</v>
      </c>
    </row>
    <row r="333" spans="1:10" ht="11.25" customHeight="1">
      <c r="A333" s="3363">
        <v>327</v>
      </c>
      <c r="B333" s="3237" t="s">
        <v>4458</v>
      </c>
      <c r="C333" s="3237" t="s">
        <v>3569</v>
      </c>
      <c r="D333" s="3237" t="s">
        <v>4459</v>
      </c>
      <c r="E333" s="3237" t="s">
        <v>4460</v>
      </c>
      <c r="F333" s="3237" t="s">
        <v>4461</v>
      </c>
      <c r="G333" s="3237" t="s">
        <v>4442</v>
      </c>
      <c r="H333" s="3237" t="s">
        <v>3219</v>
      </c>
      <c r="I333" s="3236" t="s">
        <v>4462</v>
      </c>
      <c r="J333" s="3236">
        <v>30.45</v>
      </c>
    </row>
    <row r="334" spans="1:10" ht="11.25" customHeight="1">
      <c r="A334" s="3363">
        <v>328</v>
      </c>
      <c r="B334" s="3237" t="s">
        <v>4458</v>
      </c>
      <c r="C334" s="3237" t="s">
        <v>3570</v>
      </c>
      <c r="D334" s="3237" t="s">
        <v>4459</v>
      </c>
      <c r="E334" s="3237" t="s">
        <v>4460</v>
      </c>
      <c r="F334" s="3237" t="s">
        <v>4461</v>
      </c>
      <c r="G334" s="3237" t="s">
        <v>4442</v>
      </c>
      <c r="H334" s="3237" t="s">
        <v>3219</v>
      </c>
      <c r="I334" s="3236" t="s">
        <v>4462</v>
      </c>
      <c r="J334" s="3236">
        <v>30.45</v>
      </c>
    </row>
    <row r="335" spans="1:10" ht="11.25" customHeight="1">
      <c r="A335" s="3363">
        <v>329</v>
      </c>
      <c r="B335" s="3237" t="s">
        <v>4458</v>
      </c>
      <c r="C335" s="3237" t="s">
        <v>3571</v>
      </c>
      <c r="D335" s="3237" t="s">
        <v>4459</v>
      </c>
      <c r="E335" s="3237" t="s">
        <v>4460</v>
      </c>
      <c r="F335" s="3237" t="s">
        <v>4461</v>
      </c>
      <c r="G335" s="3237" t="s">
        <v>4442</v>
      </c>
      <c r="H335" s="3237" t="s">
        <v>3219</v>
      </c>
      <c r="I335" s="3236" t="s">
        <v>4462</v>
      </c>
      <c r="J335" s="3236">
        <v>30.45</v>
      </c>
    </row>
    <row r="336" spans="1:10" ht="11.25" customHeight="1">
      <c r="A336" s="3363">
        <v>330</v>
      </c>
      <c r="B336" s="3237" t="s">
        <v>4458</v>
      </c>
      <c r="C336" s="3237" t="s">
        <v>3572</v>
      </c>
      <c r="D336" s="3237" t="s">
        <v>4459</v>
      </c>
      <c r="E336" s="3237" t="s">
        <v>4460</v>
      </c>
      <c r="F336" s="3237" t="s">
        <v>4461</v>
      </c>
      <c r="G336" s="3237" t="s">
        <v>4442</v>
      </c>
      <c r="H336" s="3237" t="s">
        <v>3219</v>
      </c>
      <c r="I336" s="3236" t="s">
        <v>4462</v>
      </c>
      <c r="J336" s="3236">
        <v>30.45</v>
      </c>
    </row>
    <row r="337" spans="1:12" ht="11.25" customHeight="1">
      <c r="A337" s="3363">
        <v>331</v>
      </c>
      <c r="B337" s="3237" t="s">
        <v>4458</v>
      </c>
      <c r="C337" s="3237" t="s">
        <v>3573</v>
      </c>
      <c r="D337" s="3237" t="s">
        <v>4459</v>
      </c>
      <c r="E337" s="3237" t="s">
        <v>4460</v>
      </c>
      <c r="F337" s="3237" t="s">
        <v>4461</v>
      </c>
      <c r="G337" s="3237" t="s">
        <v>4442</v>
      </c>
      <c r="H337" s="3237" t="s">
        <v>3219</v>
      </c>
      <c r="I337" s="3236" t="s">
        <v>4462</v>
      </c>
      <c r="J337" s="3236">
        <v>30.45</v>
      </c>
      <c r="L337" s="3241"/>
    </row>
    <row r="338" spans="1:12" ht="11.25" customHeight="1">
      <c r="A338" s="3363">
        <v>332</v>
      </c>
      <c r="B338" s="3237" t="s">
        <v>4458</v>
      </c>
      <c r="C338" s="3237" t="s">
        <v>3574</v>
      </c>
      <c r="D338" s="3237" t="s">
        <v>4459</v>
      </c>
      <c r="E338" s="3237" t="s">
        <v>4460</v>
      </c>
      <c r="F338" s="3237" t="s">
        <v>4461</v>
      </c>
      <c r="G338" s="3237" t="s">
        <v>4442</v>
      </c>
      <c r="H338" s="3237" t="s">
        <v>3219</v>
      </c>
      <c r="I338" s="3237" t="s">
        <v>4462</v>
      </c>
      <c r="J338" s="3236">
        <v>30.45</v>
      </c>
    </row>
    <row r="339" spans="1:12" ht="11.25" customHeight="1">
      <c r="A339" s="3363"/>
      <c r="B339" s="3237"/>
      <c r="C339" s="3237"/>
      <c r="D339" s="3237"/>
      <c r="E339" s="3237"/>
      <c r="F339" s="3237"/>
      <c r="G339" s="3237"/>
      <c r="H339" s="3490" t="s">
        <v>4463</v>
      </c>
      <c r="I339" s="3490"/>
      <c r="J339" s="3242">
        <f>SUM(J7:J338)</f>
        <v>10132.520000000013</v>
      </c>
    </row>
    <row r="340" spans="1:12" ht="11.25" customHeight="1">
      <c r="A340" s="3363" t="s">
        <v>4838</v>
      </c>
      <c r="B340" s="3363" t="s">
        <v>4464</v>
      </c>
      <c r="C340" s="3363" t="s">
        <v>3575</v>
      </c>
      <c r="D340" s="3363" t="s">
        <v>4459</v>
      </c>
      <c r="E340" s="3363" t="s">
        <v>4460</v>
      </c>
      <c r="F340" s="3363" t="s">
        <v>4465</v>
      </c>
      <c r="G340" s="3363" t="s">
        <v>3660</v>
      </c>
      <c r="H340" s="3363" t="s">
        <v>3219</v>
      </c>
      <c r="I340" s="3363" t="s">
        <v>4462</v>
      </c>
      <c r="J340" s="3236">
        <v>53.1</v>
      </c>
    </row>
    <row r="341" spans="1:12" ht="11.25" customHeight="1">
      <c r="A341" s="3363" t="s">
        <v>4839</v>
      </c>
      <c r="B341" s="3363" t="s">
        <v>4464</v>
      </c>
      <c r="C341" s="3363" t="s">
        <v>3576</v>
      </c>
      <c r="D341" s="3363" t="s">
        <v>4459</v>
      </c>
      <c r="E341" s="3363" t="s">
        <v>4460</v>
      </c>
      <c r="F341" s="3363" t="s">
        <v>4465</v>
      </c>
      <c r="G341" s="3363" t="s">
        <v>3660</v>
      </c>
      <c r="H341" s="3363" t="s">
        <v>3219</v>
      </c>
      <c r="I341" s="3363" t="s">
        <v>4462</v>
      </c>
      <c r="J341" s="3236">
        <v>53.1</v>
      </c>
    </row>
    <row r="342" spans="1:12" ht="11.25" customHeight="1">
      <c r="A342" s="3363" t="s">
        <v>4840</v>
      </c>
      <c r="B342" s="3363" t="s">
        <v>4464</v>
      </c>
      <c r="C342" s="3363" t="s">
        <v>3577</v>
      </c>
      <c r="D342" s="3363" t="s">
        <v>4459</v>
      </c>
      <c r="E342" s="3363" t="s">
        <v>4460</v>
      </c>
      <c r="F342" s="3363" t="s">
        <v>4465</v>
      </c>
      <c r="G342" s="3363" t="s">
        <v>3660</v>
      </c>
      <c r="H342" s="3363" t="s">
        <v>3219</v>
      </c>
      <c r="I342" s="3363" t="s">
        <v>4462</v>
      </c>
      <c r="J342" s="3236">
        <v>53.1</v>
      </c>
    </row>
    <row r="343" spans="1:12" ht="11.25" customHeight="1">
      <c r="A343" s="3363" t="s">
        <v>4841</v>
      </c>
      <c r="B343" s="3363" t="s">
        <v>4464</v>
      </c>
      <c r="C343" s="3363" t="s">
        <v>3578</v>
      </c>
      <c r="D343" s="3363" t="s">
        <v>4459</v>
      </c>
      <c r="E343" s="3363" t="s">
        <v>4460</v>
      </c>
      <c r="F343" s="3363" t="s">
        <v>4465</v>
      </c>
      <c r="G343" s="3363" t="s">
        <v>3660</v>
      </c>
      <c r="H343" s="3363" t="s">
        <v>3219</v>
      </c>
      <c r="I343" s="3363" t="s">
        <v>4462</v>
      </c>
      <c r="J343" s="3236">
        <v>53.1</v>
      </c>
    </row>
    <row r="344" spans="1:12" ht="11.25" customHeight="1">
      <c r="A344" s="3363" t="s">
        <v>4511</v>
      </c>
      <c r="B344" s="3363" t="s">
        <v>4464</v>
      </c>
      <c r="C344" s="3363" t="s">
        <v>3579</v>
      </c>
      <c r="D344" s="3363" t="s">
        <v>4459</v>
      </c>
      <c r="E344" s="3363" t="s">
        <v>4460</v>
      </c>
      <c r="F344" s="3363" t="s">
        <v>4465</v>
      </c>
      <c r="G344" s="3363" t="s">
        <v>3660</v>
      </c>
      <c r="H344" s="3363" t="s">
        <v>3219</v>
      </c>
      <c r="I344" s="3363" t="s">
        <v>4462</v>
      </c>
      <c r="J344" s="3236">
        <v>53.1</v>
      </c>
    </row>
    <row r="345" spans="1:12" ht="11.25" customHeight="1">
      <c r="A345" s="3363" t="s">
        <v>4842</v>
      </c>
      <c r="B345" s="3363" t="s">
        <v>4464</v>
      </c>
      <c r="C345" s="3363" t="s">
        <v>3580</v>
      </c>
      <c r="D345" s="3363" t="s">
        <v>4459</v>
      </c>
      <c r="E345" s="3363" t="s">
        <v>4460</v>
      </c>
      <c r="F345" s="3363" t="s">
        <v>4465</v>
      </c>
      <c r="G345" s="3363" t="s">
        <v>3660</v>
      </c>
      <c r="H345" s="3363" t="s">
        <v>3219</v>
      </c>
      <c r="I345" s="3363" t="s">
        <v>4462</v>
      </c>
      <c r="J345" s="3236">
        <v>53.1</v>
      </c>
    </row>
    <row r="346" spans="1:12" ht="11.25" customHeight="1">
      <c r="A346" s="3363" t="s">
        <v>4517</v>
      </c>
      <c r="B346" s="3363" t="s">
        <v>4464</v>
      </c>
      <c r="C346" s="3363" t="s">
        <v>3581</v>
      </c>
      <c r="D346" s="3363" t="s">
        <v>4459</v>
      </c>
      <c r="E346" s="3363" t="s">
        <v>4460</v>
      </c>
      <c r="F346" s="3363" t="s">
        <v>4465</v>
      </c>
      <c r="G346" s="3363" t="s">
        <v>3660</v>
      </c>
      <c r="H346" s="3363" t="s">
        <v>3219</v>
      </c>
      <c r="I346" s="3363" t="s">
        <v>4462</v>
      </c>
      <c r="J346" s="3236">
        <v>53.1</v>
      </c>
    </row>
    <row r="347" spans="1:12" ht="11.25" customHeight="1">
      <c r="A347" s="3363" t="s">
        <v>4843</v>
      </c>
      <c r="B347" s="3363" t="s">
        <v>4464</v>
      </c>
      <c r="C347" s="3363" t="s">
        <v>3582</v>
      </c>
      <c r="D347" s="3363" t="s">
        <v>4459</v>
      </c>
      <c r="E347" s="3363" t="s">
        <v>4460</v>
      </c>
      <c r="F347" s="3363" t="s">
        <v>4465</v>
      </c>
      <c r="G347" s="3363" t="s">
        <v>3660</v>
      </c>
      <c r="H347" s="3363" t="s">
        <v>3219</v>
      </c>
      <c r="I347" s="3363" t="s">
        <v>4462</v>
      </c>
      <c r="J347" s="3236">
        <v>53.1</v>
      </c>
    </row>
    <row r="348" spans="1:12" ht="11.25" customHeight="1">
      <c r="A348" s="3363" t="s">
        <v>4521</v>
      </c>
      <c r="B348" s="3363" t="s">
        <v>4464</v>
      </c>
      <c r="C348" s="3363" t="s">
        <v>3583</v>
      </c>
      <c r="D348" s="3363" t="s">
        <v>4459</v>
      </c>
      <c r="E348" s="3363" t="s">
        <v>4460</v>
      </c>
      <c r="F348" s="3363" t="s">
        <v>4465</v>
      </c>
      <c r="G348" s="3363" t="s">
        <v>3660</v>
      </c>
      <c r="H348" s="3363" t="s">
        <v>3219</v>
      </c>
      <c r="I348" s="3363" t="s">
        <v>4462</v>
      </c>
      <c r="J348" s="3236">
        <v>53.1</v>
      </c>
    </row>
    <row r="349" spans="1:12" ht="11.25" customHeight="1">
      <c r="A349" s="3363" t="s">
        <v>4844</v>
      </c>
      <c r="B349" s="3363" t="s">
        <v>4464</v>
      </c>
      <c r="C349" s="3363" t="s">
        <v>3584</v>
      </c>
      <c r="D349" s="3363" t="s">
        <v>4459</v>
      </c>
      <c r="E349" s="3363" t="s">
        <v>4460</v>
      </c>
      <c r="F349" s="3363" t="s">
        <v>4465</v>
      </c>
      <c r="G349" s="3363" t="s">
        <v>3660</v>
      </c>
      <c r="H349" s="3363" t="s">
        <v>3219</v>
      </c>
      <c r="I349" s="3363" t="s">
        <v>4462</v>
      </c>
      <c r="J349" s="3236">
        <v>53.1</v>
      </c>
    </row>
    <row r="350" spans="1:12" ht="11.25" customHeight="1">
      <c r="A350" s="3363" t="s">
        <v>4651</v>
      </c>
      <c r="B350" s="3363" t="s">
        <v>4464</v>
      </c>
      <c r="C350" s="3363" t="s">
        <v>3585</v>
      </c>
      <c r="D350" s="3363" t="s">
        <v>4459</v>
      </c>
      <c r="E350" s="3363" t="s">
        <v>4460</v>
      </c>
      <c r="F350" s="3363" t="s">
        <v>4465</v>
      </c>
      <c r="G350" s="3363" t="s">
        <v>3660</v>
      </c>
      <c r="H350" s="3363" t="s">
        <v>3219</v>
      </c>
      <c r="I350" s="3363" t="s">
        <v>4462</v>
      </c>
      <c r="J350" s="3236">
        <v>53.1</v>
      </c>
    </row>
    <row r="351" spans="1:12" ht="11.25" customHeight="1">
      <c r="A351" s="3363" t="s">
        <v>4751</v>
      </c>
      <c r="B351" s="3363" t="s">
        <v>4464</v>
      </c>
      <c r="C351" s="3363" t="s">
        <v>3586</v>
      </c>
      <c r="D351" s="3363" t="s">
        <v>4459</v>
      </c>
      <c r="E351" s="3363" t="s">
        <v>4460</v>
      </c>
      <c r="F351" s="3363" t="s">
        <v>4465</v>
      </c>
      <c r="G351" s="3363" t="s">
        <v>3660</v>
      </c>
      <c r="H351" s="3363" t="s">
        <v>3219</v>
      </c>
      <c r="I351" s="3363" t="s">
        <v>4462</v>
      </c>
      <c r="J351" s="3236">
        <v>53.1</v>
      </c>
    </row>
    <row r="352" spans="1:12" ht="11.25" customHeight="1">
      <c r="A352" s="3363" t="s">
        <v>4845</v>
      </c>
      <c r="B352" s="3363" t="s">
        <v>4464</v>
      </c>
      <c r="C352" s="3363" t="s">
        <v>3587</v>
      </c>
      <c r="D352" s="3363" t="s">
        <v>4459</v>
      </c>
      <c r="E352" s="3363" t="s">
        <v>4460</v>
      </c>
      <c r="F352" s="3363" t="s">
        <v>4465</v>
      </c>
      <c r="G352" s="3363" t="s">
        <v>3660</v>
      </c>
      <c r="H352" s="3363" t="s">
        <v>3219</v>
      </c>
      <c r="I352" s="3363" t="s">
        <v>4462</v>
      </c>
      <c r="J352" s="3236">
        <v>53.1</v>
      </c>
    </row>
    <row r="353" spans="1:10" ht="11.25" customHeight="1">
      <c r="A353" s="3363" t="s">
        <v>4846</v>
      </c>
      <c r="B353" s="3363" t="s">
        <v>4464</v>
      </c>
      <c r="C353" s="3363" t="s">
        <v>3588</v>
      </c>
      <c r="D353" s="3363" t="s">
        <v>4459</v>
      </c>
      <c r="E353" s="3363" t="s">
        <v>4460</v>
      </c>
      <c r="F353" s="3363" t="s">
        <v>4465</v>
      </c>
      <c r="G353" s="3363" t="s">
        <v>3660</v>
      </c>
      <c r="H353" s="3363" t="s">
        <v>3219</v>
      </c>
      <c r="I353" s="3363" t="s">
        <v>4462</v>
      </c>
      <c r="J353" s="3236">
        <v>53.1</v>
      </c>
    </row>
    <row r="354" spans="1:10" ht="11.25" customHeight="1">
      <c r="A354" s="3363" t="s">
        <v>4530</v>
      </c>
      <c r="B354" s="3363" t="s">
        <v>4464</v>
      </c>
      <c r="C354" s="3363" t="s">
        <v>3589</v>
      </c>
      <c r="D354" s="3363" t="s">
        <v>4459</v>
      </c>
      <c r="E354" s="3363" t="s">
        <v>4460</v>
      </c>
      <c r="F354" s="3363" t="s">
        <v>4465</v>
      </c>
      <c r="G354" s="3363" t="s">
        <v>3660</v>
      </c>
      <c r="H354" s="3363" t="s">
        <v>3219</v>
      </c>
      <c r="I354" s="3363" t="s">
        <v>4462</v>
      </c>
      <c r="J354" s="3236">
        <v>53.1</v>
      </c>
    </row>
    <row r="355" spans="1:10" ht="11.25" customHeight="1">
      <c r="A355" s="3363" t="s">
        <v>4654</v>
      </c>
      <c r="B355" s="3363" t="s">
        <v>4464</v>
      </c>
      <c r="C355" s="3363" t="s">
        <v>3590</v>
      </c>
      <c r="D355" s="3363" t="s">
        <v>4459</v>
      </c>
      <c r="E355" s="3363" t="s">
        <v>4460</v>
      </c>
      <c r="F355" s="3363" t="s">
        <v>4465</v>
      </c>
      <c r="G355" s="3363" t="s">
        <v>3660</v>
      </c>
      <c r="H355" s="3363" t="s">
        <v>3219</v>
      </c>
      <c r="I355" s="3363" t="s">
        <v>4462</v>
      </c>
      <c r="J355" s="3236">
        <v>53.1</v>
      </c>
    </row>
    <row r="356" spans="1:10" ht="11.25" customHeight="1">
      <c r="A356" s="3363" t="s">
        <v>4847</v>
      </c>
      <c r="B356" s="3363" t="s">
        <v>4464</v>
      </c>
      <c r="C356" s="3363" t="s">
        <v>3591</v>
      </c>
      <c r="D356" s="3363" t="s">
        <v>4459</v>
      </c>
      <c r="E356" s="3363" t="s">
        <v>4460</v>
      </c>
      <c r="F356" s="3363" t="s">
        <v>4465</v>
      </c>
      <c r="G356" s="3363" t="s">
        <v>3660</v>
      </c>
      <c r="H356" s="3363" t="s">
        <v>3219</v>
      </c>
      <c r="I356" s="3363" t="s">
        <v>4462</v>
      </c>
      <c r="J356" s="3236">
        <v>53.1</v>
      </c>
    </row>
    <row r="357" spans="1:10" ht="11.25" customHeight="1">
      <c r="A357" s="3363" t="s">
        <v>4532</v>
      </c>
      <c r="B357" s="3363" t="s">
        <v>4464</v>
      </c>
      <c r="C357" s="3363" t="s">
        <v>3592</v>
      </c>
      <c r="D357" s="3363" t="s">
        <v>4459</v>
      </c>
      <c r="E357" s="3363" t="s">
        <v>4460</v>
      </c>
      <c r="F357" s="3363" t="s">
        <v>4465</v>
      </c>
      <c r="G357" s="3363" t="s">
        <v>3660</v>
      </c>
      <c r="H357" s="3363" t="s">
        <v>3219</v>
      </c>
      <c r="I357" s="3363" t="s">
        <v>4462</v>
      </c>
      <c r="J357" s="3236">
        <v>53.1</v>
      </c>
    </row>
    <row r="358" spans="1:10" ht="11.25" customHeight="1">
      <c r="A358" s="3363" t="s">
        <v>4534</v>
      </c>
      <c r="B358" s="3363" t="s">
        <v>4464</v>
      </c>
      <c r="C358" s="3363" t="s">
        <v>3593</v>
      </c>
      <c r="D358" s="3363" t="s">
        <v>4459</v>
      </c>
      <c r="E358" s="3363" t="s">
        <v>4460</v>
      </c>
      <c r="F358" s="3363" t="s">
        <v>4465</v>
      </c>
      <c r="G358" s="3363" t="s">
        <v>3660</v>
      </c>
      <c r="H358" s="3363" t="s">
        <v>3219</v>
      </c>
      <c r="I358" s="3363" t="s">
        <v>4462</v>
      </c>
      <c r="J358" s="3236">
        <v>53.1</v>
      </c>
    </row>
    <row r="359" spans="1:10" ht="11.25" customHeight="1">
      <c r="A359" s="3363" t="s">
        <v>4539</v>
      </c>
      <c r="B359" s="3363" t="s">
        <v>4464</v>
      </c>
      <c r="C359" s="3363" t="s">
        <v>3594</v>
      </c>
      <c r="D359" s="3363" t="s">
        <v>4459</v>
      </c>
      <c r="E359" s="3363" t="s">
        <v>4460</v>
      </c>
      <c r="F359" s="3363" t="s">
        <v>4465</v>
      </c>
      <c r="G359" s="3363" t="s">
        <v>3660</v>
      </c>
      <c r="H359" s="3363" t="s">
        <v>3219</v>
      </c>
      <c r="I359" s="3363" t="s">
        <v>4462</v>
      </c>
      <c r="J359" s="3236">
        <v>53.1</v>
      </c>
    </row>
    <row r="360" spans="1:10" ht="11.25" customHeight="1">
      <c r="A360" s="3363" t="s">
        <v>4543</v>
      </c>
      <c r="B360" s="3363" t="s">
        <v>4464</v>
      </c>
      <c r="C360" s="3363" t="s">
        <v>3595</v>
      </c>
      <c r="D360" s="3363" t="s">
        <v>4459</v>
      </c>
      <c r="E360" s="3363" t="s">
        <v>4460</v>
      </c>
      <c r="F360" s="3363" t="s">
        <v>4465</v>
      </c>
      <c r="G360" s="3363" t="s">
        <v>3660</v>
      </c>
      <c r="H360" s="3363" t="s">
        <v>3219</v>
      </c>
      <c r="I360" s="3363" t="s">
        <v>4462</v>
      </c>
      <c r="J360" s="3236">
        <v>53.1</v>
      </c>
    </row>
    <row r="361" spans="1:10" ht="11.25" customHeight="1">
      <c r="A361" s="3363" t="s">
        <v>4658</v>
      </c>
      <c r="B361" s="3363" t="s">
        <v>4464</v>
      </c>
      <c r="C361" s="3363" t="s">
        <v>3596</v>
      </c>
      <c r="D361" s="3363" t="s">
        <v>4459</v>
      </c>
      <c r="E361" s="3363" t="s">
        <v>4460</v>
      </c>
      <c r="F361" s="3363" t="s">
        <v>4465</v>
      </c>
      <c r="G361" s="3363" t="s">
        <v>3660</v>
      </c>
      <c r="H361" s="3363" t="s">
        <v>3219</v>
      </c>
      <c r="I361" s="3363" t="s">
        <v>4462</v>
      </c>
      <c r="J361" s="3236">
        <v>53.1</v>
      </c>
    </row>
    <row r="362" spans="1:10" ht="11.25" customHeight="1">
      <c r="A362" s="3363" t="s">
        <v>4545</v>
      </c>
      <c r="B362" s="3363" t="s">
        <v>4464</v>
      </c>
      <c r="C362" s="3363" t="s">
        <v>3597</v>
      </c>
      <c r="D362" s="3363" t="s">
        <v>4459</v>
      </c>
      <c r="E362" s="3363" t="s">
        <v>4460</v>
      </c>
      <c r="F362" s="3363" t="s">
        <v>4465</v>
      </c>
      <c r="G362" s="3363" t="s">
        <v>3660</v>
      </c>
      <c r="H362" s="3363" t="s">
        <v>3219</v>
      </c>
      <c r="I362" s="3363" t="s">
        <v>4462</v>
      </c>
      <c r="J362" s="3236">
        <v>53.1</v>
      </c>
    </row>
    <row r="363" spans="1:10" ht="11.25" customHeight="1">
      <c r="A363" s="3363" t="s">
        <v>4848</v>
      </c>
      <c r="B363" s="3363" t="s">
        <v>4464</v>
      </c>
      <c r="C363" s="3363" t="s">
        <v>3598</v>
      </c>
      <c r="D363" s="3363" t="s">
        <v>4459</v>
      </c>
      <c r="E363" s="3363" t="s">
        <v>4460</v>
      </c>
      <c r="F363" s="3363" t="s">
        <v>4465</v>
      </c>
      <c r="G363" s="3363" t="s">
        <v>3660</v>
      </c>
      <c r="H363" s="3363" t="s">
        <v>3219</v>
      </c>
      <c r="I363" s="3363" t="s">
        <v>4462</v>
      </c>
      <c r="J363" s="3236">
        <v>53.1</v>
      </c>
    </row>
    <row r="364" spans="1:10" ht="11.25" customHeight="1">
      <c r="A364" s="3363" t="s">
        <v>4849</v>
      </c>
      <c r="B364" s="3363" t="s">
        <v>4464</v>
      </c>
      <c r="C364" s="3363" t="s">
        <v>3599</v>
      </c>
      <c r="D364" s="3363" t="s">
        <v>4459</v>
      </c>
      <c r="E364" s="3363" t="s">
        <v>4460</v>
      </c>
      <c r="F364" s="3363" t="s">
        <v>4465</v>
      </c>
      <c r="G364" s="3363" t="s">
        <v>3660</v>
      </c>
      <c r="H364" s="3363" t="s">
        <v>3219</v>
      </c>
      <c r="I364" s="3363" t="s">
        <v>4462</v>
      </c>
      <c r="J364" s="3236">
        <v>53.1</v>
      </c>
    </row>
    <row r="365" spans="1:10" ht="11.25" customHeight="1">
      <c r="A365" s="3363" t="s">
        <v>4550</v>
      </c>
      <c r="B365" s="3363" t="s">
        <v>4464</v>
      </c>
      <c r="C365" s="3363" t="s">
        <v>3600</v>
      </c>
      <c r="D365" s="3363" t="s">
        <v>4459</v>
      </c>
      <c r="E365" s="3363" t="s">
        <v>4460</v>
      </c>
      <c r="F365" s="3363" t="s">
        <v>4465</v>
      </c>
      <c r="G365" s="3363" t="s">
        <v>3660</v>
      </c>
      <c r="H365" s="3363" t="s">
        <v>3219</v>
      </c>
      <c r="I365" s="3363" t="s">
        <v>4462</v>
      </c>
      <c r="J365" s="3236">
        <v>53.1</v>
      </c>
    </row>
    <row r="366" spans="1:10" ht="11.25" customHeight="1">
      <c r="A366" s="3363" t="s">
        <v>4850</v>
      </c>
      <c r="B366" s="3363" t="s">
        <v>4464</v>
      </c>
      <c r="C366" s="3363" t="s">
        <v>3601</v>
      </c>
      <c r="D366" s="3363" t="s">
        <v>4459</v>
      </c>
      <c r="E366" s="3363" t="s">
        <v>4460</v>
      </c>
      <c r="F366" s="3363" t="s">
        <v>4465</v>
      </c>
      <c r="G366" s="3363" t="s">
        <v>3660</v>
      </c>
      <c r="H366" s="3363" t="s">
        <v>3219</v>
      </c>
      <c r="I366" s="3363" t="s">
        <v>4462</v>
      </c>
      <c r="J366" s="3236">
        <v>53.1</v>
      </c>
    </row>
    <row r="367" spans="1:10" ht="11.25" customHeight="1">
      <c r="A367" s="3363" t="s">
        <v>4552</v>
      </c>
      <c r="B367" s="3363" t="s">
        <v>4464</v>
      </c>
      <c r="C367" s="3363" t="s">
        <v>3602</v>
      </c>
      <c r="D367" s="3363" t="s">
        <v>4459</v>
      </c>
      <c r="E367" s="3363" t="s">
        <v>4460</v>
      </c>
      <c r="F367" s="3363" t="s">
        <v>4465</v>
      </c>
      <c r="G367" s="3363" t="s">
        <v>3660</v>
      </c>
      <c r="H367" s="3363" t="s">
        <v>3219</v>
      </c>
      <c r="I367" s="3363" t="s">
        <v>4462</v>
      </c>
      <c r="J367" s="3236">
        <v>53.1</v>
      </c>
    </row>
    <row r="368" spans="1:10" ht="11.25" customHeight="1">
      <c r="A368" s="3363" t="s">
        <v>4851</v>
      </c>
      <c r="B368" s="3363" t="s">
        <v>4464</v>
      </c>
      <c r="C368" s="3363" t="s">
        <v>3603</v>
      </c>
      <c r="D368" s="3363" t="s">
        <v>4459</v>
      </c>
      <c r="E368" s="3363" t="s">
        <v>4460</v>
      </c>
      <c r="F368" s="3363" t="s">
        <v>4465</v>
      </c>
      <c r="G368" s="3363" t="s">
        <v>3660</v>
      </c>
      <c r="H368" s="3363" t="s">
        <v>3219</v>
      </c>
      <c r="I368" s="3363" t="s">
        <v>4462</v>
      </c>
      <c r="J368" s="3236">
        <v>53.1</v>
      </c>
    </row>
    <row r="369" spans="1:10" ht="11.25" customHeight="1">
      <c r="A369" s="3363" t="s">
        <v>4553</v>
      </c>
      <c r="B369" s="3363" t="s">
        <v>4464</v>
      </c>
      <c r="C369" s="3363" t="s">
        <v>3604</v>
      </c>
      <c r="D369" s="3363" t="s">
        <v>4459</v>
      </c>
      <c r="E369" s="3363" t="s">
        <v>4460</v>
      </c>
      <c r="F369" s="3363" t="s">
        <v>4465</v>
      </c>
      <c r="G369" s="3363" t="s">
        <v>3660</v>
      </c>
      <c r="H369" s="3363" t="s">
        <v>3219</v>
      </c>
      <c r="I369" s="3363" t="s">
        <v>4462</v>
      </c>
      <c r="J369" s="3236">
        <v>53.1</v>
      </c>
    </row>
    <row r="370" spans="1:10" ht="11.25" customHeight="1">
      <c r="A370" s="3363" t="s">
        <v>4852</v>
      </c>
      <c r="B370" s="3363" t="s">
        <v>4464</v>
      </c>
      <c r="C370" s="3363" t="s">
        <v>3605</v>
      </c>
      <c r="D370" s="3363" t="s">
        <v>4459</v>
      </c>
      <c r="E370" s="3363" t="s">
        <v>4460</v>
      </c>
      <c r="F370" s="3363" t="s">
        <v>4465</v>
      </c>
      <c r="G370" s="3363" t="s">
        <v>3660</v>
      </c>
      <c r="H370" s="3363" t="s">
        <v>3219</v>
      </c>
      <c r="I370" s="3363" t="s">
        <v>4462</v>
      </c>
      <c r="J370" s="3236">
        <v>53.1</v>
      </c>
    </row>
    <row r="371" spans="1:10" ht="11.25" customHeight="1">
      <c r="A371" s="3363" t="s">
        <v>4555</v>
      </c>
      <c r="B371" s="3363" t="s">
        <v>4464</v>
      </c>
      <c r="C371" s="3363" t="s">
        <v>3606</v>
      </c>
      <c r="D371" s="3363" t="s">
        <v>4459</v>
      </c>
      <c r="E371" s="3363" t="s">
        <v>4460</v>
      </c>
      <c r="F371" s="3363" t="s">
        <v>4465</v>
      </c>
      <c r="G371" s="3363" t="s">
        <v>3660</v>
      </c>
      <c r="H371" s="3363" t="s">
        <v>3219</v>
      </c>
      <c r="I371" s="3363" t="s">
        <v>4462</v>
      </c>
      <c r="J371" s="3236">
        <v>53.1</v>
      </c>
    </row>
    <row r="372" spans="1:10" ht="11.25" customHeight="1">
      <c r="A372" s="3363" t="s">
        <v>4742</v>
      </c>
      <c r="B372" s="3363" t="s">
        <v>4464</v>
      </c>
      <c r="C372" s="3363" t="s">
        <v>3607</v>
      </c>
      <c r="D372" s="3363" t="s">
        <v>4459</v>
      </c>
      <c r="E372" s="3363" t="s">
        <v>4460</v>
      </c>
      <c r="F372" s="3363" t="s">
        <v>4465</v>
      </c>
      <c r="G372" s="3363" t="s">
        <v>3660</v>
      </c>
      <c r="H372" s="3363" t="s">
        <v>3219</v>
      </c>
      <c r="I372" s="3363" t="s">
        <v>4462</v>
      </c>
      <c r="J372" s="3236">
        <v>53.1</v>
      </c>
    </row>
    <row r="373" spans="1:10" ht="11.25" customHeight="1">
      <c r="A373" s="3363" t="s">
        <v>4853</v>
      </c>
      <c r="B373" s="3363" t="s">
        <v>4464</v>
      </c>
      <c r="C373" s="3363" t="s">
        <v>3608</v>
      </c>
      <c r="D373" s="3363" t="s">
        <v>4459</v>
      </c>
      <c r="E373" s="3363" t="s">
        <v>4460</v>
      </c>
      <c r="F373" s="3363" t="s">
        <v>4465</v>
      </c>
      <c r="G373" s="3363" t="s">
        <v>3660</v>
      </c>
      <c r="H373" s="3363" t="s">
        <v>3219</v>
      </c>
      <c r="I373" s="3363" t="s">
        <v>4462</v>
      </c>
      <c r="J373" s="3236">
        <v>53.1</v>
      </c>
    </row>
    <row r="374" spans="1:10" ht="11.25" customHeight="1">
      <c r="A374" s="3363" t="s">
        <v>4854</v>
      </c>
      <c r="B374" s="3363" t="s">
        <v>4464</v>
      </c>
      <c r="C374" s="3363" t="s">
        <v>3609</v>
      </c>
      <c r="D374" s="3363" t="s">
        <v>4459</v>
      </c>
      <c r="E374" s="3363" t="s">
        <v>4460</v>
      </c>
      <c r="F374" s="3363" t="s">
        <v>4465</v>
      </c>
      <c r="G374" s="3363" t="s">
        <v>3660</v>
      </c>
      <c r="H374" s="3363" t="s">
        <v>3219</v>
      </c>
      <c r="I374" s="3363" t="s">
        <v>4462</v>
      </c>
      <c r="J374" s="3236">
        <v>53.1</v>
      </c>
    </row>
    <row r="375" spans="1:10" ht="11.25" customHeight="1">
      <c r="A375" s="3363" t="s">
        <v>4557</v>
      </c>
      <c r="B375" s="3363" t="s">
        <v>4464</v>
      </c>
      <c r="C375" s="3363" t="s">
        <v>3610</v>
      </c>
      <c r="D375" s="3363" t="s">
        <v>4459</v>
      </c>
      <c r="E375" s="3363" t="s">
        <v>4460</v>
      </c>
      <c r="F375" s="3363" t="s">
        <v>4465</v>
      </c>
      <c r="G375" s="3363" t="s">
        <v>3660</v>
      </c>
      <c r="H375" s="3363" t="s">
        <v>3219</v>
      </c>
      <c r="I375" s="3363" t="s">
        <v>4462</v>
      </c>
      <c r="J375" s="3236">
        <v>53.1</v>
      </c>
    </row>
    <row r="376" spans="1:10" ht="11.25" customHeight="1">
      <c r="A376" s="3363" t="s">
        <v>4855</v>
      </c>
      <c r="B376" s="3363" t="s">
        <v>4464</v>
      </c>
      <c r="C376" s="3363" t="s">
        <v>3611</v>
      </c>
      <c r="D376" s="3363" t="s">
        <v>4459</v>
      </c>
      <c r="E376" s="3363" t="s">
        <v>4460</v>
      </c>
      <c r="F376" s="3363" t="s">
        <v>4465</v>
      </c>
      <c r="G376" s="3363" t="s">
        <v>3660</v>
      </c>
      <c r="H376" s="3363" t="s">
        <v>3219</v>
      </c>
      <c r="I376" s="3363" t="s">
        <v>4462</v>
      </c>
      <c r="J376" s="3236">
        <v>53.1</v>
      </c>
    </row>
    <row r="377" spans="1:10" ht="11.25" customHeight="1">
      <c r="A377" s="3363" t="s">
        <v>4559</v>
      </c>
      <c r="B377" s="3363" t="s">
        <v>4464</v>
      </c>
      <c r="C377" s="3363" t="s">
        <v>3612</v>
      </c>
      <c r="D377" s="3363" t="s">
        <v>4459</v>
      </c>
      <c r="E377" s="3363" t="s">
        <v>4460</v>
      </c>
      <c r="F377" s="3363" t="s">
        <v>4465</v>
      </c>
      <c r="G377" s="3363" t="s">
        <v>3660</v>
      </c>
      <c r="H377" s="3363" t="s">
        <v>3219</v>
      </c>
      <c r="I377" s="3363" t="s">
        <v>4462</v>
      </c>
      <c r="J377" s="3236">
        <v>53.1</v>
      </c>
    </row>
    <row r="378" spans="1:10" ht="11.25" customHeight="1">
      <c r="A378" s="3363" t="s">
        <v>4856</v>
      </c>
      <c r="B378" s="3363" t="s">
        <v>4464</v>
      </c>
      <c r="C378" s="3363" t="s">
        <v>3613</v>
      </c>
      <c r="D378" s="3363" t="s">
        <v>4459</v>
      </c>
      <c r="E378" s="3363" t="s">
        <v>4460</v>
      </c>
      <c r="F378" s="3363" t="s">
        <v>4465</v>
      </c>
      <c r="G378" s="3363" t="s">
        <v>3660</v>
      </c>
      <c r="H378" s="3363" t="s">
        <v>3219</v>
      </c>
      <c r="I378" s="3363" t="s">
        <v>4462</v>
      </c>
      <c r="J378" s="3236">
        <v>53.1</v>
      </c>
    </row>
    <row r="379" spans="1:10" ht="11.25" customHeight="1">
      <c r="A379" s="3363" t="s">
        <v>4857</v>
      </c>
      <c r="B379" s="3363" t="s">
        <v>4464</v>
      </c>
      <c r="C379" s="3363" t="s">
        <v>3614</v>
      </c>
      <c r="D379" s="3363" t="s">
        <v>4459</v>
      </c>
      <c r="E379" s="3363" t="s">
        <v>4460</v>
      </c>
      <c r="F379" s="3363" t="s">
        <v>4465</v>
      </c>
      <c r="G379" s="3363" t="s">
        <v>3660</v>
      </c>
      <c r="H379" s="3363" t="s">
        <v>3219</v>
      </c>
      <c r="I379" s="3363" t="s">
        <v>4462</v>
      </c>
      <c r="J379" s="3236">
        <v>53.1</v>
      </c>
    </row>
    <row r="380" spans="1:10" ht="11.25" customHeight="1">
      <c r="A380" s="3363" t="s">
        <v>4858</v>
      </c>
      <c r="B380" s="3363" t="s">
        <v>4464</v>
      </c>
      <c r="C380" s="3363" t="s">
        <v>3615</v>
      </c>
      <c r="D380" s="3363" t="s">
        <v>4459</v>
      </c>
      <c r="E380" s="3363" t="s">
        <v>4460</v>
      </c>
      <c r="F380" s="3363" t="s">
        <v>4465</v>
      </c>
      <c r="G380" s="3363" t="s">
        <v>3660</v>
      </c>
      <c r="H380" s="3363" t="s">
        <v>3219</v>
      </c>
      <c r="I380" s="3363" t="s">
        <v>4462</v>
      </c>
      <c r="J380" s="3236">
        <v>53.1</v>
      </c>
    </row>
    <row r="381" spans="1:10" ht="11.25" customHeight="1">
      <c r="A381" s="3363" t="s">
        <v>4859</v>
      </c>
      <c r="B381" s="3363" t="s">
        <v>4464</v>
      </c>
      <c r="C381" s="3363" t="s">
        <v>3616</v>
      </c>
      <c r="D381" s="3363" t="s">
        <v>4459</v>
      </c>
      <c r="E381" s="3363" t="s">
        <v>4460</v>
      </c>
      <c r="F381" s="3363" t="s">
        <v>4465</v>
      </c>
      <c r="G381" s="3363" t="s">
        <v>3660</v>
      </c>
      <c r="H381" s="3363" t="s">
        <v>3219</v>
      </c>
      <c r="I381" s="3363" t="s">
        <v>4462</v>
      </c>
      <c r="J381" s="3236">
        <v>53.1</v>
      </c>
    </row>
    <row r="382" spans="1:10" ht="11.25" customHeight="1">
      <c r="A382" s="3363" t="s">
        <v>4860</v>
      </c>
      <c r="B382" s="3363" t="s">
        <v>4464</v>
      </c>
      <c r="C382" s="3363" t="s">
        <v>3617</v>
      </c>
      <c r="D382" s="3363" t="s">
        <v>4459</v>
      </c>
      <c r="E382" s="3363" t="s">
        <v>4460</v>
      </c>
      <c r="F382" s="3363" t="s">
        <v>4465</v>
      </c>
      <c r="G382" s="3363" t="s">
        <v>3660</v>
      </c>
      <c r="H382" s="3363" t="s">
        <v>3219</v>
      </c>
      <c r="I382" s="3363" t="s">
        <v>4462</v>
      </c>
      <c r="J382" s="3236">
        <v>53.1</v>
      </c>
    </row>
    <row r="383" spans="1:10" ht="11.25" customHeight="1">
      <c r="A383" s="3363" t="s">
        <v>4861</v>
      </c>
      <c r="B383" s="3363" t="s">
        <v>4464</v>
      </c>
      <c r="C383" s="3363" t="s">
        <v>3618</v>
      </c>
      <c r="D383" s="3363" t="s">
        <v>4459</v>
      </c>
      <c r="E383" s="3363" t="s">
        <v>4460</v>
      </c>
      <c r="F383" s="3363" t="s">
        <v>4465</v>
      </c>
      <c r="G383" s="3363" t="s">
        <v>3660</v>
      </c>
      <c r="H383" s="3363" t="s">
        <v>3219</v>
      </c>
      <c r="I383" s="3363" t="s">
        <v>4462</v>
      </c>
      <c r="J383" s="3236">
        <v>53.1</v>
      </c>
    </row>
    <row r="384" spans="1:10" ht="11.25" customHeight="1">
      <c r="A384" s="3363" t="s">
        <v>4862</v>
      </c>
      <c r="B384" s="3363" t="s">
        <v>4464</v>
      </c>
      <c r="C384" s="3363" t="s">
        <v>3619</v>
      </c>
      <c r="D384" s="3363" t="s">
        <v>4459</v>
      </c>
      <c r="E384" s="3363" t="s">
        <v>4460</v>
      </c>
      <c r="F384" s="3363" t="s">
        <v>4465</v>
      </c>
      <c r="G384" s="3363" t="s">
        <v>3660</v>
      </c>
      <c r="H384" s="3363" t="s">
        <v>3219</v>
      </c>
      <c r="I384" s="3363" t="s">
        <v>4462</v>
      </c>
      <c r="J384" s="3236">
        <v>53.1</v>
      </c>
    </row>
    <row r="385" spans="1:10" ht="11.25" customHeight="1">
      <c r="A385" s="3363" t="s">
        <v>4863</v>
      </c>
      <c r="B385" s="3363" t="s">
        <v>4464</v>
      </c>
      <c r="C385" s="3363" t="s">
        <v>3620</v>
      </c>
      <c r="D385" s="3363" t="s">
        <v>4459</v>
      </c>
      <c r="E385" s="3363" t="s">
        <v>4460</v>
      </c>
      <c r="F385" s="3363" t="s">
        <v>4465</v>
      </c>
      <c r="G385" s="3363" t="s">
        <v>3660</v>
      </c>
      <c r="H385" s="3363" t="s">
        <v>3219</v>
      </c>
      <c r="I385" s="3363" t="s">
        <v>4462</v>
      </c>
      <c r="J385" s="3236">
        <v>53.1</v>
      </c>
    </row>
    <row r="386" spans="1:10" ht="11.25" customHeight="1">
      <c r="A386" s="3363" t="s">
        <v>4864</v>
      </c>
      <c r="B386" s="3363" t="s">
        <v>4464</v>
      </c>
      <c r="C386" s="3363" t="s">
        <v>3621</v>
      </c>
      <c r="D386" s="3363" t="s">
        <v>4459</v>
      </c>
      <c r="E386" s="3363" t="s">
        <v>4460</v>
      </c>
      <c r="F386" s="3363" t="s">
        <v>4465</v>
      </c>
      <c r="G386" s="3363" t="s">
        <v>3661</v>
      </c>
      <c r="H386" s="3363" t="s">
        <v>3222</v>
      </c>
      <c r="I386" s="3363" t="s">
        <v>4462</v>
      </c>
      <c r="J386" s="3236">
        <v>59.26</v>
      </c>
    </row>
    <row r="387" spans="1:10" ht="11.25" customHeight="1">
      <c r="A387" s="3363" t="s">
        <v>4865</v>
      </c>
      <c r="B387" s="3363" t="s">
        <v>4464</v>
      </c>
      <c r="C387" s="3363" t="s">
        <v>3622</v>
      </c>
      <c r="D387" s="3363" t="s">
        <v>4459</v>
      </c>
      <c r="E387" s="3363" t="s">
        <v>4460</v>
      </c>
      <c r="F387" s="3363" t="s">
        <v>4465</v>
      </c>
      <c r="G387" s="3363" t="s">
        <v>3661</v>
      </c>
      <c r="H387" s="3363" t="s">
        <v>3222</v>
      </c>
      <c r="I387" s="3363" t="s">
        <v>4462</v>
      </c>
      <c r="J387" s="3236">
        <v>132.02000000000001</v>
      </c>
    </row>
    <row r="388" spans="1:10" ht="11.25" customHeight="1">
      <c r="A388" s="3363" t="s">
        <v>4866</v>
      </c>
      <c r="B388" s="3363" t="s">
        <v>4464</v>
      </c>
      <c r="C388" s="3363" t="s">
        <v>3623</v>
      </c>
      <c r="D388" s="3363" t="s">
        <v>4459</v>
      </c>
      <c r="E388" s="3363" t="s">
        <v>4460</v>
      </c>
      <c r="F388" s="3363" t="s">
        <v>4465</v>
      </c>
      <c r="G388" s="3363" t="s">
        <v>3661</v>
      </c>
      <c r="H388" s="3363" t="s">
        <v>3222</v>
      </c>
      <c r="I388" s="3363" t="s">
        <v>4462</v>
      </c>
      <c r="J388" s="3236">
        <v>44.26</v>
      </c>
    </row>
    <row r="389" spans="1:10" ht="11.25" customHeight="1">
      <c r="A389" s="3363" t="s">
        <v>4561</v>
      </c>
      <c r="B389" s="3363" t="s">
        <v>4464</v>
      </c>
      <c r="C389" s="3363" t="s">
        <v>3624</v>
      </c>
      <c r="D389" s="3363" t="s">
        <v>4459</v>
      </c>
      <c r="E389" s="3363" t="s">
        <v>4460</v>
      </c>
      <c r="F389" s="3363" t="s">
        <v>4465</v>
      </c>
      <c r="G389" s="3363" t="s">
        <v>3661</v>
      </c>
      <c r="H389" s="3363" t="s">
        <v>3222</v>
      </c>
      <c r="I389" s="3363" t="s">
        <v>4462</v>
      </c>
      <c r="J389" s="3236">
        <v>46.9</v>
      </c>
    </row>
    <row r="390" spans="1:10" ht="11.25" customHeight="1">
      <c r="A390" s="3363" t="s">
        <v>4867</v>
      </c>
      <c r="B390" s="3363" t="s">
        <v>4464</v>
      </c>
      <c r="C390" s="3363" t="s">
        <v>3625</v>
      </c>
      <c r="D390" s="3363" t="s">
        <v>4459</v>
      </c>
      <c r="E390" s="3363" t="s">
        <v>4460</v>
      </c>
      <c r="F390" s="3363" t="s">
        <v>4465</v>
      </c>
      <c r="G390" s="3363" t="s">
        <v>3661</v>
      </c>
      <c r="H390" s="3363" t="s">
        <v>3222</v>
      </c>
      <c r="I390" s="3363" t="s">
        <v>4462</v>
      </c>
      <c r="J390" s="3236">
        <v>45.15</v>
      </c>
    </row>
    <row r="391" spans="1:10" ht="11.25" customHeight="1">
      <c r="A391" s="3363" t="s">
        <v>4563</v>
      </c>
      <c r="B391" s="3363" t="s">
        <v>4464</v>
      </c>
      <c r="C391" s="3363" t="s">
        <v>3626</v>
      </c>
      <c r="D391" s="3363" t="s">
        <v>4459</v>
      </c>
      <c r="E391" s="3363" t="s">
        <v>4460</v>
      </c>
      <c r="F391" s="3363" t="s">
        <v>4465</v>
      </c>
      <c r="G391" s="3363" t="s">
        <v>3661</v>
      </c>
      <c r="H391" s="3363" t="s">
        <v>3222</v>
      </c>
      <c r="I391" s="3363" t="s">
        <v>4462</v>
      </c>
      <c r="J391" s="3236">
        <v>120.17</v>
      </c>
    </row>
    <row r="392" spans="1:10" ht="11.25" customHeight="1">
      <c r="A392" s="3363" t="s">
        <v>4868</v>
      </c>
      <c r="B392" s="3363" t="s">
        <v>4464</v>
      </c>
      <c r="C392" s="3363" t="s">
        <v>3627</v>
      </c>
      <c r="D392" s="3363" t="s">
        <v>4459</v>
      </c>
      <c r="E392" s="3363" t="s">
        <v>4460</v>
      </c>
      <c r="F392" s="3363" t="s">
        <v>4465</v>
      </c>
      <c r="G392" s="3363" t="s">
        <v>3661</v>
      </c>
      <c r="H392" s="3363" t="s">
        <v>3222</v>
      </c>
      <c r="I392" s="3363" t="s">
        <v>4462</v>
      </c>
      <c r="J392" s="3236">
        <v>97.45</v>
      </c>
    </row>
    <row r="393" spans="1:10" ht="11.25" customHeight="1">
      <c r="A393" s="3363" t="s">
        <v>4869</v>
      </c>
      <c r="B393" s="3363" t="s">
        <v>4464</v>
      </c>
      <c r="C393" s="3363" t="s">
        <v>3628</v>
      </c>
      <c r="D393" s="3363" t="s">
        <v>4459</v>
      </c>
      <c r="E393" s="3363" t="s">
        <v>4460</v>
      </c>
      <c r="F393" s="3363" t="s">
        <v>4465</v>
      </c>
      <c r="G393" s="3363" t="s">
        <v>3662</v>
      </c>
      <c r="H393" s="3363" t="s">
        <v>3222</v>
      </c>
      <c r="I393" s="3363" t="s">
        <v>4466</v>
      </c>
      <c r="J393" s="3236">
        <v>1786.53</v>
      </c>
    </row>
    <row r="394" spans="1:10" ht="11.25" customHeight="1">
      <c r="A394" s="3363" t="s">
        <v>4870</v>
      </c>
      <c r="B394" s="3363" t="s">
        <v>4464</v>
      </c>
      <c r="C394" s="3363" t="s">
        <v>3629</v>
      </c>
      <c r="D394" s="3363" t="s">
        <v>4459</v>
      </c>
      <c r="E394" s="3363" t="s">
        <v>4460</v>
      </c>
      <c r="F394" s="3363" t="s">
        <v>5602</v>
      </c>
      <c r="G394" s="3363" t="s">
        <v>3661</v>
      </c>
      <c r="H394" s="3363" t="s">
        <v>3222</v>
      </c>
      <c r="I394" s="3363" t="s">
        <v>4462</v>
      </c>
      <c r="J394" s="3236">
        <v>57.21</v>
      </c>
    </row>
    <row r="395" spans="1:10" ht="11.25" customHeight="1">
      <c r="A395" s="3363" t="s">
        <v>4565</v>
      </c>
      <c r="B395" s="3363" t="s">
        <v>4464</v>
      </c>
      <c r="C395" s="3363" t="s">
        <v>3630</v>
      </c>
      <c r="D395" s="3363" t="s">
        <v>4459</v>
      </c>
      <c r="E395" s="3363" t="s">
        <v>4460</v>
      </c>
      <c r="F395" s="3363" t="s">
        <v>4465</v>
      </c>
      <c r="G395" s="3363" t="s">
        <v>3661</v>
      </c>
      <c r="H395" s="3363" t="s">
        <v>3222</v>
      </c>
      <c r="I395" s="3363" t="s">
        <v>4462</v>
      </c>
      <c r="J395" s="3236">
        <v>87.03</v>
      </c>
    </row>
    <row r="396" spans="1:10" ht="11.25" customHeight="1">
      <c r="A396" s="3363" t="s">
        <v>4871</v>
      </c>
      <c r="B396" s="3363" t="s">
        <v>4464</v>
      </c>
      <c r="C396" s="3363" t="s">
        <v>3631</v>
      </c>
      <c r="D396" s="3363" t="s">
        <v>4459</v>
      </c>
      <c r="E396" s="3363" t="s">
        <v>4460</v>
      </c>
      <c r="F396" s="3363" t="s">
        <v>4465</v>
      </c>
      <c r="G396" s="3363" t="s">
        <v>3661</v>
      </c>
      <c r="H396" s="3363" t="s">
        <v>3222</v>
      </c>
      <c r="I396" s="3363" t="s">
        <v>4462</v>
      </c>
      <c r="J396" s="3236">
        <v>123.61</v>
      </c>
    </row>
    <row r="397" spans="1:10" ht="11.25" customHeight="1">
      <c r="A397" s="3363" t="s">
        <v>4567</v>
      </c>
      <c r="B397" s="3363" t="s">
        <v>4464</v>
      </c>
      <c r="C397" s="3363" t="s">
        <v>3632</v>
      </c>
      <c r="D397" s="3363" t="s">
        <v>4459</v>
      </c>
      <c r="E397" s="3363" t="s">
        <v>4460</v>
      </c>
      <c r="F397" s="3363" t="s">
        <v>4465</v>
      </c>
      <c r="G397" s="3363" t="s">
        <v>3661</v>
      </c>
      <c r="H397" s="3363" t="s">
        <v>3222</v>
      </c>
      <c r="I397" s="3363" t="s">
        <v>4462</v>
      </c>
      <c r="J397" s="3236">
        <v>85.91</v>
      </c>
    </row>
    <row r="398" spans="1:10" ht="11.25" customHeight="1">
      <c r="A398" s="3363" t="s">
        <v>4872</v>
      </c>
      <c r="B398" s="3363" t="s">
        <v>4464</v>
      </c>
      <c r="C398" s="3363" t="s">
        <v>3633</v>
      </c>
      <c r="D398" s="3363" t="s">
        <v>4459</v>
      </c>
      <c r="E398" s="3363" t="s">
        <v>4460</v>
      </c>
      <c r="F398" s="3363" t="s">
        <v>4465</v>
      </c>
      <c r="G398" s="3363" t="s">
        <v>3661</v>
      </c>
      <c r="H398" s="3363" t="s">
        <v>3222</v>
      </c>
      <c r="I398" s="3363" t="s">
        <v>4462</v>
      </c>
      <c r="J398" s="3236">
        <v>58.81</v>
      </c>
    </row>
    <row r="399" spans="1:10" ht="11.25" customHeight="1">
      <c r="A399" s="3363" t="s">
        <v>4873</v>
      </c>
      <c r="B399" s="3363" t="s">
        <v>4464</v>
      </c>
      <c r="C399" s="3363" t="s">
        <v>3634</v>
      </c>
      <c r="D399" s="3363" t="s">
        <v>4459</v>
      </c>
      <c r="E399" s="3363" t="s">
        <v>4460</v>
      </c>
      <c r="F399" s="3363" t="s">
        <v>4465</v>
      </c>
      <c r="G399" s="3363" t="s">
        <v>3661</v>
      </c>
      <c r="H399" s="3363" t="s">
        <v>3222</v>
      </c>
      <c r="I399" s="3363" t="s">
        <v>4462</v>
      </c>
      <c r="J399" s="3236">
        <v>88.45</v>
      </c>
    </row>
    <row r="400" spans="1:10" ht="11.25" customHeight="1">
      <c r="A400" s="3363" t="s">
        <v>4874</v>
      </c>
      <c r="B400" s="3363" t="s">
        <v>4464</v>
      </c>
      <c r="C400" s="3363" t="s">
        <v>3635</v>
      </c>
      <c r="D400" s="3363" t="s">
        <v>4459</v>
      </c>
      <c r="E400" s="3363" t="s">
        <v>4460</v>
      </c>
      <c r="F400" s="3363" t="s">
        <v>4465</v>
      </c>
      <c r="G400" s="3363" t="s">
        <v>3661</v>
      </c>
      <c r="H400" s="3363" t="s">
        <v>3222</v>
      </c>
      <c r="I400" s="3363" t="s">
        <v>4462</v>
      </c>
      <c r="J400" s="3236">
        <v>127.25</v>
      </c>
    </row>
    <row r="401" spans="1:10" ht="11.25" customHeight="1">
      <c r="A401" s="3363" t="s">
        <v>4875</v>
      </c>
      <c r="B401" s="3363" t="s">
        <v>4464</v>
      </c>
      <c r="C401" s="3363" t="s">
        <v>3636</v>
      </c>
      <c r="D401" s="3363" t="s">
        <v>4459</v>
      </c>
      <c r="E401" s="3363" t="s">
        <v>4460</v>
      </c>
      <c r="F401" s="3363" t="s">
        <v>4465</v>
      </c>
      <c r="G401" s="3363" t="s">
        <v>3661</v>
      </c>
      <c r="H401" s="3363" t="s">
        <v>3222</v>
      </c>
      <c r="I401" s="3363" t="s">
        <v>4462</v>
      </c>
      <c r="J401" s="3236">
        <v>210.49</v>
      </c>
    </row>
    <row r="402" spans="1:10" ht="11.25" customHeight="1">
      <c r="A402" s="3363" t="s">
        <v>4876</v>
      </c>
      <c r="B402" s="3363" t="s">
        <v>4464</v>
      </c>
      <c r="C402" s="3363" t="s">
        <v>3637</v>
      </c>
      <c r="D402" s="3363" t="s">
        <v>4459</v>
      </c>
      <c r="E402" s="3363" t="s">
        <v>4460</v>
      </c>
      <c r="F402" s="3363" t="s">
        <v>4465</v>
      </c>
      <c r="G402" s="3363" t="s">
        <v>3663</v>
      </c>
      <c r="H402" s="3363" t="s">
        <v>3222</v>
      </c>
      <c r="I402" s="3363" t="s">
        <v>4462</v>
      </c>
      <c r="J402" s="3236">
        <v>3840.45</v>
      </c>
    </row>
    <row r="403" spans="1:10" ht="11.25" customHeight="1">
      <c r="A403" s="3363" t="s">
        <v>4877</v>
      </c>
      <c r="B403" s="3363" t="s">
        <v>4464</v>
      </c>
      <c r="C403" s="3363" t="s">
        <v>3638</v>
      </c>
      <c r="D403" s="3363" t="s">
        <v>4459</v>
      </c>
      <c r="E403" s="3363" t="s">
        <v>4460</v>
      </c>
      <c r="F403" s="3363" t="s">
        <v>4465</v>
      </c>
      <c r="G403" s="3363" t="s">
        <v>3661</v>
      </c>
      <c r="H403" s="3363" t="s">
        <v>3222</v>
      </c>
      <c r="I403" s="3363" t="s">
        <v>4462</v>
      </c>
      <c r="J403" s="3236">
        <v>129.43</v>
      </c>
    </row>
    <row r="404" spans="1:10" ht="11.25" customHeight="1">
      <c r="A404" s="3363" t="s">
        <v>4878</v>
      </c>
      <c r="B404" s="3363" t="s">
        <v>4464</v>
      </c>
      <c r="C404" s="3363" t="s">
        <v>3639</v>
      </c>
      <c r="D404" s="3363" t="s">
        <v>4459</v>
      </c>
      <c r="E404" s="3363" t="s">
        <v>4460</v>
      </c>
      <c r="F404" s="3363" t="s">
        <v>4465</v>
      </c>
      <c r="G404" s="3363" t="s">
        <v>3661</v>
      </c>
      <c r="H404" s="3363" t="s">
        <v>3222</v>
      </c>
      <c r="I404" s="3363" t="s">
        <v>4462</v>
      </c>
      <c r="J404" s="3236">
        <v>51.67</v>
      </c>
    </row>
    <row r="405" spans="1:10" ht="11.25" customHeight="1">
      <c r="A405" s="3363" t="s">
        <v>4572</v>
      </c>
      <c r="B405" s="3363" t="s">
        <v>4464</v>
      </c>
      <c r="C405" s="3363" t="s">
        <v>3640</v>
      </c>
      <c r="D405" s="3363" t="s">
        <v>4459</v>
      </c>
      <c r="E405" s="3363" t="s">
        <v>4460</v>
      </c>
      <c r="F405" s="3363" t="s">
        <v>4465</v>
      </c>
      <c r="G405" s="3363" t="s">
        <v>3661</v>
      </c>
      <c r="H405" s="3363" t="s">
        <v>3222</v>
      </c>
      <c r="I405" s="3363" t="s">
        <v>4462</v>
      </c>
      <c r="J405" s="3236">
        <v>47.82</v>
      </c>
    </row>
    <row r="406" spans="1:10" ht="11.25" customHeight="1">
      <c r="A406" s="3363" t="s">
        <v>4879</v>
      </c>
      <c r="B406" s="3363" t="s">
        <v>4464</v>
      </c>
      <c r="C406" s="3363" t="s">
        <v>3641</v>
      </c>
      <c r="D406" s="3363" t="s">
        <v>4459</v>
      </c>
      <c r="E406" s="3363" t="s">
        <v>4460</v>
      </c>
      <c r="F406" s="3363" t="s">
        <v>4465</v>
      </c>
      <c r="G406" s="3363" t="s">
        <v>3661</v>
      </c>
      <c r="H406" s="3363" t="s">
        <v>3222</v>
      </c>
      <c r="I406" s="3363" t="s">
        <v>4462</v>
      </c>
      <c r="J406" s="3236">
        <v>58.24</v>
      </c>
    </row>
    <row r="407" spans="1:10" ht="11.25" customHeight="1">
      <c r="A407" s="3363" t="s">
        <v>4574</v>
      </c>
      <c r="B407" s="3363" t="s">
        <v>4464</v>
      </c>
      <c r="C407" s="3363" t="s">
        <v>3642</v>
      </c>
      <c r="D407" s="3363" t="s">
        <v>4459</v>
      </c>
      <c r="E407" s="3363" t="s">
        <v>4460</v>
      </c>
      <c r="F407" s="3363" t="s">
        <v>4465</v>
      </c>
      <c r="G407" s="3363" t="s">
        <v>3661</v>
      </c>
      <c r="H407" s="3363" t="s">
        <v>3222</v>
      </c>
      <c r="I407" s="3363" t="s">
        <v>4462</v>
      </c>
      <c r="J407" s="3236">
        <v>80</v>
      </c>
    </row>
    <row r="408" spans="1:10" ht="11.25" customHeight="1">
      <c r="A408" s="3363" t="s">
        <v>4880</v>
      </c>
      <c r="B408" s="3363" t="s">
        <v>4464</v>
      </c>
      <c r="C408" s="3363" t="s">
        <v>3643</v>
      </c>
      <c r="D408" s="3363" t="s">
        <v>4459</v>
      </c>
      <c r="E408" s="3363" t="s">
        <v>4460</v>
      </c>
      <c r="F408" s="3363" t="s">
        <v>4465</v>
      </c>
      <c r="G408" s="3363" t="s">
        <v>3661</v>
      </c>
      <c r="H408" s="3363" t="s">
        <v>3222</v>
      </c>
      <c r="I408" s="3363" t="s">
        <v>4462</v>
      </c>
      <c r="J408" s="3236">
        <v>105.57</v>
      </c>
    </row>
    <row r="409" spans="1:10" ht="11.25" customHeight="1">
      <c r="A409" s="3363" t="s">
        <v>4576</v>
      </c>
      <c r="B409" s="3363" t="s">
        <v>4464</v>
      </c>
      <c r="C409" s="3363" t="s">
        <v>3644</v>
      </c>
      <c r="D409" s="3363" t="s">
        <v>4459</v>
      </c>
      <c r="E409" s="3363" t="s">
        <v>4460</v>
      </c>
      <c r="F409" s="3363" t="s">
        <v>4465</v>
      </c>
      <c r="G409" s="3363" t="s">
        <v>3662</v>
      </c>
      <c r="H409" s="3363" t="s">
        <v>3222</v>
      </c>
      <c r="I409" s="3363" t="s">
        <v>4466</v>
      </c>
      <c r="J409" s="3236">
        <v>1514.57</v>
      </c>
    </row>
    <row r="410" spans="1:10" ht="11.25" customHeight="1">
      <c r="A410" s="3363" t="s">
        <v>4881</v>
      </c>
      <c r="B410" s="3363" t="s">
        <v>4464</v>
      </c>
      <c r="C410" s="3363" t="s">
        <v>3645</v>
      </c>
      <c r="D410" s="3363" t="s">
        <v>4459</v>
      </c>
      <c r="E410" s="3363" t="s">
        <v>4460</v>
      </c>
      <c r="F410" s="3363" t="s">
        <v>4465</v>
      </c>
      <c r="G410" s="3363" t="s">
        <v>3661</v>
      </c>
      <c r="H410" s="3363" t="s">
        <v>3222</v>
      </c>
      <c r="I410" s="3363" t="s">
        <v>4462</v>
      </c>
      <c r="J410" s="3236">
        <v>36.78</v>
      </c>
    </row>
    <row r="411" spans="1:10" ht="11.25" customHeight="1">
      <c r="A411" s="3363" t="s">
        <v>4578</v>
      </c>
      <c r="B411" s="3363" t="s">
        <v>4464</v>
      </c>
      <c r="C411" s="3363" t="s">
        <v>3646</v>
      </c>
      <c r="D411" s="3363" t="s">
        <v>4459</v>
      </c>
      <c r="E411" s="3363" t="s">
        <v>4460</v>
      </c>
      <c r="F411" s="3363" t="s">
        <v>4465</v>
      </c>
      <c r="G411" s="3363" t="s">
        <v>3661</v>
      </c>
      <c r="H411" s="3363" t="s">
        <v>3222</v>
      </c>
      <c r="I411" s="3363" t="s">
        <v>4462</v>
      </c>
      <c r="J411" s="3236">
        <v>25.34</v>
      </c>
    </row>
    <row r="412" spans="1:10" ht="11.25" customHeight="1">
      <c r="A412" s="3363" t="s">
        <v>4882</v>
      </c>
      <c r="B412" s="3363" t="s">
        <v>4464</v>
      </c>
      <c r="C412" s="3363" t="s">
        <v>3647</v>
      </c>
      <c r="D412" s="3363" t="s">
        <v>4459</v>
      </c>
      <c r="E412" s="3363" t="s">
        <v>4460</v>
      </c>
      <c r="F412" s="3363" t="s">
        <v>4465</v>
      </c>
      <c r="G412" s="3363" t="s">
        <v>3661</v>
      </c>
      <c r="H412" s="3363" t="s">
        <v>3222</v>
      </c>
      <c r="I412" s="3363" t="s">
        <v>4462</v>
      </c>
      <c r="J412" s="3236">
        <v>78.45</v>
      </c>
    </row>
    <row r="413" spans="1:10" ht="11.25" customHeight="1">
      <c r="A413" s="3363" t="s">
        <v>4883</v>
      </c>
      <c r="B413" s="3363" t="s">
        <v>4464</v>
      </c>
      <c r="C413" s="3363" t="s">
        <v>3648</v>
      </c>
      <c r="D413" s="3363" t="s">
        <v>4459</v>
      </c>
      <c r="E413" s="3363" t="s">
        <v>4460</v>
      </c>
      <c r="F413" s="3363" t="s">
        <v>4465</v>
      </c>
      <c r="G413" s="3363" t="s">
        <v>3661</v>
      </c>
      <c r="H413" s="3363" t="s">
        <v>3222</v>
      </c>
      <c r="I413" s="3363" t="s">
        <v>4462</v>
      </c>
      <c r="J413" s="3236">
        <v>125.54</v>
      </c>
    </row>
    <row r="414" spans="1:10" ht="11.25" customHeight="1">
      <c r="A414" s="3363" t="s">
        <v>4884</v>
      </c>
      <c r="B414" s="3363" t="s">
        <v>4464</v>
      </c>
      <c r="C414" s="3363" t="s">
        <v>3649</v>
      </c>
      <c r="D414" s="3363" t="s">
        <v>4459</v>
      </c>
      <c r="E414" s="3363" t="s">
        <v>4460</v>
      </c>
      <c r="F414" s="3363" t="s">
        <v>4465</v>
      </c>
      <c r="G414" s="3363" t="s">
        <v>3661</v>
      </c>
      <c r="H414" s="3363" t="s">
        <v>3222</v>
      </c>
      <c r="I414" s="3363" t="s">
        <v>4462</v>
      </c>
      <c r="J414" s="3236">
        <v>42.57</v>
      </c>
    </row>
    <row r="415" spans="1:10" ht="11.25" customHeight="1">
      <c r="A415" s="3363" t="s">
        <v>4885</v>
      </c>
      <c r="B415" s="3363" t="s">
        <v>4464</v>
      </c>
      <c r="C415" s="3363" t="s">
        <v>3650</v>
      </c>
      <c r="D415" s="3363" t="s">
        <v>4459</v>
      </c>
      <c r="E415" s="3363" t="s">
        <v>4460</v>
      </c>
      <c r="F415" s="3363" t="s">
        <v>4465</v>
      </c>
      <c r="G415" s="3363" t="s">
        <v>3661</v>
      </c>
      <c r="H415" s="3363" t="s">
        <v>3222</v>
      </c>
      <c r="I415" s="3363" t="s">
        <v>4462</v>
      </c>
      <c r="J415" s="3236">
        <v>48.96</v>
      </c>
    </row>
    <row r="416" spans="1:10" ht="11.25" customHeight="1">
      <c r="A416" s="3363" t="s">
        <v>4886</v>
      </c>
      <c r="B416" s="3363" t="s">
        <v>4464</v>
      </c>
      <c r="C416" s="3363" t="s">
        <v>3651</v>
      </c>
      <c r="D416" s="3363" t="s">
        <v>4459</v>
      </c>
      <c r="E416" s="3363" t="s">
        <v>4460</v>
      </c>
      <c r="F416" s="3363" t="s">
        <v>4465</v>
      </c>
      <c r="G416" s="3363" t="s">
        <v>3661</v>
      </c>
      <c r="H416" s="3363" t="s">
        <v>3222</v>
      </c>
      <c r="I416" s="3363" t="s">
        <v>4462</v>
      </c>
      <c r="J416" s="3236">
        <v>48.61</v>
      </c>
    </row>
    <row r="417" spans="1:10" ht="11.25" customHeight="1">
      <c r="A417" s="3363" t="s">
        <v>4887</v>
      </c>
      <c r="B417" s="3363" t="s">
        <v>4464</v>
      </c>
      <c r="C417" s="3363" t="s">
        <v>3652</v>
      </c>
      <c r="D417" s="3363" t="s">
        <v>4459</v>
      </c>
      <c r="E417" s="3363" t="s">
        <v>4460</v>
      </c>
      <c r="F417" s="3363" t="s">
        <v>4465</v>
      </c>
      <c r="G417" s="3363" t="s">
        <v>3661</v>
      </c>
      <c r="H417" s="3363" t="s">
        <v>3222</v>
      </c>
      <c r="I417" s="3363" t="s">
        <v>4462</v>
      </c>
      <c r="J417" s="3236">
        <v>97.45</v>
      </c>
    </row>
    <row r="418" spans="1:10" ht="11.25" customHeight="1">
      <c r="A418" s="3363" t="s">
        <v>4888</v>
      </c>
      <c r="B418" s="3363" t="s">
        <v>4464</v>
      </c>
      <c r="C418" s="3363" t="s">
        <v>3653</v>
      </c>
      <c r="D418" s="3363" t="s">
        <v>4459</v>
      </c>
      <c r="E418" s="3363" t="s">
        <v>4460</v>
      </c>
      <c r="F418" s="3363" t="s">
        <v>4465</v>
      </c>
      <c r="G418" s="3363" t="s">
        <v>3661</v>
      </c>
      <c r="H418" s="3363" t="s">
        <v>3222</v>
      </c>
      <c r="I418" s="3363" t="s">
        <v>4462</v>
      </c>
      <c r="J418" s="3236">
        <v>96.98</v>
      </c>
    </row>
    <row r="419" spans="1:10" ht="11.25" customHeight="1">
      <c r="A419" s="3363" t="s">
        <v>4889</v>
      </c>
      <c r="B419" s="3363" t="s">
        <v>4464</v>
      </c>
      <c r="C419" s="3363" t="s">
        <v>3654</v>
      </c>
      <c r="D419" s="3363" t="s">
        <v>4459</v>
      </c>
      <c r="E419" s="3363" t="s">
        <v>4460</v>
      </c>
      <c r="F419" s="3363" t="s">
        <v>4465</v>
      </c>
      <c r="G419" s="3363" t="s">
        <v>3662</v>
      </c>
      <c r="H419" s="3363" t="s">
        <v>3222</v>
      </c>
      <c r="I419" s="3363" t="s">
        <v>4466</v>
      </c>
      <c r="J419" s="3236">
        <v>1245.71</v>
      </c>
    </row>
    <row r="420" spans="1:10" ht="11.25" customHeight="1">
      <c r="A420" s="3363" t="s">
        <v>4890</v>
      </c>
      <c r="B420" s="3363" t="s">
        <v>4464</v>
      </c>
      <c r="C420" s="3363" t="s">
        <v>3655</v>
      </c>
      <c r="D420" s="3363" t="s">
        <v>4459</v>
      </c>
      <c r="E420" s="3363" t="s">
        <v>4460</v>
      </c>
      <c r="F420" s="3363" t="s">
        <v>4465</v>
      </c>
      <c r="G420" s="3363" t="s">
        <v>3661</v>
      </c>
      <c r="H420" s="3363" t="s">
        <v>3222</v>
      </c>
      <c r="I420" s="3363" t="s">
        <v>4462</v>
      </c>
      <c r="J420" s="3236">
        <v>132.96</v>
      </c>
    </row>
    <row r="421" spans="1:10" ht="11.25" customHeight="1">
      <c r="A421" s="3363" t="s">
        <v>4891</v>
      </c>
      <c r="B421" s="3363" t="s">
        <v>4464</v>
      </c>
      <c r="C421" s="3363" t="s">
        <v>3656</v>
      </c>
      <c r="D421" s="3363" t="s">
        <v>4459</v>
      </c>
      <c r="E421" s="3363" t="s">
        <v>4460</v>
      </c>
      <c r="F421" s="3363" t="s">
        <v>4465</v>
      </c>
      <c r="G421" s="3363" t="s">
        <v>3661</v>
      </c>
      <c r="H421" s="3363" t="s">
        <v>3222</v>
      </c>
      <c r="I421" s="3363" t="s">
        <v>4462</v>
      </c>
      <c r="J421" s="3236">
        <v>134.84</v>
      </c>
    </row>
    <row r="422" spans="1:10" ht="11.25" customHeight="1">
      <c r="A422" s="3363" t="s">
        <v>4892</v>
      </c>
      <c r="B422" s="3363" t="s">
        <v>4464</v>
      </c>
      <c r="C422" s="3363" t="s">
        <v>3657</v>
      </c>
      <c r="D422" s="3363" t="s">
        <v>4459</v>
      </c>
      <c r="E422" s="3363" t="s">
        <v>4460</v>
      </c>
      <c r="F422" s="3363" t="s">
        <v>4465</v>
      </c>
      <c r="G422" s="3363" t="s">
        <v>3661</v>
      </c>
      <c r="H422" s="3363" t="s">
        <v>3222</v>
      </c>
      <c r="I422" s="3363" t="s">
        <v>4462</v>
      </c>
      <c r="J422" s="3236">
        <v>99.51</v>
      </c>
    </row>
    <row r="423" spans="1:10" ht="11.25" customHeight="1">
      <c r="A423" s="3363" t="s">
        <v>4893</v>
      </c>
      <c r="B423" s="3363" t="s">
        <v>4464</v>
      </c>
      <c r="C423" s="3363" t="s">
        <v>3658</v>
      </c>
      <c r="D423" s="3363" t="s">
        <v>4459</v>
      </c>
      <c r="E423" s="3363" t="s">
        <v>4460</v>
      </c>
      <c r="F423" s="3363" t="s">
        <v>4465</v>
      </c>
      <c r="G423" s="3363" t="s">
        <v>3661</v>
      </c>
      <c r="H423" s="3363" t="s">
        <v>3222</v>
      </c>
      <c r="I423" s="3363" t="s">
        <v>4462</v>
      </c>
      <c r="J423" s="3236">
        <v>46.34</v>
      </c>
    </row>
    <row r="424" spans="1:10" ht="11.25" customHeight="1">
      <c r="A424" s="3363" t="s">
        <v>4894</v>
      </c>
      <c r="B424" s="3363" t="s">
        <v>4464</v>
      </c>
      <c r="C424" s="3363" t="s">
        <v>3659</v>
      </c>
      <c r="D424" s="3363" t="s">
        <v>4459</v>
      </c>
      <c r="E424" s="3363" t="s">
        <v>4460</v>
      </c>
      <c r="F424" s="3363" t="s">
        <v>4465</v>
      </c>
      <c r="G424" s="3363" t="s">
        <v>3661</v>
      </c>
      <c r="H424" s="3363" t="s">
        <v>3222</v>
      </c>
      <c r="I424" s="3363" t="s">
        <v>4462</v>
      </c>
      <c r="J424" s="3236">
        <v>10.93</v>
      </c>
    </row>
    <row r="425" spans="1:10" ht="11.25" customHeight="1">
      <c r="A425" s="3363"/>
      <c r="B425" s="3243"/>
      <c r="C425" s="3243"/>
      <c r="D425" s="3363"/>
      <c r="E425" s="3243"/>
      <c r="F425" s="3243"/>
      <c r="G425" s="3243"/>
      <c r="H425" s="3362" t="s">
        <v>4467</v>
      </c>
      <c r="I425" s="3362"/>
      <c r="J425" s="3244">
        <f>SUM(J340:J424)</f>
        <v>13711.819999999998</v>
      </c>
    </row>
    <row r="426" spans="1:10" ht="11.25" customHeight="1">
      <c r="A426" s="3363" t="s">
        <v>4838</v>
      </c>
      <c r="B426" s="3237" t="s">
        <v>4468</v>
      </c>
      <c r="C426" s="3237" t="s">
        <v>3185</v>
      </c>
      <c r="D426" s="3237" t="s">
        <v>4459</v>
      </c>
      <c r="E426" s="3237" t="s">
        <v>4460</v>
      </c>
      <c r="F426" s="3237" t="s">
        <v>4469</v>
      </c>
      <c r="G426" s="3237" t="s">
        <v>3662</v>
      </c>
      <c r="H426" s="3237" t="s">
        <v>3222</v>
      </c>
      <c r="I426" s="3236" t="s">
        <v>4466</v>
      </c>
      <c r="J426" s="3236">
        <v>128.02000000000001</v>
      </c>
    </row>
    <row r="427" spans="1:10" ht="11.25" customHeight="1">
      <c r="A427" s="3363" t="s">
        <v>4839</v>
      </c>
      <c r="B427" s="3237" t="s">
        <v>4468</v>
      </c>
      <c r="C427" s="3237" t="s">
        <v>3186</v>
      </c>
      <c r="D427" s="3237" t="s">
        <v>4459</v>
      </c>
      <c r="E427" s="3237" t="s">
        <v>4460</v>
      </c>
      <c r="F427" s="3237" t="s">
        <v>4469</v>
      </c>
      <c r="G427" s="3237" t="s">
        <v>3662</v>
      </c>
      <c r="H427" s="3237" t="s">
        <v>3222</v>
      </c>
      <c r="I427" s="3236" t="s">
        <v>4466</v>
      </c>
      <c r="J427" s="3236">
        <v>204.64</v>
      </c>
    </row>
    <row r="428" spans="1:10" ht="11.25" customHeight="1">
      <c r="A428" s="3363" t="s">
        <v>4741</v>
      </c>
      <c r="B428" s="3237" t="s">
        <v>4468</v>
      </c>
      <c r="C428" s="3237" t="s">
        <v>3188</v>
      </c>
      <c r="D428" s="3237" t="s">
        <v>4459</v>
      </c>
      <c r="E428" s="3237" t="s">
        <v>4460</v>
      </c>
      <c r="F428" s="3237" t="s">
        <v>4469</v>
      </c>
      <c r="G428" s="3237" t="s">
        <v>3662</v>
      </c>
      <c r="H428" s="3237" t="s">
        <v>3222</v>
      </c>
      <c r="I428" s="3236" t="s">
        <v>4466</v>
      </c>
      <c r="J428" s="3236">
        <v>196.66</v>
      </c>
    </row>
    <row r="429" spans="1:10" ht="11.25" customHeight="1">
      <c r="A429" s="3363" t="s">
        <v>4841</v>
      </c>
      <c r="B429" s="3237" t="s">
        <v>4468</v>
      </c>
      <c r="C429" s="3237" t="s">
        <v>3190</v>
      </c>
      <c r="D429" s="3237" t="s">
        <v>4459</v>
      </c>
      <c r="E429" s="3237" t="s">
        <v>4460</v>
      </c>
      <c r="F429" s="3237" t="s">
        <v>4469</v>
      </c>
      <c r="G429" s="3237" t="s">
        <v>3662</v>
      </c>
      <c r="H429" s="3237" t="s">
        <v>3222</v>
      </c>
      <c r="I429" s="3236" t="s">
        <v>4466</v>
      </c>
      <c r="J429" s="3236">
        <v>676.95</v>
      </c>
    </row>
    <row r="430" spans="1:10" ht="11.25" customHeight="1">
      <c r="A430" s="3363" t="s">
        <v>4511</v>
      </c>
      <c r="B430" s="3237" t="s">
        <v>4468</v>
      </c>
      <c r="C430" s="3237" t="s">
        <v>4470</v>
      </c>
      <c r="D430" s="3237" t="s">
        <v>4459</v>
      </c>
      <c r="E430" s="3237" t="s">
        <v>4460</v>
      </c>
      <c r="F430" s="3237" t="s">
        <v>4469</v>
      </c>
      <c r="G430" s="3237" t="s">
        <v>3662</v>
      </c>
      <c r="H430" s="3237" t="s">
        <v>3222</v>
      </c>
      <c r="I430" s="3236" t="s">
        <v>4466</v>
      </c>
      <c r="J430" s="3236">
        <v>188.2</v>
      </c>
    </row>
    <row r="431" spans="1:10" ht="11.25" customHeight="1">
      <c r="A431" s="3363" t="s">
        <v>4842</v>
      </c>
      <c r="B431" s="3237" t="s">
        <v>4468</v>
      </c>
      <c r="C431" s="3237" t="s">
        <v>4471</v>
      </c>
      <c r="D431" s="3237" t="s">
        <v>4459</v>
      </c>
      <c r="E431" s="3237" t="s">
        <v>4460</v>
      </c>
      <c r="F431" s="3237" t="s">
        <v>4469</v>
      </c>
      <c r="G431" s="3237" t="s">
        <v>3662</v>
      </c>
      <c r="H431" s="3237" t="s">
        <v>3222</v>
      </c>
      <c r="I431" s="3236" t="s">
        <v>4466</v>
      </c>
      <c r="J431" s="3236">
        <v>193.78</v>
      </c>
    </row>
    <row r="432" spans="1:10" ht="11.25" customHeight="1">
      <c r="A432" s="3363" t="s">
        <v>4517</v>
      </c>
      <c r="B432" s="3237" t="s">
        <v>4468</v>
      </c>
      <c r="C432" s="3237" t="s">
        <v>3194</v>
      </c>
      <c r="D432" s="3237" t="s">
        <v>4459</v>
      </c>
      <c r="E432" s="3237" t="s">
        <v>4460</v>
      </c>
      <c r="F432" s="3237" t="s">
        <v>4469</v>
      </c>
      <c r="G432" s="3237" t="s">
        <v>3662</v>
      </c>
      <c r="H432" s="3237" t="s">
        <v>3222</v>
      </c>
      <c r="I432" s="3236" t="s">
        <v>4466</v>
      </c>
      <c r="J432" s="3236">
        <v>113.83</v>
      </c>
    </row>
    <row r="433" spans="1:11" ht="11.25" customHeight="1">
      <c r="A433" s="3363" t="s">
        <v>4843</v>
      </c>
      <c r="B433" s="3237" t="s">
        <v>4468</v>
      </c>
      <c r="C433" s="3237" t="s">
        <v>3196</v>
      </c>
      <c r="D433" s="3237" t="s">
        <v>4459</v>
      </c>
      <c r="E433" s="3237" t="s">
        <v>4460</v>
      </c>
      <c r="F433" s="3237" t="s">
        <v>4469</v>
      </c>
      <c r="G433" s="3237" t="s">
        <v>3662</v>
      </c>
      <c r="H433" s="3237" t="s">
        <v>3222</v>
      </c>
      <c r="I433" s="3236" t="s">
        <v>4466</v>
      </c>
      <c r="J433" s="3236">
        <v>147.19999999999999</v>
      </c>
    </row>
    <row r="434" spans="1:11" ht="11.25" customHeight="1">
      <c r="A434" s="3363" t="s">
        <v>4521</v>
      </c>
      <c r="B434" s="3237" t="s">
        <v>4468</v>
      </c>
      <c r="C434" s="3237" t="s">
        <v>3197</v>
      </c>
      <c r="D434" s="3237" t="s">
        <v>4459</v>
      </c>
      <c r="E434" s="3237" t="s">
        <v>4460</v>
      </c>
      <c r="F434" s="3237" t="s">
        <v>4469</v>
      </c>
      <c r="G434" s="3237" t="s">
        <v>3662</v>
      </c>
      <c r="H434" s="3237" t="s">
        <v>3222</v>
      </c>
      <c r="I434" s="3236" t="s">
        <v>4466</v>
      </c>
      <c r="J434" s="3236">
        <v>165.28</v>
      </c>
    </row>
    <row r="435" spans="1:11" ht="11.25" customHeight="1">
      <c r="A435" s="3363" t="s">
        <v>4844</v>
      </c>
      <c r="B435" s="3237" t="s">
        <v>4468</v>
      </c>
      <c r="C435" s="3237" t="s">
        <v>3198</v>
      </c>
      <c r="D435" s="3237" t="s">
        <v>4459</v>
      </c>
      <c r="E435" s="3237" t="s">
        <v>4460</v>
      </c>
      <c r="F435" s="3237" t="s">
        <v>4469</v>
      </c>
      <c r="G435" s="3237" t="s">
        <v>3662</v>
      </c>
      <c r="H435" s="3237" t="s">
        <v>3222</v>
      </c>
      <c r="I435" s="3236" t="s">
        <v>4466</v>
      </c>
      <c r="J435" s="3236">
        <v>169.42</v>
      </c>
    </row>
    <row r="436" spans="1:11" ht="11.25" customHeight="1">
      <c r="A436" s="3363" t="s">
        <v>4651</v>
      </c>
      <c r="B436" s="3237" t="s">
        <v>4468</v>
      </c>
      <c r="C436" s="3237" t="s">
        <v>3199</v>
      </c>
      <c r="D436" s="3237" t="s">
        <v>4459</v>
      </c>
      <c r="E436" s="3237" t="s">
        <v>4460</v>
      </c>
      <c r="F436" s="3237" t="s">
        <v>4469</v>
      </c>
      <c r="G436" s="3237" t="s">
        <v>3662</v>
      </c>
      <c r="H436" s="3237" t="s">
        <v>3222</v>
      </c>
      <c r="I436" s="3236" t="s">
        <v>4466</v>
      </c>
      <c r="J436" s="3236">
        <v>147.99</v>
      </c>
    </row>
    <row r="437" spans="1:11" ht="11.25" customHeight="1">
      <c r="A437" s="3363" t="s">
        <v>4751</v>
      </c>
      <c r="B437" s="3237" t="s">
        <v>4468</v>
      </c>
      <c r="C437" s="3237" t="s">
        <v>3204</v>
      </c>
      <c r="D437" s="3237" t="s">
        <v>4459</v>
      </c>
      <c r="E437" s="3237" t="s">
        <v>4460</v>
      </c>
      <c r="F437" s="3237" t="s">
        <v>4469</v>
      </c>
      <c r="G437" s="3237" t="s">
        <v>3662</v>
      </c>
      <c r="H437" s="3237" t="s">
        <v>3222</v>
      </c>
      <c r="I437" s="3236" t="s">
        <v>4466</v>
      </c>
      <c r="J437" s="3236">
        <v>148.62</v>
      </c>
    </row>
    <row r="438" spans="1:11" ht="11.25" customHeight="1">
      <c r="A438" s="3363" t="s">
        <v>4845</v>
      </c>
      <c r="B438" s="3237" t="s">
        <v>4468</v>
      </c>
      <c r="C438" s="3237" t="s">
        <v>3206</v>
      </c>
      <c r="D438" s="3237" t="s">
        <v>4459</v>
      </c>
      <c r="E438" s="3237" t="s">
        <v>4460</v>
      </c>
      <c r="F438" s="3237" t="s">
        <v>4469</v>
      </c>
      <c r="G438" s="3237" t="s">
        <v>3662</v>
      </c>
      <c r="H438" s="3237" t="s">
        <v>3222</v>
      </c>
      <c r="I438" s="3236" t="s">
        <v>4462</v>
      </c>
      <c r="J438" s="3236">
        <v>154.85</v>
      </c>
    </row>
    <row r="439" spans="1:11" ht="11.25" customHeight="1">
      <c r="A439" s="3363" t="s">
        <v>4846</v>
      </c>
      <c r="B439" s="3237" t="s">
        <v>4468</v>
      </c>
      <c r="C439" s="3237" t="s">
        <v>3206</v>
      </c>
      <c r="D439" s="3237" t="s">
        <v>4459</v>
      </c>
      <c r="E439" s="3237" t="s">
        <v>4460</v>
      </c>
      <c r="F439" s="3237" t="s">
        <v>4469</v>
      </c>
      <c r="G439" s="3237" t="s">
        <v>3663</v>
      </c>
      <c r="H439" s="3237" t="s">
        <v>3210</v>
      </c>
      <c r="I439" s="3236" t="s">
        <v>4462</v>
      </c>
      <c r="J439" s="3236">
        <v>913.44</v>
      </c>
    </row>
    <row r="440" spans="1:11" ht="11.25" customHeight="1">
      <c r="A440" s="3363" t="s">
        <v>4530</v>
      </c>
      <c r="B440" s="3237" t="s">
        <v>4468</v>
      </c>
      <c r="C440" s="3237" t="s">
        <v>3178</v>
      </c>
      <c r="D440" s="3237" t="s">
        <v>4459</v>
      </c>
      <c r="E440" s="3237" t="s">
        <v>4460</v>
      </c>
      <c r="F440" s="3237" t="s">
        <v>4469</v>
      </c>
      <c r="G440" s="3237" t="s">
        <v>3663</v>
      </c>
      <c r="H440" s="3237" t="s">
        <v>3219</v>
      </c>
      <c r="I440" s="3236" t="s">
        <v>4462</v>
      </c>
      <c r="J440" s="3236">
        <v>353.11</v>
      </c>
    </row>
    <row r="441" spans="1:11" ht="11.25" customHeight="1">
      <c r="A441" s="3363" t="s">
        <v>5587</v>
      </c>
      <c r="B441" s="3237" t="s">
        <v>4468</v>
      </c>
      <c r="C441" s="3237" t="s">
        <v>3178</v>
      </c>
      <c r="D441" s="3237" t="s">
        <v>4459</v>
      </c>
      <c r="E441" s="3237" t="s">
        <v>4460</v>
      </c>
      <c r="F441" s="3237" t="s">
        <v>4469</v>
      </c>
      <c r="G441" s="3237" t="s">
        <v>3660</v>
      </c>
      <c r="H441" s="3237" t="s">
        <v>3219</v>
      </c>
      <c r="I441" s="3236" t="s">
        <v>4462</v>
      </c>
      <c r="J441" s="3236">
        <v>1389.34</v>
      </c>
      <c r="K441" s="3370">
        <f>J441+J440</f>
        <v>1742.4499999999998</v>
      </c>
    </row>
    <row r="442" spans="1:11" ht="11.25" customHeight="1">
      <c r="A442" s="3363"/>
      <c r="B442" s="3237"/>
      <c r="C442" s="3237"/>
      <c r="D442" s="3237"/>
      <c r="E442" s="3237"/>
      <c r="F442" s="3237"/>
      <c r="G442" s="3237"/>
      <c r="H442" s="3490" t="s">
        <v>4472</v>
      </c>
      <c r="I442" s="3490"/>
      <c r="J442" s="3242">
        <f>SUM(J426:J441)</f>
        <v>5291.33</v>
      </c>
    </row>
    <row r="443" spans="1:11" ht="11.25" customHeight="1">
      <c r="A443" s="3363" t="s">
        <v>4838</v>
      </c>
      <c r="B443" s="3237" t="s">
        <v>4473</v>
      </c>
      <c r="C443" s="3237" t="s">
        <v>3665</v>
      </c>
      <c r="D443" s="3237" t="s">
        <v>4459</v>
      </c>
      <c r="E443" s="3237" t="s">
        <v>4460</v>
      </c>
      <c r="F443" s="3237" t="s">
        <v>4474</v>
      </c>
      <c r="G443" s="3237" t="s">
        <v>3660</v>
      </c>
      <c r="H443" s="3237" t="s">
        <v>3219</v>
      </c>
      <c r="I443" s="3236" t="s">
        <v>4462</v>
      </c>
      <c r="J443" s="3236">
        <v>29.09</v>
      </c>
    </row>
    <row r="444" spans="1:11" ht="11.25" customHeight="1">
      <c r="A444" s="3363" t="s">
        <v>4839</v>
      </c>
      <c r="B444" s="3237" t="s">
        <v>4473</v>
      </c>
      <c r="C444" s="3237" t="s">
        <v>3666</v>
      </c>
      <c r="D444" s="3237" t="s">
        <v>4459</v>
      </c>
      <c r="E444" s="3237" t="s">
        <v>4460</v>
      </c>
      <c r="F444" s="3237" t="s">
        <v>4474</v>
      </c>
      <c r="G444" s="3237" t="s">
        <v>3660</v>
      </c>
      <c r="H444" s="3237" t="s">
        <v>3219</v>
      </c>
      <c r="I444" s="3236" t="s">
        <v>4462</v>
      </c>
      <c r="J444" s="3236">
        <v>29.09</v>
      </c>
    </row>
    <row r="445" spans="1:11" ht="11.25" customHeight="1">
      <c r="A445" s="3363" t="s">
        <v>4741</v>
      </c>
      <c r="B445" s="3237" t="s">
        <v>4473</v>
      </c>
      <c r="C445" s="3237" t="s">
        <v>3667</v>
      </c>
      <c r="D445" s="3237" t="s">
        <v>4459</v>
      </c>
      <c r="E445" s="3237" t="s">
        <v>4460</v>
      </c>
      <c r="F445" s="3237" t="s">
        <v>4474</v>
      </c>
      <c r="G445" s="3237" t="s">
        <v>3660</v>
      </c>
      <c r="H445" s="3237" t="s">
        <v>3219</v>
      </c>
      <c r="I445" s="3236" t="s">
        <v>4462</v>
      </c>
      <c r="J445" s="3236">
        <v>29.09</v>
      </c>
    </row>
    <row r="446" spans="1:11" ht="11.25" customHeight="1">
      <c r="A446" s="3363" t="s">
        <v>4841</v>
      </c>
      <c r="B446" s="3237" t="s">
        <v>4473</v>
      </c>
      <c r="C446" s="3237" t="s">
        <v>3668</v>
      </c>
      <c r="D446" s="3237" t="s">
        <v>4459</v>
      </c>
      <c r="E446" s="3237" t="s">
        <v>4460</v>
      </c>
      <c r="F446" s="3237" t="s">
        <v>4474</v>
      </c>
      <c r="G446" s="3237" t="s">
        <v>3660</v>
      </c>
      <c r="H446" s="3237" t="s">
        <v>3219</v>
      </c>
      <c r="I446" s="3236" t="s">
        <v>4462</v>
      </c>
      <c r="J446" s="3236">
        <v>29.09</v>
      </c>
    </row>
    <row r="447" spans="1:11" ht="11.25" customHeight="1">
      <c r="A447" s="3363" t="s">
        <v>4511</v>
      </c>
      <c r="B447" s="3237" t="s">
        <v>4473</v>
      </c>
      <c r="C447" s="3237" t="s">
        <v>3669</v>
      </c>
      <c r="D447" s="3237" t="s">
        <v>4459</v>
      </c>
      <c r="E447" s="3237" t="s">
        <v>4460</v>
      </c>
      <c r="F447" s="3237" t="s">
        <v>4474</v>
      </c>
      <c r="G447" s="3237" t="s">
        <v>3660</v>
      </c>
      <c r="H447" s="3237" t="s">
        <v>3219</v>
      </c>
      <c r="I447" s="3236" t="s">
        <v>4462</v>
      </c>
      <c r="J447" s="3236">
        <v>29.09</v>
      </c>
    </row>
    <row r="448" spans="1:11" ht="11.25" customHeight="1">
      <c r="A448" s="3363" t="s">
        <v>4842</v>
      </c>
      <c r="B448" s="3237" t="s">
        <v>4473</v>
      </c>
      <c r="C448" s="3237" t="s">
        <v>3670</v>
      </c>
      <c r="D448" s="3237" t="s">
        <v>4459</v>
      </c>
      <c r="E448" s="3237" t="s">
        <v>4460</v>
      </c>
      <c r="F448" s="3237" t="s">
        <v>4474</v>
      </c>
      <c r="G448" s="3237" t="s">
        <v>3660</v>
      </c>
      <c r="H448" s="3237" t="s">
        <v>3219</v>
      </c>
      <c r="I448" s="3236" t="s">
        <v>4462</v>
      </c>
      <c r="J448" s="3236">
        <v>29.09</v>
      </c>
    </row>
    <row r="449" spans="1:10" ht="11.25" customHeight="1">
      <c r="A449" s="3363" t="s">
        <v>4517</v>
      </c>
      <c r="B449" s="3237" t="s">
        <v>4473</v>
      </c>
      <c r="C449" s="3237" t="s">
        <v>3671</v>
      </c>
      <c r="D449" s="3237" t="s">
        <v>4459</v>
      </c>
      <c r="E449" s="3237" t="s">
        <v>4460</v>
      </c>
      <c r="F449" s="3237" t="s">
        <v>4474</v>
      </c>
      <c r="G449" s="3237" t="s">
        <v>3660</v>
      </c>
      <c r="H449" s="3237" t="s">
        <v>3219</v>
      </c>
      <c r="I449" s="3236" t="s">
        <v>4462</v>
      </c>
      <c r="J449" s="3236">
        <v>29.09</v>
      </c>
    </row>
    <row r="450" spans="1:10" ht="11.25" customHeight="1">
      <c r="A450" s="3363" t="s">
        <v>4843</v>
      </c>
      <c r="B450" s="3237" t="s">
        <v>4473</v>
      </c>
      <c r="C450" s="3237" t="s">
        <v>3672</v>
      </c>
      <c r="D450" s="3237" t="s">
        <v>4459</v>
      </c>
      <c r="E450" s="3237" t="s">
        <v>4460</v>
      </c>
      <c r="F450" s="3237" t="s">
        <v>4474</v>
      </c>
      <c r="G450" s="3237" t="s">
        <v>3660</v>
      </c>
      <c r="H450" s="3237" t="s">
        <v>3219</v>
      </c>
      <c r="I450" s="3236" t="s">
        <v>4462</v>
      </c>
      <c r="J450" s="3236">
        <v>29.09</v>
      </c>
    </row>
    <row r="451" spans="1:10" ht="11.25" customHeight="1">
      <c r="A451" s="3363" t="s">
        <v>4521</v>
      </c>
      <c r="B451" s="3237" t="s">
        <v>4473</v>
      </c>
      <c r="C451" s="3237" t="s">
        <v>3673</v>
      </c>
      <c r="D451" s="3237" t="s">
        <v>4459</v>
      </c>
      <c r="E451" s="3237" t="s">
        <v>4460</v>
      </c>
      <c r="F451" s="3237" t="s">
        <v>4474</v>
      </c>
      <c r="G451" s="3237" t="s">
        <v>3660</v>
      </c>
      <c r="H451" s="3237" t="s">
        <v>3219</v>
      </c>
      <c r="I451" s="3236" t="s">
        <v>4462</v>
      </c>
      <c r="J451" s="3236">
        <v>29.09</v>
      </c>
    </row>
    <row r="452" spans="1:10" ht="11.25" customHeight="1">
      <c r="A452" s="3363" t="s">
        <v>4844</v>
      </c>
      <c r="B452" s="3237" t="s">
        <v>4473</v>
      </c>
      <c r="C452" s="3237" t="s">
        <v>3674</v>
      </c>
      <c r="D452" s="3237" t="s">
        <v>4459</v>
      </c>
      <c r="E452" s="3237" t="s">
        <v>4460</v>
      </c>
      <c r="F452" s="3237" t="s">
        <v>4474</v>
      </c>
      <c r="G452" s="3237" t="s">
        <v>3660</v>
      </c>
      <c r="H452" s="3237" t="s">
        <v>3219</v>
      </c>
      <c r="I452" s="3236" t="s">
        <v>4462</v>
      </c>
      <c r="J452" s="3236">
        <v>29.09</v>
      </c>
    </row>
    <row r="453" spans="1:10" ht="11.25" customHeight="1">
      <c r="A453" s="3363" t="s">
        <v>4651</v>
      </c>
      <c r="B453" s="3237" t="s">
        <v>4473</v>
      </c>
      <c r="C453" s="3237" t="s">
        <v>3675</v>
      </c>
      <c r="D453" s="3237" t="s">
        <v>4459</v>
      </c>
      <c r="E453" s="3237" t="s">
        <v>4460</v>
      </c>
      <c r="F453" s="3237" t="s">
        <v>4474</v>
      </c>
      <c r="G453" s="3237" t="s">
        <v>3660</v>
      </c>
      <c r="H453" s="3237" t="s">
        <v>3219</v>
      </c>
      <c r="I453" s="3236" t="s">
        <v>4462</v>
      </c>
      <c r="J453" s="3236">
        <v>29.09</v>
      </c>
    </row>
    <row r="454" spans="1:10" ht="11.25" customHeight="1">
      <c r="A454" s="3363" t="s">
        <v>4751</v>
      </c>
      <c r="B454" s="3237" t="s">
        <v>4473</v>
      </c>
      <c r="C454" s="3237" t="s">
        <v>3676</v>
      </c>
      <c r="D454" s="3237" t="s">
        <v>4459</v>
      </c>
      <c r="E454" s="3237" t="s">
        <v>4460</v>
      </c>
      <c r="F454" s="3237" t="s">
        <v>4474</v>
      </c>
      <c r="G454" s="3237" t="s">
        <v>3660</v>
      </c>
      <c r="H454" s="3237" t="s">
        <v>3219</v>
      </c>
      <c r="I454" s="3236" t="s">
        <v>4462</v>
      </c>
      <c r="J454" s="3236">
        <v>29.09</v>
      </c>
    </row>
    <row r="455" spans="1:10" ht="11.25" customHeight="1">
      <c r="A455" s="3363" t="s">
        <v>4845</v>
      </c>
      <c r="B455" s="3237" t="s">
        <v>4473</v>
      </c>
      <c r="C455" s="3237" t="s">
        <v>3677</v>
      </c>
      <c r="D455" s="3237" t="s">
        <v>4459</v>
      </c>
      <c r="E455" s="3237" t="s">
        <v>4460</v>
      </c>
      <c r="F455" s="3237" t="s">
        <v>4474</v>
      </c>
      <c r="G455" s="3237" t="s">
        <v>3660</v>
      </c>
      <c r="H455" s="3237" t="s">
        <v>3219</v>
      </c>
      <c r="I455" s="3236" t="s">
        <v>4462</v>
      </c>
      <c r="J455" s="3236">
        <v>29.09</v>
      </c>
    </row>
    <row r="456" spans="1:10" ht="11.25" customHeight="1">
      <c r="A456" s="3363" t="s">
        <v>4846</v>
      </c>
      <c r="B456" s="3237" t="s">
        <v>4473</v>
      </c>
      <c r="C456" s="3237" t="s">
        <v>3678</v>
      </c>
      <c r="D456" s="3237" t="s">
        <v>4459</v>
      </c>
      <c r="E456" s="3237" t="s">
        <v>4460</v>
      </c>
      <c r="F456" s="3237" t="s">
        <v>4474</v>
      </c>
      <c r="G456" s="3237" t="s">
        <v>3660</v>
      </c>
      <c r="H456" s="3237" t="s">
        <v>3219</v>
      </c>
      <c r="I456" s="3236" t="s">
        <v>4462</v>
      </c>
      <c r="J456" s="3236">
        <v>29.09</v>
      </c>
    </row>
    <row r="457" spans="1:10" ht="11.25" customHeight="1">
      <c r="A457" s="3363" t="s">
        <v>4530</v>
      </c>
      <c r="B457" s="3237" t="s">
        <v>4473</v>
      </c>
      <c r="C457" s="3237" t="s">
        <v>3679</v>
      </c>
      <c r="D457" s="3237" t="s">
        <v>4459</v>
      </c>
      <c r="E457" s="3237" t="s">
        <v>4460</v>
      </c>
      <c r="F457" s="3237" t="s">
        <v>4474</v>
      </c>
      <c r="G457" s="3237" t="s">
        <v>3660</v>
      </c>
      <c r="H457" s="3237" t="s">
        <v>3219</v>
      </c>
      <c r="I457" s="3236" t="s">
        <v>4462</v>
      </c>
      <c r="J457" s="3236">
        <v>29.09</v>
      </c>
    </row>
    <row r="458" spans="1:10" ht="11.25" customHeight="1">
      <c r="A458" s="3363" t="s">
        <v>4654</v>
      </c>
      <c r="B458" s="3237" t="s">
        <v>4473</v>
      </c>
      <c r="C458" s="3237" t="s">
        <v>3680</v>
      </c>
      <c r="D458" s="3237" t="s">
        <v>4459</v>
      </c>
      <c r="E458" s="3237" t="s">
        <v>4460</v>
      </c>
      <c r="F458" s="3237" t="s">
        <v>4474</v>
      </c>
      <c r="G458" s="3237" t="s">
        <v>3660</v>
      </c>
      <c r="H458" s="3237" t="s">
        <v>3219</v>
      </c>
      <c r="I458" s="3236" t="s">
        <v>4462</v>
      </c>
      <c r="J458" s="3236">
        <v>29.09</v>
      </c>
    </row>
    <row r="459" spans="1:10" ht="11.25" customHeight="1">
      <c r="A459" s="3363" t="s">
        <v>4847</v>
      </c>
      <c r="B459" s="3237" t="s">
        <v>4473</v>
      </c>
      <c r="C459" s="3237" t="s">
        <v>3681</v>
      </c>
      <c r="D459" s="3237" t="s">
        <v>4459</v>
      </c>
      <c r="E459" s="3237" t="s">
        <v>4460</v>
      </c>
      <c r="F459" s="3237" t="s">
        <v>4474</v>
      </c>
      <c r="G459" s="3237" t="s">
        <v>3660</v>
      </c>
      <c r="H459" s="3237" t="s">
        <v>3219</v>
      </c>
      <c r="I459" s="3236" t="s">
        <v>4462</v>
      </c>
      <c r="J459" s="3236">
        <v>29.09</v>
      </c>
    </row>
    <row r="460" spans="1:10" ht="11.25" customHeight="1">
      <c r="A460" s="3363" t="s">
        <v>4532</v>
      </c>
      <c r="B460" s="3237" t="s">
        <v>4473</v>
      </c>
      <c r="C460" s="3237" t="s">
        <v>3682</v>
      </c>
      <c r="D460" s="3237" t="s">
        <v>4459</v>
      </c>
      <c r="E460" s="3237" t="s">
        <v>4460</v>
      </c>
      <c r="F460" s="3237" t="s">
        <v>4474</v>
      </c>
      <c r="G460" s="3237" t="s">
        <v>3660</v>
      </c>
      <c r="H460" s="3237" t="s">
        <v>3219</v>
      </c>
      <c r="I460" s="3236" t="s">
        <v>4462</v>
      </c>
      <c r="J460" s="3236">
        <v>29.09</v>
      </c>
    </row>
    <row r="461" spans="1:10" ht="11.25" customHeight="1">
      <c r="A461" s="3363" t="s">
        <v>4534</v>
      </c>
      <c r="B461" s="3237" t="s">
        <v>4473</v>
      </c>
      <c r="C461" s="3237" t="s">
        <v>3683</v>
      </c>
      <c r="D461" s="3237" t="s">
        <v>4459</v>
      </c>
      <c r="E461" s="3237" t="s">
        <v>4460</v>
      </c>
      <c r="F461" s="3237" t="s">
        <v>4474</v>
      </c>
      <c r="G461" s="3237" t="s">
        <v>3660</v>
      </c>
      <c r="H461" s="3237" t="s">
        <v>3219</v>
      </c>
      <c r="I461" s="3236" t="s">
        <v>4462</v>
      </c>
      <c r="J461" s="3236">
        <v>29.09</v>
      </c>
    </row>
    <row r="462" spans="1:10" ht="11.25" customHeight="1">
      <c r="A462" s="3363" t="s">
        <v>4539</v>
      </c>
      <c r="B462" s="3237" t="s">
        <v>4473</v>
      </c>
      <c r="C462" s="3237" t="s">
        <v>3684</v>
      </c>
      <c r="D462" s="3237" t="s">
        <v>4459</v>
      </c>
      <c r="E462" s="3237" t="s">
        <v>4460</v>
      </c>
      <c r="F462" s="3237" t="s">
        <v>4474</v>
      </c>
      <c r="G462" s="3237" t="s">
        <v>3660</v>
      </c>
      <c r="H462" s="3237" t="s">
        <v>3219</v>
      </c>
      <c r="I462" s="3236" t="s">
        <v>4462</v>
      </c>
      <c r="J462" s="3236">
        <v>29.09</v>
      </c>
    </row>
    <row r="463" spans="1:10" ht="11.25" customHeight="1">
      <c r="A463" s="3363" t="s">
        <v>4543</v>
      </c>
      <c r="B463" s="3237" t="s">
        <v>4473</v>
      </c>
      <c r="C463" s="3237" t="s">
        <v>3685</v>
      </c>
      <c r="D463" s="3237" t="s">
        <v>4459</v>
      </c>
      <c r="E463" s="3237" t="s">
        <v>4460</v>
      </c>
      <c r="F463" s="3237" t="s">
        <v>4474</v>
      </c>
      <c r="G463" s="3237" t="s">
        <v>3660</v>
      </c>
      <c r="H463" s="3237" t="s">
        <v>3219</v>
      </c>
      <c r="I463" s="3236" t="s">
        <v>4462</v>
      </c>
      <c r="J463" s="3236">
        <v>29.09</v>
      </c>
    </row>
    <row r="464" spans="1:10" ht="11.25" customHeight="1">
      <c r="A464" s="3363" t="s">
        <v>4658</v>
      </c>
      <c r="B464" s="3237" t="s">
        <v>4473</v>
      </c>
      <c r="C464" s="3237" t="s">
        <v>3686</v>
      </c>
      <c r="D464" s="3237" t="s">
        <v>4459</v>
      </c>
      <c r="E464" s="3237" t="s">
        <v>4460</v>
      </c>
      <c r="F464" s="3237" t="s">
        <v>4474</v>
      </c>
      <c r="G464" s="3237" t="s">
        <v>3660</v>
      </c>
      <c r="H464" s="3237" t="s">
        <v>3219</v>
      </c>
      <c r="I464" s="3236" t="s">
        <v>4462</v>
      </c>
      <c r="J464" s="3236">
        <v>29.09</v>
      </c>
    </row>
    <row r="465" spans="1:10" ht="11.25" customHeight="1">
      <c r="A465" s="3363" t="s">
        <v>4545</v>
      </c>
      <c r="B465" s="3237" t="s">
        <v>4473</v>
      </c>
      <c r="C465" s="3237" t="s">
        <v>3687</v>
      </c>
      <c r="D465" s="3237" t="s">
        <v>4459</v>
      </c>
      <c r="E465" s="3237" t="s">
        <v>4460</v>
      </c>
      <c r="F465" s="3237" t="s">
        <v>4474</v>
      </c>
      <c r="G465" s="3237" t="s">
        <v>3660</v>
      </c>
      <c r="H465" s="3237" t="s">
        <v>3219</v>
      </c>
      <c r="I465" s="3236" t="s">
        <v>4462</v>
      </c>
      <c r="J465" s="3236">
        <v>29.09</v>
      </c>
    </row>
    <row r="466" spans="1:10" ht="11.25" customHeight="1">
      <c r="A466" s="3363" t="s">
        <v>4848</v>
      </c>
      <c r="B466" s="3237" t="s">
        <v>4473</v>
      </c>
      <c r="C466" s="3237" t="s">
        <v>3688</v>
      </c>
      <c r="D466" s="3237" t="s">
        <v>4459</v>
      </c>
      <c r="E466" s="3237" t="s">
        <v>4460</v>
      </c>
      <c r="F466" s="3237" t="s">
        <v>4474</v>
      </c>
      <c r="G466" s="3237" t="s">
        <v>3660</v>
      </c>
      <c r="H466" s="3237" t="s">
        <v>3219</v>
      </c>
      <c r="I466" s="3236" t="s">
        <v>4462</v>
      </c>
      <c r="J466" s="3236">
        <v>29.09</v>
      </c>
    </row>
    <row r="467" spans="1:10" ht="11.25" customHeight="1">
      <c r="A467" s="3363" t="s">
        <v>4849</v>
      </c>
      <c r="B467" s="3237" t="s">
        <v>4473</v>
      </c>
      <c r="C467" s="3237" t="s">
        <v>3689</v>
      </c>
      <c r="D467" s="3237" t="s">
        <v>4459</v>
      </c>
      <c r="E467" s="3237" t="s">
        <v>4460</v>
      </c>
      <c r="F467" s="3237" t="s">
        <v>4474</v>
      </c>
      <c r="G467" s="3237" t="s">
        <v>3660</v>
      </c>
      <c r="H467" s="3237" t="s">
        <v>3219</v>
      </c>
      <c r="I467" s="3236" t="s">
        <v>4462</v>
      </c>
      <c r="J467" s="3236">
        <v>29.09</v>
      </c>
    </row>
    <row r="468" spans="1:10" ht="11.25" customHeight="1">
      <c r="A468" s="3363" t="s">
        <v>4550</v>
      </c>
      <c r="B468" s="3237" t="s">
        <v>4473</v>
      </c>
      <c r="C468" s="3237" t="s">
        <v>3690</v>
      </c>
      <c r="D468" s="3237" t="s">
        <v>4459</v>
      </c>
      <c r="E468" s="3237" t="s">
        <v>4460</v>
      </c>
      <c r="F468" s="3237" t="s">
        <v>4474</v>
      </c>
      <c r="G468" s="3237" t="s">
        <v>3660</v>
      </c>
      <c r="H468" s="3237" t="s">
        <v>3219</v>
      </c>
      <c r="I468" s="3236" t="s">
        <v>4462</v>
      </c>
      <c r="J468" s="3236">
        <v>29.09</v>
      </c>
    </row>
    <row r="469" spans="1:10" ht="11.25" customHeight="1">
      <c r="A469" s="3363" t="s">
        <v>4850</v>
      </c>
      <c r="B469" s="3237" t="s">
        <v>4473</v>
      </c>
      <c r="C469" s="3237" t="s">
        <v>3691</v>
      </c>
      <c r="D469" s="3237" t="s">
        <v>4459</v>
      </c>
      <c r="E469" s="3237" t="s">
        <v>4460</v>
      </c>
      <c r="F469" s="3237" t="s">
        <v>4474</v>
      </c>
      <c r="G469" s="3237" t="s">
        <v>3660</v>
      </c>
      <c r="H469" s="3237" t="s">
        <v>3219</v>
      </c>
      <c r="I469" s="3236" t="s">
        <v>4462</v>
      </c>
      <c r="J469" s="3236">
        <v>29.09</v>
      </c>
    </row>
    <row r="470" spans="1:10" ht="11.25" customHeight="1">
      <c r="A470" s="3363" t="s">
        <v>4552</v>
      </c>
      <c r="B470" s="3237" t="s">
        <v>4473</v>
      </c>
      <c r="C470" s="3237" t="s">
        <v>3692</v>
      </c>
      <c r="D470" s="3237" t="s">
        <v>4459</v>
      </c>
      <c r="E470" s="3237" t="s">
        <v>4460</v>
      </c>
      <c r="F470" s="3237" t="s">
        <v>4474</v>
      </c>
      <c r="G470" s="3237" t="s">
        <v>3660</v>
      </c>
      <c r="H470" s="3237" t="s">
        <v>3219</v>
      </c>
      <c r="I470" s="3236" t="s">
        <v>4462</v>
      </c>
      <c r="J470" s="3236">
        <v>29.09</v>
      </c>
    </row>
    <row r="471" spans="1:10" ht="11.25" customHeight="1">
      <c r="A471" s="3363" t="s">
        <v>4851</v>
      </c>
      <c r="B471" s="3237" t="s">
        <v>4473</v>
      </c>
      <c r="C471" s="3237" t="s">
        <v>3693</v>
      </c>
      <c r="D471" s="3237" t="s">
        <v>4459</v>
      </c>
      <c r="E471" s="3237" t="s">
        <v>4460</v>
      </c>
      <c r="F471" s="3237" t="s">
        <v>4474</v>
      </c>
      <c r="G471" s="3237" t="s">
        <v>3660</v>
      </c>
      <c r="H471" s="3237" t="s">
        <v>3219</v>
      </c>
      <c r="I471" s="3236" t="s">
        <v>4462</v>
      </c>
      <c r="J471" s="3236">
        <v>29.09</v>
      </c>
    </row>
    <row r="472" spans="1:10" ht="11.25" customHeight="1">
      <c r="A472" s="3363" t="s">
        <v>4553</v>
      </c>
      <c r="B472" s="3237" t="s">
        <v>4473</v>
      </c>
      <c r="C472" s="3237" t="s">
        <v>3694</v>
      </c>
      <c r="D472" s="3237" t="s">
        <v>4459</v>
      </c>
      <c r="E472" s="3237" t="s">
        <v>4460</v>
      </c>
      <c r="F472" s="3237" t="s">
        <v>4474</v>
      </c>
      <c r="G472" s="3237" t="s">
        <v>3660</v>
      </c>
      <c r="H472" s="3237" t="s">
        <v>3219</v>
      </c>
      <c r="I472" s="3236" t="s">
        <v>4462</v>
      </c>
      <c r="J472" s="3236">
        <v>29.09</v>
      </c>
    </row>
    <row r="473" spans="1:10" ht="11.25" customHeight="1">
      <c r="A473" s="3363" t="s">
        <v>4852</v>
      </c>
      <c r="B473" s="3237" t="s">
        <v>4473</v>
      </c>
      <c r="C473" s="3237" t="s">
        <v>3695</v>
      </c>
      <c r="D473" s="3237" t="s">
        <v>4459</v>
      </c>
      <c r="E473" s="3237" t="s">
        <v>4460</v>
      </c>
      <c r="F473" s="3237" t="s">
        <v>4474</v>
      </c>
      <c r="G473" s="3237" t="s">
        <v>3660</v>
      </c>
      <c r="H473" s="3237" t="s">
        <v>3219</v>
      </c>
      <c r="I473" s="3236" t="s">
        <v>4462</v>
      </c>
      <c r="J473" s="3236">
        <v>29.09</v>
      </c>
    </row>
    <row r="474" spans="1:10" ht="11.25" customHeight="1">
      <c r="A474" s="3363" t="s">
        <v>4555</v>
      </c>
      <c r="B474" s="3237" t="s">
        <v>4473</v>
      </c>
      <c r="C474" s="3237" t="s">
        <v>3696</v>
      </c>
      <c r="D474" s="3237" t="s">
        <v>4459</v>
      </c>
      <c r="E474" s="3237" t="s">
        <v>4460</v>
      </c>
      <c r="F474" s="3237" t="s">
        <v>4474</v>
      </c>
      <c r="G474" s="3237" t="s">
        <v>3660</v>
      </c>
      <c r="H474" s="3237" t="s">
        <v>3219</v>
      </c>
      <c r="I474" s="3236" t="s">
        <v>4462</v>
      </c>
      <c r="J474" s="3236">
        <v>29.09</v>
      </c>
    </row>
    <row r="475" spans="1:10" ht="11.25" customHeight="1">
      <c r="A475" s="3363" t="s">
        <v>4742</v>
      </c>
      <c r="B475" s="3237" t="s">
        <v>4473</v>
      </c>
      <c r="C475" s="3237" t="s">
        <v>3697</v>
      </c>
      <c r="D475" s="3237" t="s">
        <v>4459</v>
      </c>
      <c r="E475" s="3237" t="s">
        <v>4460</v>
      </c>
      <c r="F475" s="3237" t="s">
        <v>4474</v>
      </c>
      <c r="G475" s="3237" t="s">
        <v>3660</v>
      </c>
      <c r="H475" s="3237" t="s">
        <v>3219</v>
      </c>
      <c r="I475" s="3236" t="s">
        <v>4462</v>
      </c>
      <c r="J475" s="3236">
        <v>29.09</v>
      </c>
    </row>
    <row r="476" spans="1:10" ht="11.25" customHeight="1">
      <c r="A476" s="3363" t="s">
        <v>4853</v>
      </c>
      <c r="B476" s="3237" t="s">
        <v>4473</v>
      </c>
      <c r="C476" s="3237" t="s">
        <v>3698</v>
      </c>
      <c r="D476" s="3237" t="s">
        <v>4459</v>
      </c>
      <c r="E476" s="3237" t="s">
        <v>4460</v>
      </c>
      <c r="F476" s="3237" t="s">
        <v>4474</v>
      </c>
      <c r="G476" s="3237" t="s">
        <v>3660</v>
      </c>
      <c r="H476" s="3237" t="s">
        <v>3219</v>
      </c>
      <c r="I476" s="3236" t="s">
        <v>4462</v>
      </c>
      <c r="J476" s="3236">
        <v>29.09</v>
      </c>
    </row>
    <row r="477" spans="1:10" ht="11.25" customHeight="1">
      <c r="A477" s="3363" t="s">
        <v>4854</v>
      </c>
      <c r="B477" s="3237" t="s">
        <v>4473</v>
      </c>
      <c r="C477" s="3237" t="s">
        <v>3699</v>
      </c>
      <c r="D477" s="3237" t="s">
        <v>4459</v>
      </c>
      <c r="E477" s="3237" t="s">
        <v>4460</v>
      </c>
      <c r="F477" s="3237" t="s">
        <v>4474</v>
      </c>
      <c r="G477" s="3237" t="s">
        <v>3660</v>
      </c>
      <c r="H477" s="3237" t="s">
        <v>3219</v>
      </c>
      <c r="I477" s="3236" t="s">
        <v>4462</v>
      </c>
      <c r="J477" s="3236">
        <v>29.09</v>
      </c>
    </row>
    <row r="478" spans="1:10" ht="11.25" customHeight="1">
      <c r="A478" s="3363" t="s">
        <v>4557</v>
      </c>
      <c r="B478" s="3237" t="s">
        <v>4473</v>
      </c>
      <c r="C478" s="3237" t="s">
        <v>3700</v>
      </c>
      <c r="D478" s="3237" t="s">
        <v>4459</v>
      </c>
      <c r="E478" s="3237" t="s">
        <v>4460</v>
      </c>
      <c r="F478" s="3237" t="s">
        <v>4474</v>
      </c>
      <c r="G478" s="3237" t="s">
        <v>3660</v>
      </c>
      <c r="H478" s="3237" t="s">
        <v>3219</v>
      </c>
      <c r="I478" s="3236" t="s">
        <v>4462</v>
      </c>
      <c r="J478" s="3236">
        <v>29.09</v>
      </c>
    </row>
    <row r="479" spans="1:10" ht="11.25" customHeight="1">
      <c r="A479" s="3363" t="s">
        <v>4855</v>
      </c>
      <c r="B479" s="3237" t="s">
        <v>4473</v>
      </c>
      <c r="C479" s="3237" t="s">
        <v>3701</v>
      </c>
      <c r="D479" s="3237" t="s">
        <v>4459</v>
      </c>
      <c r="E479" s="3237" t="s">
        <v>4460</v>
      </c>
      <c r="F479" s="3237" t="s">
        <v>4474</v>
      </c>
      <c r="G479" s="3237" t="s">
        <v>3660</v>
      </c>
      <c r="H479" s="3237" t="s">
        <v>3219</v>
      </c>
      <c r="I479" s="3236" t="s">
        <v>4462</v>
      </c>
      <c r="J479" s="3236">
        <v>29.09</v>
      </c>
    </row>
    <row r="480" spans="1:10" ht="11.25" customHeight="1">
      <c r="A480" s="3363" t="s">
        <v>4559</v>
      </c>
      <c r="B480" s="3237" t="s">
        <v>4473</v>
      </c>
      <c r="C480" s="3237" t="s">
        <v>3702</v>
      </c>
      <c r="D480" s="3237" t="s">
        <v>4459</v>
      </c>
      <c r="E480" s="3237" t="s">
        <v>4460</v>
      </c>
      <c r="F480" s="3237" t="s">
        <v>4474</v>
      </c>
      <c r="G480" s="3237" t="s">
        <v>3660</v>
      </c>
      <c r="H480" s="3237" t="s">
        <v>3219</v>
      </c>
      <c r="I480" s="3236" t="s">
        <v>4462</v>
      </c>
      <c r="J480" s="3236">
        <v>29.09</v>
      </c>
    </row>
    <row r="481" spans="1:10" ht="11.25" customHeight="1">
      <c r="A481" s="3363" t="s">
        <v>4856</v>
      </c>
      <c r="B481" s="3237" t="s">
        <v>4473</v>
      </c>
      <c r="C481" s="3237" t="s">
        <v>3703</v>
      </c>
      <c r="D481" s="3237" t="s">
        <v>4459</v>
      </c>
      <c r="E481" s="3237" t="s">
        <v>4460</v>
      </c>
      <c r="F481" s="3237" t="s">
        <v>4474</v>
      </c>
      <c r="G481" s="3237" t="s">
        <v>3660</v>
      </c>
      <c r="H481" s="3237" t="s">
        <v>3219</v>
      </c>
      <c r="I481" s="3236" t="s">
        <v>4462</v>
      </c>
      <c r="J481" s="3236">
        <v>29.09</v>
      </c>
    </row>
    <row r="482" spans="1:10" ht="11.25" customHeight="1">
      <c r="A482" s="3363" t="s">
        <v>4857</v>
      </c>
      <c r="B482" s="3237" t="s">
        <v>4473</v>
      </c>
      <c r="C482" s="3237" t="s">
        <v>3704</v>
      </c>
      <c r="D482" s="3237" t="s">
        <v>4459</v>
      </c>
      <c r="E482" s="3237" t="s">
        <v>4460</v>
      </c>
      <c r="F482" s="3237" t="s">
        <v>4474</v>
      </c>
      <c r="G482" s="3237" t="s">
        <v>3660</v>
      </c>
      <c r="H482" s="3237" t="s">
        <v>3219</v>
      </c>
      <c r="I482" s="3236" t="s">
        <v>4462</v>
      </c>
      <c r="J482" s="3236">
        <v>29.09</v>
      </c>
    </row>
    <row r="483" spans="1:10" ht="11.25" customHeight="1">
      <c r="A483" s="3363" t="s">
        <v>4858</v>
      </c>
      <c r="B483" s="3237" t="s">
        <v>4473</v>
      </c>
      <c r="C483" s="3237" t="s">
        <v>3705</v>
      </c>
      <c r="D483" s="3237" t="s">
        <v>4459</v>
      </c>
      <c r="E483" s="3237" t="s">
        <v>4460</v>
      </c>
      <c r="F483" s="3237" t="s">
        <v>4474</v>
      </c>
      <c r="G483" s="3237" t="s">
        <v>3660</v>
      </c>
      <c r="H483" s="3237" t="s">
        <v>3219</v>
      </c>
      <c r="I483" s="3236" t="s">
        <v>4462</v>
      </c>
      <c r="J483" s="3236">
        <v>29.09</v>
      </c>
    </row>
    <row r="484" spans="1:10" ht="11.25" customHeight="1">
      <c r="A484" s="3363" t="s">
        <v>4859</v>
      </c>
      <c r="B484" s="3237" t="s">
        <v>4473</v>
      </c>
      <c r="C484" s="3237" t="s">
        <v>3706</v>
      </c>
      <c r="D484" s="3237" t="s">
        <v>4459</v>
      </c>
      <c r="E484" s="3237" t="s">
        <v>4460</v>
      </c>
      <c r="F484" s="3237" t="s">
        <v>4474</v>
      </c>
      <c r="G484" s="3237" t="s">
        <v>3660</v>
      </c>
      <c r="H484" s="3237" t="s">
        <v>3219</v>
      </c>
      <c r="I484" s="3236" t="s">
        <v>4462</v>
      </c>
      <c r="J484" s="3236">
        <v>29.09</v>
      </c>
    </row>
    <row r="485" spans="1:10" ht="11.25" customHeight="1">
      <c r="A485" s="3363" t="s">
        <v>4860</v>
      </c>
      <c r="B485" s="3237" t="s">
        <v>4473</v>
      </c>
      <c r="C485" s="3237" t="s">
        <v>3707</v>
      </c>
      <c r="D485" s="3237" t="s">
        <v>4459</v>
      </c>
      <c r="E485" s="3237" t="s">
        <v>4460</v>
      </c>
      <c r="F485" s="3237" t="s">
        <v>4474</v>
      </c>
      <c r="G485" s="3237" t="s">
        <v>3660</v>
      </c>
      <c r="H485" s="3237" t="s">
        <v>3219</v>
      </c>
      <c r="I485" s="3236" t="s">
        <v>4462</v>
      </c>
      <c r="J485" s="3236">
        <v>29.09</v>
      </c>
    </row>
    <row r="486" spans="1:10" ht="11.25" customHeight="1">
      <c r="A486" s="3363" t="s">
        <v>4861</v>
      </c>
      <c r="B486" s="3237" t="s">
        <v>4473</v>
      </c>
      <c r="C486" s="3237" t="s">
        <v>3708</v>
      </c>
      <c r="D486" s="3237" t="s">
        <v>4459</v>
      </c>
      <c r="E486" s="3237" t="s">
        <v>4460</v>
      </c>
      <c r="F486" s="3237" t="s">
        <v>4474</v>
      </c>
      <c r="G486" s="3237" t="s">
        <v>3660</v>
      </c>
      <c r="H486" s="3237" t="s">
        <v>3219</v>
      </c>
      <c r="I486" s="3236" t="s">
        <v>4462</v>
      </c>
      <c r="J486" s="3236">
        <v>29.09</v>
      </c>
    </row>
    <row r="487" spans="1:10" ht="11.25" customHeight="1">
      <c r="A487" s="3363" t="s">
        <v>4862</v>
      </c>
      <c r="B487" s="3237" t="s">
        <v>4473</v>
      </c>
      <c r="C487" s="3237" t="s">
        <v>3709</v>
      </c>
      <c r="D487" s="3237" t="s">
        <v>4459</v>
      </c>
      <c r="E487" s="3237" t="s">
        <v>4460</v>
      </c>
      <c r="F487" s="3237" t="s">
        <v>4474</v>
      </c>
      <c r="G487" s="3237" t="s">
        <v>3660</v>
      </c>
      <c r="H487" s="3237" t="s">
        <v>3219</v>
      </c>
      <c r="I487" s="3236" t="s">
        <v>4462</v>
      </c>
      <c r="J487" s="3236">
        <v>29.09</v>
      </c>
    </row>
    <row r="488" spans="1:10" ht="11.25" customHeight="1">
      <c r="A488" s="3363" t="s">
        <v>4863</v>
      </c>
      <c r="B488" s="3237" t="s">
        <v>4473</v>
      </c>
      <c r="C488" s="3237" t="s">
        <v>3710</v>
      </c>
      <c r="D488" s="3237" t="s">
        <v>4459</v>
      </c>
      <c r="E488" s="3237" t="s">
        <v>4460</v>
      </c>
      <c r="F488" s="3237" t="s">
        <v>4474</v>
      </c>
      <c r="G488" s="3237" t="s">
        <v>3660</v>
      </c>
      <c r="H488" s="3237" t="s">
        <v>3219</v>
      </c>
      <c r="I488" s="3236" t="s">
        <v>4462</v>
      </c>
      <c r="J488" s="3236">
        <v>29.09</v>
      </c>
    </row>
    <row r="489" spans="1:10" ht="11.25" customHeight="1">
      <c r="A489" s="3363" t="s">
        <v>4864</v>
      </c>
      <c r="B489" s="3237" t="s">
        <v>4473</v>
      </c>
      <c r="C489" s="3237" t="s">
        <v>3711</v>
      </c>
      <c r="D489" s="3237" t="s">
        <v>4459</v>
      </c>
      <c r="E489" s="3237" t="s">
        <v>4460</v>
      </c>
      <c r="F489" s="3237" t="s">
        <v>4474</v>
      </c>
      <c r="G489" s="3237" t="s">
        <v>3660</v>
      </c>
      <c r="H489" s="3237" t="s">
        <v>3219</v>
      </c>
      <c r="I489" s="3236" t="s">
        <v>4462</v>
      </c>
      <c r="J489" s="3236">
        <v>29.09</v>
      </c>
    </row>
    <row r="490" spans="1:10" ht="11.25" customHeight="1">
      <c r="A490" s="3363" t="s">
        <v>4865</v>
      </c>
      <c r="B490" s="3237" t="s">
        <v>4473</v>
      </c>
      <c r="C490" s="3237" t="s">
        <v>3712</v>
      </c>
      <c r="D490" s="3237" t="s">
        <v>4459</v>
      </c>
      <c r="E490" s="3237" t="s">
        <v>4460</v>
      </c>
      <c r="F490" s="3237" t="s">
        <v>4474</v>
      </c>
      <c r="G490" s="3237" t="s">
        <v>3660</v>
      </c>
      <c r="H490" s="3237" t="s">
        <v>3219</v>
      </c>
      <c r="I490" s="3236" t="s">
        <v>4462</v>
      </c>
      <c r="J490" s="3236">
        <v>29.09</v>
      </c>
    </row>
    <row r="491" spans="1:10" ht="11.25" customHeight="1">
      <c r="A491" s="3363" t="s">
        <v>4866</v>
      </c>
      <c r="B491" s="3237" t="s">
        <v>4473</v>
      </c>
      <c r="C491" s="3237" t="s">
        <v>3713</v>
      </c>
      <c r="D491" s="3237" t="s">
        <v>4459</v>
      </c>
      <c r="E491" s="3237" t="s">
        <v>4460</v>
      </c>
      <c r="F491" s="3237" t="s">
        <v>4474</v>
      </c>
      <c r="G491" s="3237" t="s">
        <v>3660</v>
      </c>
      <c r="H491" s="3237" t="s">
        <v>3219</v>
      </c>
      <c r="I491" s="3236" t="s">
        <v>4462</v>
      </c>
      <c r="J491" s="3236">
        <v>29.09</v>
      </c>
    </row>
    <row r="492" spans="1:10" ht="11.25" customHeight="1">
      <c r="A492" s="3363" t="s">
        <v>4561</v>
      </c>
      <c r="B492" s="3237" t="s">
        <v>4473</v>
      </c>
      <c r="C492" s="3237" t="s">
        <v>3714</v>
      </c>
      <c r="D492" s="3237" t="s">
        <v>4459</v>
      </c>
      <c r="E492" s="3237" t="s">
        <v>4460</v>
      </c>
      <c r="F492" s="3237" t="s">
        <v>4474</v>
      </c>
      <c r="G492" s="3237" t="s">
        <v>3660</v>
      </c>
      <c r="H492" s="3237" t="s">
        <v>3219</v>
      </c>
      <c r="I492" s="3236" t="s">
        <v>4462</v>
      </c>
      <c r="J492" s="3236">
        <v>29.09</v>
      </c>
    </row>
    <row r="493" spans="1:10" ht="11.25" customHeight="1">
      <c r="A493" s="3363" t="s">
        <v>4867</v>
      </c>
      <c r="B493" s="3237" t="s">
        <v>4473</v>
      </c>
      <c r="C493" s="3237" t="s">
        <v>3715</v>
      </c>
      <c r="D493" s="3237" t="s">
        <v>4459</v>
      </c>
      <c r="E493" s="3237" t="s">
        <v>4460</v>
      </c>
      <c r="F493" s="3237" t="s">
        <v>4474</v>
      </c>
      <c r="G493" s="3237" t="s">
        <v>3660</v>
      </c>
      <c r="H493" s="3237" t="s">
        <v>3219</v>
      </c>
      <c r="I493" s="3236" t="s">
        <v>4462</v>
      </c>
      <c r="J493" s="3236">
        <v>29.09</v>
      </c>
    </row>
    <row r="494" spans="1:10" ht="11.25" customHeight="1">
      <c r="A494" s="3363" t="s">
        <v>4563</v>
      </c>
      <c r="B494" s="3237" t="s">
        <v>4473</v>
      </c>
      <c r="C494" s="3237" t="s">
        <v>3716</v>
      </c>
      <c r="D494" s="3237" t="s">
        <v>4459</v>
      </c>
      <c r="E494" s="3237" t="s">
        <v>4460</v>
      </c>
      <c r="F494" s="3237" t="s">
        <v>4474</v>
      </c>
      <c r="G494" s="3237" t="s">
        <v>3660</v>
      </c>
      <c r="H494" s="3237" t="s">
        <v>3219</v>
      </c>
      <c r="I494" s="3236" t="s">
        <v>4462</v>
      </c>
      <c r="J494" s="3236">
        <v>29.09</v>
      </c>
    </row>
    <row r="495" spans="1:10" ht="11.25" customHeight="1">
      <c r="A495" s="3363" t="s">
        <v>4868</v>
      </c>
      <c r="B495" s="3237" t="s">
        <v>4473</v>
      </c>
      <c r="C495" s="3237" t="s">
        <v>3717</v>
      </c>
      <c r="D495" s="3237" t="s">
        <v>4459</v>
      </c>
      <c r="E495" s="3237" t="s">
        <v>4460</v>
      </c>
      <c r="F495" s="3237" t="s">
        <v>4474</v>
      </c>
      <c r="G495" s="3237" t="s">
        <v>3660</v>
      </c>
      <c r="H495" s="3237" t="s">
        <v>3219</v>
      </c>
      <c r="I495" s="3236" t="s">
        <v>4462</v>
      </c>
      <c r="J495" s="3236">
        <v>29.09</v>
      </c>
    </row>
    <row r="496" spans="1:10" ht="11.25" customHeight="1">
      <c r="A496" s="3363" t="s">
        <v>4869</v>
      </c>
      <c r="B496" s="3237" t="s">
        <v>4473</v>
      </c>
      <c r="C496" s="3237" t="s">
        <v>3718</v>
      </c>
      <c r="D496" s="3237" t="s">
        <v>4459</v>
      </c>
      <c r="E496" s="3237" t="s">
        <v>4460</v>
      </c>
      <c r="F496" s="3237" t="s">
        <v>4474</v>
      </c>
      <c r="G496" s="3237" t="s">
        <v>3660</v>
      </c>
      <c r="H496" s="3237" t="s">
        <v>3219</v>
      </c>
      <c r="I496" s="3236" t="s">
        <v>4462</v>
      </c>
      <c r="J496" s="3236">
        <v>29.09</v>
      </c>
    </row>
    <row r="497" spans="1:10" ht="11.25" customHeight="1">
      <c r="A497" s="3363" t="s">
        <v>4870</v>
      </c>
      <c r="B497" s="3237" t="s">
        <v>4473</v>
      </c>
      <c r="C497" s="3237" t="s">
        <v>3719</v>
      </c>
      <c r="D497" s="3237" t="s">
        <v>4459</v>
      </c>
      <c r="E497" s="3237" t="s">
        <v>4460</v>
      </c>
      <c r="F497" s="3237" t="s">
        <v>4474</v>
      </c>
      <c r="G497" s="3237" t="s">
        <v>3660</v>
      </c>
      <c r="H497" s="3237" t="s">
        <v>3219</v>
      </c>
      <c r="I497" s="3236" t="s">
        <v>4462</v>
      </c>
      <c r="J497" s="3236">
        <v>29.09</v>
      </c>
    </row>
    <row r="498" spans="1:10" ht="11.25" customHeight="1">
      <c r="A498" s="3363" t="s">
        <v>4565</v>
      </c>
      <c r="B498" s="3237" t="s">
        <v>4473</v>
      </c>
      <c r="C498" s="3237" t="s">
        <v>3720</v>
      </c>
      <c r="D498" s="3237" t="s">
        <v>4459</v>
      </c>
      <c r="E498" s="3237" t="s">
        <v>4460</v>
      </c>
      <c r="F498" s="3237" t="s">
        <v>4474</v>
      </c>
      <c r="G498" s="3237" t="s">
        <v>3660</v>
      </c>
      <c r="H498" s="3237" t="s">
        <v>3219</v>
      </c>
      <c r="I498" s="3236" t="s">
        <v>4462</v>
      </c>
      <c r="J498" s="3236">
        <v>29.09</v>
      </c>
    </row>
    <row r="499" spans="1:10" ht="11.25" customHeight="1">
      <c r="A499" s="3363" t="s">
        <v>4871</v>
      </c>
      <c r="B499" s="3237" t="s">
        <v>4473</v>
      </c>
      <c r="C499" s="3237" t="s">
        <v>3721</v>
      </c>
      <c r="D499" s="3237" t="s">
        <v>4459</v>
      </c>
      <c r="E499" s="3237" t="s">
        <v>4460</v>
      </c>
      <c r="F499" s="3237" t="s">
        <v>4474</v>
      </c>
      <c r="G499" s="3237" t="s">
        <v>3660</v>
      </c>
      <c r="H499" s="3237" t="s">
        <v>3219</v>
      </c>
      <c r="I499" s="3236" t="s">
        <v>4462</v>
      </c>
      <c r="J499" s="3236">
        <v>29.09</v>
      </c>
    </row>
    <row r="500" spans="1:10" ht="11.25" customHeight="1">
      <c r="A500" s="3363" t="s">
        <v>4567</v>
      </c>
      <c r="B500" s="3237" t="s">
        <v>4473</v>
      </c>
      <c r="C500" s="3237" t="s">
        <v>3722</v>
      </c>
      <c r="D500" s="3237" t="s">
        <v>4459</v>
      </c>
      <c r="E500" s="3237" t="s">
        <v>4460</v>
      </c>
      <c r="F500" s="3237" t="s">
        <v>4474</v>
      </c>
      <c r="G500" s="3237" t="s">
        <v>3660</v>
      </c>
      <c r="H500" s="3237" t="s">
        <v>3219</v>
      </c>
      <c r="I500" s="3236" t="s">
        <v>4462</v>
      </c>
      <c r="J500" s="3236">
        <v>29.09</v>
      </c>
    </row>
    <row r="501" spans="1:10" ht="11.25" customHeight="1">
      <c r="A501" s="3363" t="s">
        <v>4872</v>
      </c>
      <c r="B501" s="3237" t="s">
        <v>4473</v>
      </c>
      <c r="C501" s="3237" t="s">
        <v>3723</v>
      </c>
      <c r="D501" s="3237" t="s">
        <v>4459</v>
      </c>
      <c r="E501" s="3237" t="s">
        <v>4460</v>
      </c>
      <c r="F501" s="3237" t="s">
        <v>4474</v>
      </c>
      <c r="G501" s="3237" t="s">
        <v>3660</v>
      </c>
      <c r="H501" s="3237" t="s">
        <v>3219</v>
      </c>
      <c r="I501" s="3236" t="s">
        <v>4462</v>
      </c>
      <c r="J501" s="3236">
        <v>29.09</v>
      </c>
    </row>
    <row r="502" spans="1:10" ht="11.25" customHeight="1">
      <c r="A502" s="3363" t="s">
        <v>4873</v>
      </c>
      <c r="B502" s="3237" t="s">
        <v>4473</v>
      </c>
      <c r="C502" s="3237" t="s">
        <v>3724</v>
      </c>
      <c r="D502" s="3237" t="s">
        <v>4459</v>
      </c>
      <c r="E502" s="3237" t="s">
        <v>4460</v>
      </c>
      <c r="F502" s="3237" t="s">
        <v>4474</v>
      </c>
      <c r="G502" s="3237" t="s">
        <v>3660</v>
      </c>
      <c r="H502" s="3237" t="s">
        <v>3219</v>
      </c>
      <c r="I502" s="3236" t="s">
        <v>4462</v>
      </c>
      <c r="J502" s="3236">
        <v>29.09</v>
      </c>
    </row>
    <row r="503" spans="1:10" ht="11.25" customHeight="1">
      <c r="A503" s="3363" t="s">
        <v>4874</v>
      </c>
      <c r="B503" s="3237" t="s">
        <v>4473</v>
      </c>
      <c r="C503" s="3237" t="s">
        <v>3725</v>
      </c>
      <c r="D503" s="3237" t="s">
        <v>4459</v>
      </c>
      <c r="E503" s="3237" t="s">
        <v>4460</v>
      </c>
      <c r="F503" s="3237" t="s">
        <v>4474</v>
      </c>
      <c r="G503" s="3237" t="s">
        <v>3660</v>
      </c>
      <c r="H503" s="3237" t="s">
        <v>3219</v>
      </c>
      <c r="I503" s="3236" t="s">
        <v>4462</v>
      </c>
      <c r="J503" s="3236">
        <v>29.09</v>
      </c>
    </row>
    <row r="504" spans="1:10" ht="11.25" customHeight="1">
      <c r="A504" s="3363" t="s">
        <v>4875</v>
      </c>
      <c r="B504" s="3237" t="s">
        <v>4473</v>
      </c>
      <c r="C504" s="3237" t="s">
        <v>3726</v>
      </c>
      <c r="D504" s="3237" t="s">
        <v>4459</v>
      </c>
      <c r="E504" s="3237" t="s">
        <v>4460</v>
      </c>
      <c r="F504" s="3237" t="s">
        <v>4474</v>
      </c>
      <c r="G504" s="3237" t="s">
        <v>3660</v>
      </c>
      <c r="H504" s="3237" t="s">
        <v>3219</v>
      </c>
      <c r="I504" s="3236" t="s">
        <v>4462</v>
      </c>
      <c r="J504" s="3236">
        <v>29.09</v>
      </c>
    </row>
    <row r="505" spans="1:10" ht="11.25" customHeight="1">
      <c r="A505" s="3363" t="s">
        <v>4876</v>
      </c>
      <c r="B505" s="3237" t="s">
        <v>4473</v>
      </c>
      <c r="C505" s="3237" t="s">
        <v>3727</v>
      </c>
      <c r="D505" s="3237" t="s">
        <v>4459</v>
      </c>
      <c r="E505" s="3237" t="s">
        <v>4460</v>
      </c>
      <c r="F505" s="3237" t="s">
        <v>4474</v>
      </c>
      <c r="G505" s="3237" t="s">
        <v>3660</v>
      </c>
      <c r="H505" s="3237" t="s">
        <v>3219</v>
      </c>
      <c r="I505" s="3236" t="s">
        <v>4462</v>
      </c>
      <c r="J505" s="3236">
        <v>29.09</v>
      </c>
    </row>
    <row r="506" spans="1:10" ht="11.25" customHeight="1">
      <c r="A506" s="3363" t="s">
        <v>4877</v>
      </c>
      <c r="B506" s="3237" t="s">
        <v>4473</v>
      </c>
      <c r="C506" s="3237" t="s">
        <v>3728</v>
      </c>
      <c r="D506" s="3237" t="s">
        <v>4459</v>
      </c>
      <c r="E506" s="3237" t="s">
        <v>4460</v>
      </c>
      <c r="F506" s="3237" t="s">
        <v>4474</v>
      </c>
      <c r="G506" s="3237" t="s">
        <v>3660</v>
      </c>
      <c r="H506" s="3237" t="s">
        <v>3219</v>
      </c>
      <c r="I506" s="3236" t="s">
        <v>4462</v>
      </c>
      <c r="J506" s="3236">
        <v>29.09</v>
      </c>
    </row>
    <row r="507" spans="1:10" ht="11.25" customHeight="1">
      <c r="A507" s="3363" t="s">
        <v>4878</v>
      </c>
      <c r="B507" s="3237" t="s">
        <v>4473</v>
      </c>
      <c r="C507" s="3237" t="s">
        <v>3729</v>
      </c>
      <c r="D507" s="3237" t="s">
        <v>4459</v>
      </c>
      <c r="E507" s="3237" t="s">
        <v>4460</v>
      </c>
      <c r="F507" s="3237" t="s">
        <v>4474</v>
      </c>
      <c r="G507" s="3237" t="s">
        <v>3660</v>
      </c>
      <c r="H507" s="3237" t="s">
        <v>3219</v>
      </c>
      <c r="I507" s="3236" t="s">
        <v>4462</v>
      </c>
      <c r="J507" s="3236">
        <v>29.09</v>
      </c>
    </row>
    <row r="508" spans="1:10" ht="11.25" customHeight="1">
      <c r="A508" s="3363" t="s">
        <v>4572</v>
      </c>
      <c r="B508" s="3237" t="s">
        <v>4473</v>
      </c>
      <c r="C508" s="3237" t="s">
        <v>3730</v>
      </c>
      <c r="D508" s="3237" t="s">
        <v>4459</v>
      </c>
      <c r="E508" s="3237" t="s">
        <v>4460</v>
      </c>
      <c r="F508" s="3237" t="s">
        <v>4474</v>
      </c>
      <c r="G508" s="3237" t="s">
        <v>3660</v>
      </c>
      <c r="H508" s="3237" t="s">
        <v>3219</v>
      </c>
      <c r="I508" s="3236" t="s">
        <v>4462</v>
      </c>
      <c r="J508" s="3236">
        <v>29.09</v>
      </c>
    </row>
    <row r="509" spans="1:10" ht="11.25" customHeight="1">
      <c r="A509" s="3363" t="s">
        <v>4879</v>
      </c>
      <c r="B509" s="3237" t="s">
        <v>4473</v>
      </c>
      <c r="C509" s="3237" t="s">
        <v>3731</v>
      </c>
      <c r="D509" s="3237" t="s">
        <v>4459</v>
      </c>
      <c r="E509" s="3237" t="s">
        <v>4460</v>
      </c>
      <c r="F509" s="3237" t="s">
        <v>4474</v>
      </c>
      <c r="G509" s="3237" t="s">
        <v>3660</v>
      </c>
      <c r="H509" s="3237" t="s">
        <v>3219</v>
      </c>
      <c r="I509" s="3236" t="s">
        <v>4462</v>
      </c>
      <c r="J509" s="3236">
        <v>29.09</v>
      </c>
    </row>
    <row r="510" spans="1:10" ht="11.25" customHeight="1">
      <c r="A510" s="3363" t="s">
        <v>4574</v>
      </c>
      <c r="B510" s="3237" t="s">
        <v>4473</v>
      </c>
      <c r="C510" s="3237" t="s">
        <v>3732</v>
      </c>
      <c r="D510" s="3237" t="s">
        <v>4459</v>
      </c>
      <c r="E510" s="3237" t="s">
        <v>4460</v>
      </c>
      <c r="F510" s="3237" t="s">
        <v>4474</v>
      </c>
      <c r="G510" s="3237" t="s">
        <v>3660</v>
      </c>
      <c r="H510" s="3237" t="s">
        <v>3219</v>
      </c>
      <c r="I510" s="3236" t="s">
        <v>4462</v>
      </c>
      <c r="J510" s="3236">
        <v>29.09</v>
      </c>
    </row>
    <row r="511" spans="1:10" ht="11.25" customHeight="1">
      <c r="A511" s="3363" t="s">
        <v>4880</v>
      </c>
      <c r="B511" s="3237" t="s">
        <v>4473</v>
      </c>
      <c r="C511" s="3237" t="s">
        <v>3733</v>
      </c>
      <c r="D511" s="3237" t="s">
        <v>4459</v>
      </c>
      <c r="E511" s="3237" t="s">
        <v>4460</v>
      </c>
      <c r="F511" s="3237" t="s">
        <v>4474</v>
      </c>
      <c r="G511" s="3237" t="s">
        <v>3660</v>
      </c>
      <c r="H511" s="3237" t="s">
        <v>3219</v>
      </c>
      <c r="I511" s="3236" t="s">
        <v>4462</v>
      </c>
      <c r="J511" s="3236">
        <v>29.09</v>
      </c>
    </row>
    <row r="512" spans="1:10" ht="11.25" customHeight="1">
      <c r="A512" s="3363" t="s">
        <v>4576</v>
      </c>
      <c r="B512" s="3237" t="s">
        <v>4473</v>
      </c>
      <c r="C512" s="3237" t="s">
        <v>3734</v>
      </c>
      <c r="D512" s="3237" t="s">
        <v>4459</v>
      </c>
      <c r="E512" s="3237" t="s">
        <v>4460</v>
      </c>
      <c r="F512" s="3237" t="s">
        <v>4474</v>
      </c>
      <c r="G512" s="3237" t="s">
        <v>3660</v>
      </c>
      <c r="H512" s="3237" t="s">
        <v>3219</v>
      </c>
      <c r="I512" s="3236" t="s">
        <v>4462</v>
      </c>
      <c r="J512" s="3236">
        <v>29.09</v>
      </c>
    </row>
    <row r="513" spans="1:10" ht="11.25" customHeight="1">
      <c r="A513" s="3363" t="s">
        <v>4881</v>
      </c>
      <c r="B513" s="3237" t="s">
        <v>4473</v>
      </c>
      <c r="C513" s="3237" t="s">
        <v>3735</v>
      </c>
      <c r="D513" s="3237" t="s">
        <v>4459</v>
      </c>
      <c r="E513" s="3237" t="s">
        <v>4460</v>
      </c>
      <c r="F513" s="3237" t="s">
        <v>4474</v>
      </c>
      <c r="G513" s="3237" t="s">
        <v>3660</v>
      </c>
      <c r="H513" s="3237" t="s">
        <v>3219</v>
      </c>
      <c r="I513" s="3236" t="s">
        <v>4462</v>
      </c>
      <c r="J513" s="3236">
        <v>29.09</v>
      </c>
    </row>
    <row r="514" spans="1:10" ht="11.25" customHeight="1">
      <c r="A514" s="3363" t="s">
        <v>4578</v>
      </c>
      <c r="B514" s="3237" t="s">
        <v>4473</v>
      </c>
      <c r="C514" s="3237" t="s">
        <v>3736</v>
      </c>
      <c r="D514" s="3237" t="s">
        <v>4459</v>
      </c>
      <c r="E514" s="3237" t="s">
        <v>4460</v>
      </c>
      <c r="F514" s="3237" t="s">
        <v>4474</v>
      </c>
      <c r="G514" s="3237" t="s">
        <v>3660</v>
      </c>
      <c r="H514" s="3237" t="s">
        <v>3219</v>
      </c>
      <c r="I514" s="3236" t="s">
        <v>4462</v>
      </c>
      <c r="J514" s="3236">
        <v>29.09</v>
      </c>
    </row>
    <row r="515" spans="1:10" ht="11.25" customHeight="1">
      <c r="A515" s="3363" t="s">
        <v>4882</v>
      </c>
      <c r="B515" s="3237" t="s">
        <v>4473</v>
      </c>
      <c r="C515" s="3237" t="s">
        <v>3737</v>
      </c>
      <c r="D515" s="3237" t="s">
        <v>4459</v>
      </c>
      <c r="E515" s="3237" t="s">
        <v>4460</v>
      </c>
      <c r="F515" s="3237" t="s">
        <v>4474</v>
      </c>
      <c r="G515" s="3237" t="s">
        <v>3660</v>
      </c>
      <c r="H515" s="3237" t="s">
        <v>3219</v>
      </c>
      <c r="I515" s="3236" t="s">
        <v>4462</v>
      </c>
      <c r="J515" s="3236">
        <v>29.09</v>
      </c>
    </row>
    <row r="516" spans="1:10" ht="11.25" customHeight="1">
      <c r="A516" s="3363" t="s">
        <v>4883</v>
      </c>
      <c r="B516" s="3237" t="s">
        <v>4473</v>
      </c>
      <c r="C516" s="3237" t="s">
        <v>3738</v>
      </c>
      <c r="D516" s="3237" t="s">
        <v>4459</v>
      </c>
      <c r="E516" s="3237" t="s">
        <v>4460</v>
      </c>
      <c r="F516" s="3237" t="s">
        <v>4474</v>
      </c>
      <c r="G516" s="3237" t="s">
        <v>3660</v>
      </c>
      <c r="H516" s="3237" t="s">
        <v>3219</v>
      </c>
      <c r="I516" s="3236" t="s">
        <v>4462</v>
      </c>
      <c r="J516" s="3236">
        <v>29.09</v>
      </c>
    </row>
    <row r="517" spans="1:10" ht="11.25" customHeight="1">
      <c r="A517" s="3363" t="s">
        <v>4884</v>
      </c>
      <c r="B517" s="3237" t="s">
        <v>4473</v>
      </c>
      <c r="C517" s="3237" t="s">
        <v>3739</v>
      </c>
      <c r="D517" s="3237" t="s">
        <v>4459</v>
      </c>
      <c r="E517" s="3237" t="s">
        <v>4460</v>
      </c>
      <c r="F517" s="3237" t="s">
        <v>4474</v>
      </c>
      <c r="G517" s="3237" t="s">
        <v>3660</v>
      </c>
      <c r="H517" s="3237" t="s">
        <v>3219</v>
      </c>
      <c r="I517" s="3236" t="s">
        <v>4462</v>
      </c>
      <c r="J517" s="3236">
        <v>29.09</v>
      </c>
    </row>
    <row r="518" spans="1:10" ht="11.25" customHeight="1">
      <c r="A518" s="3363" t="s">
        <v>4885</v>
      </c>
      <c r="B518" s="3237" t="s">
        <v>4473</v>
      </c>
      <c r="C518" s="3237" t="s">
        <v>3740</v>
      </c>
      <c r="D518" s="3237" t="s">
        <v>4459</v>
      </c>
      <c r="E518" s="3237" t="s">
        <v>4460</v>
      </c>
      <c r="F518" s="3237" t="s">
        <v>4474</v>
      </c>
      <c r="G518" s="3237" t="s">
        <v>3660</v>
      </c>
      <c r="H518" s="3237" t="s">
        <v>3219</v>
      </c>
      <c r="I518" s="3236" t="s">
        <v>4462</v>
      </c>
      <c r="J518" s="3236">
        <v>29.09</v>
      </c>
    </row>
    <row r="519" spans="1:10" ht="11.25" customHeight="1">
      <c r="A519" s="3363" t="s">
        <v>4886</v>
      </c>
      <c r="B519" s="3237" t="s">
        <v>4473</v>
      </c>
      <c r="C519" s="3237" t="s">
        <v>3741</v>
      </c>
      <c r="D519" s="3237" t="s">
        <v>4459</v>
      </c>
      <c r="E519" s="3237" t="s">
        <v>4460</v>
      </c>
      <c r="F519" s="3237" t="s">
        <v>4474</v>
      </c>
      <c r="G519" s="3237" t="s">
        <v>3660</v>
      </c>
      <c r="H519" s="3237" t="s">
        <v>3219</v>
      </c>
      <c r="I519" s="3236" t="s">
        <v>4462</v>
      </c>
      <c r="J519" s="3236">
        <v>29.09</v>
      </c>
    </row>
    <row r="520" spans="1:10" ht="11.25" customHeight="1">
      <c r="A520" s="3363" t="s">
        <v>4887</v>
      </c>
      <c r="B520" s="3237" t="s">
        <v>4473</v>
      </c>
      <c r="C520" s="3237" t="s">
        <v>3742</v>
      </c>
      <c r="D520" s="3237" t="s">
        <v>4459</v>
      </c>
      <c r="E520" s="3237" t="s">
        <v>4460</v>
      </c>
      <c r="F520" s="3237" t="s">
        <v>4474</v>
      </c>
      <c r="G520" s="3237" t="s">
        <v>3660</v>
      </c>
      <c r="H520" s="3237" t="s">
        <v>3219</v>
      </c>
      <c r="I520" s="3236" t="s">
        <v>4462</v>
      </c>
      <c r="J520" s="3236">
        <v>29.09</v>
      </c>
    </row>
    <row r="521" spans="1:10" ht="11.25" customHeight="1">
      <c r="A521" s="3363" t="s">
        <v>4888</v>
      </c>
      <c r="B521" s="3237" t="s">
        <v>4473</v>
      </c>
      <c r="C521" s="3237" t="s">
        <v>3743</v>
      </c>
      <c r="D521" s="3237" t="s">
        <v>4459</v>
      </c>
      <c r="E521" s="3237" t="s">
        <v>4460</v>
      </c>
      <c r="F521" s="3237" t="s">
        <v>4474</v>
      </c>
      <c r="G521" s="3237" t="s">
        <v>3660</v>
      </c>
      <c r="H521" s="3237" t="s">
        <v>3219</v>
      </c>
      <c r="I521" s="3236" t="s">
        <v>4462</v>
      </c>
      <c r="J521" s="3236">
        <v>29.09</v>
      </c>
    </row>
    <row r="522" spans="1:10" ht="11.25" customHeight="1">
      <c r="A522" s="3363" t="s">
        <v>4889</v>
      </c>
      <c r="B522" s="3237" t="s">
        <v>4473</v>
      </c>
      <c r="C522" s="3237" t="s">
        <v>3744</v>
      </c>
      <c r="D522" s="3237" t="s">
        <v>4459</v>
      </c>
      <c r="E522" s="3237" t="s">
        <v>4460</v>
      </c>
      <c r="F522" s="3237" t="s">
        <v>4474</v>
      </c>
      <c r="G522" s="3237" t="s">
        <v>3660</v>
      </c>
      <c r="H522" s="3237" t="s">
        <v>3219</v>
      </c>
      <c r="I522" s="3236" t="s">
        <v>4462</v>
      </c>
      <c r="J522" s="3236">
        <v>29.09</v>
      </c>
    </row>
    <row r="523" spans="1:10" ht="11.25" customHeight="1">
      <c r="A523" s="3363" t="s">
        <v>4890</v>
      </c>
      <c r="B523" s="3237" t="s">
        <v>4473</v>
      </c>
      <c r="C523" s="3237" t="s">
        <v>3745</v>
      </c>
      <c r="D523" s="3237" t="s">
        <v>4459</v>
      </c>
      <c r="E523" s="3237" t="s">
        <v>4460</v>
      </c>
      <c r="F523" s="3237" t="s">
        <v>4474</v>
      </c>
      <c r="G523" s="3237" t="s">
        <v>3660</v>
      </c>
      <c r="H523" s="3237" t="s">
        <v>3219</v>
      </c>
      <c r="I523" s="3236" t="s">
        <v>4462</v>
      </c>
      <c r="J523" s="3236">
        <v>29.09</v>
      </c>
    </row>
    <row r="524" spans="1:10" ht="11.25" customHeight="1">
      <c r="A524" s="3363" t="s">
        <v>4891</v>
      </c>
      <c r="B524" s="3237" t="s">
        <v>4473</v>
      </c>
      <c r="C524" s="3237" t="s">
        <v>3746</v>
      </c>
      <c r="D524" s="3237" t="s">
        <v>4459</v>
      </c>
      <c r="E524" s="3237" t="s">
        <v>4460</v>
      </c>
      <c r="F524" s="3237" t="s">
        <v>4474</v>
      </c>
      <c r="G524" s="3237" t="s">
        <v>3660</v>
      </c>
      <c r="H524" s="3237" t="s">
        <v>3219</v>
      </c>
      <c r="I524" s="3236" t="s">
        <v>4462</v>
      </c>
      <c r="J524" s="3236">
        <v>29.09</v>
      </c>
    </row>
    <row r="525" spans="1:10" ht="11.25" customHeight="1">
      <c r="A525" s="3363" t="s">
        <v>4892</v>
      </c>
      <c r="B525" s="3237" t="s">
        <v>4473</v>
      </c>
      <c r="C525" s="3237" t="s">
        <v>3747</v>
      </c>
      <c r="D525" s="3237" t="s">
        <v>4459</v>
      </c>
      <c r="E525" s="3237" t="s">
        <v>4460</v>
      </c>
      <c r="F525" s="3237" t="s">
        <v>4474</v>
      </c>
      <c r="G525" s="3237" t="s">
        <v>3660</v>
      </c>
      <c r="H525" s="3237" t="s">
        <v>3219</v>
      </c>
      <c r="I525" s="3236" t="s">
        <v>4462</v>
      </c>
      <c r="J525" s="3236">
        <v>29.09</v>
      </c>
    </row>
    <row r="526" spans="1:10" ht="11.25" customHeight="1">
      <c r="A526" s="3363" t="s">
        <v>4893</v>
      </c>
      <c r="B526" s="3237" t="s">
        <v>4473</v>
      </c>
      <c r="C526" s="3237" t="s">
        <v>3748</v>
      </c>
      <c r="D526" s="3237" t="s">
        <v>4459</v>
      </c>
      <c r="E526" s="3237" t="s">
        <v>4460</v>
      </c>
      <c r="F526" s="3237" t="s">
        <v>4474</v>
      </c>
      <c r="G526" s="3237" t="s">
        <v>3660</v>
      </c>
      <c r="H526" s="3237" t="s">
        <v>3219</v>
      </c>
      <c r="I526" s="3236" t="s">
        <v>4462</v>
      </c>
      <c r="J526" s="3236">
        <v>29.09</v>
      </c>
    </row>
    <row r="527" spans="1:10" ht="11.25" customHeight="1">
      <c r="A527" s="3363" t="s">
        <v>4894</v>
      </c>
      <c r="B527" s="3237" t="s">
        <v>4473</v>
      </c>
      <c r="C527" s="3237" t="s">
        <v>3749</v>
      </c>
      <c r="D527" s="3237" t="s">
        <v>4459</v>
      </c>
      <c r="E527" s="3237" t="s">
        <v>4460</v>
      </c>
      <c r="F527" s="3237" t="s">
        <v>4474</v>
      </c>
      <c r="G527" s="3237" t="s">
        <v>3660</v>
      </c>
      <c r="H527" s="3237" t="s">
        <v>3219</v>
      </c>
      <c r="I527" s="3236" t="s">
        <v>4462</v>
      </c>
      <c r="J527" s="3236">
        <v>29.09</v>
      </c>
    </row>
    <row r="528" spans="1:10" ht="11.25" customHeight="1">
      <c r="A528" s="3363" t="s">
        <v>4895</v>
      </c>
      <c r="B528" s="3237" t="s">
        <v>4473</v>
      </c>
      <c r="C528" s="3237" t="s">
        <v>3750</v>
      </c>
      <c r="D528" s="3237" t="s">
        <v>4459</v>
      </c>
      <c r="E528" s="3237" t="s">
        <v>4460</v>
      </c>
      <c r="F528" s="3237" t="s">
        <v>4474</v>
      </c>
      <c r="G528" s="3237" t="s">
        <v>3660</v>
      </c>
      <c r="H528" s="3237" t="s">
        <v>3219</v>
      </c>
      <c r="I528" s="3236" t="s">
        <v>4462</v>
      </c>
      <c r="J528" s="3236">
        <v>29.09</v>
      </c>
    </row>
    <row r="529" spans="1:10" ht="11.25" customHeight="1">
      <c r="A529" s="3363" t="s">
        <v>4896</v>
      </c>
      <c r="B529" s="3237" t="s">
        <v>4473</v>
      </c>
      <c r="C529" s="3237" t="s">
        <v>3751</v>
      </c>
      <c r="D529" s="3237" t="s">
        <v>4459</v>
      </c>
      <c r="E529" s="3237" t="s">
        <v>4460</v>
      </c>
      <c r="F529" s="3237" t="s">
        <v>4474</v>
      </c>
      <c r="G529" s="3237" t="s">
        <v>3660</v>
      </c>
      <c r="H529" s="3237" t="s">
        <v>3219</v>
      </c>
      <c r="I529" s="3236" t="s">
        <v>4462</v>
      </c>
      <c r="J529" s="3236">
        <v>29.09</v>
      </c>
    </row>
    <row r="530" spans="1:10" ht="11.25" customHeight="1">
      <c r="A530" s="3363" t="s">
        <v>4897</v>
      </c>
      <c r="B530" s="3237" t="s">
        <v>4473</v>
      </c>
      <c r="C530" s="3237" t="s">
        <v>3752</v>
      </c>
      <c r="D530" s="3237" t="s">
        <v>4459</v>
      </c>
      <c r="E530" s="3237" t="s">
        <v>4460</v>
      </c>
      <c r="F530" s="3237" t="s">
        <v>4474</v>
      </c>
      <c r="G530" s="3237" t="s">
        <v>3660</v>
      </c>
      <c r="H530" s="3237" t="s">
        <v>3219</v>
      </c>
      <c r="I530" s="3236" t="s">
        <v>4462</v>
      </c>
      <c r="J530" s="3236">
        <v>29.09</v>
      </c>
    </row>
    <row r="531" spans="1:10" ht="11.25" customHeight="1">
      <c r="A531" s="3363" t="s">
        <v>4898</v>
      </c>
      <c r="B531" s="3237" t="s">
        <v>4473</v>
      </c>
      <c r="C531" s="3237" t="s">
        <v>3753</v>
      </c>
      <c r="D531" s="3237" t="s">
        <v>4459</v>
      </c>
      <c r="E531" s="3237" t="s">
        <v>4460</v>
      </c>
      <c r="F531" s="3237" t="s">
        <v>4474</v>
      </c>
      <c r="G531" s="3237" t="s">
        <v>3660</v>
      </c>
      <c r="H531" s="3237" t="s">
        <v>3219</v>
      </c>
      <c r="I531" s="3236" t="s">
        <v>4462</v>
      </c>
      <c r="J531" s="3236">
        <v>29.09</v>
      </c>
    </row>
    <row r="532" spans="1:10" ht="11.25" customHeight="1">
      <c r="A532" s="3363" t="s">
        <v>4899</v>
      </c>
      <c r="B532" s="3237" t="s">
        <v>4473</v>
      </c>
      <c r="C532" s="3237" t="s">
        <v>3754</v>
      </c>
      <c r="D532" s="3237" t="s">
        <v>4459</v>
      </c>
      <c r="E532" s="3237" t="s">
        <v>4460</v>
      </c>
      <c r="F532" s="3237" t="s">
        <v>4474</v>
      </c>
      <c r="G532" s="3237" t="s">
        <v>3660</v>
      </c>
      <c r="H532" s="3237" t="s">
        <v>3219</v>
      </c>
      <c r="I532" s="3236" t="s">
        <v>4462</v>
      </c>
      <c r="J532" s="3236">
        <v>29.09</v>
      </c>
    </row>
    <row r="533" spans="1:10" ht="11.25" customHeight="1">
      <c r="A533" s="3363" t="s">
        <v>4900</v>
      </c>
      <c r="B533" s="3237" t="s">
        <v>4473</v>
      </c>
      <c r="C533" s="3237" t="s">
        <v>3755</v>
      </c>
      <c r="D533" s="3237" t="s">
        <v>4459</v>
      </c>
      <c r="E533" s="3237" t="s">
        <v>4460</v>
      </c>
      <c r="F533" s="3237" t="s">
        <v>4474</v>
      </c>
      <c r="G533" s="3237" t="s">
        <v>3660</v>
      </c>
      <c r="H533" s="3237" t="s">
        <v>3219</v>
      </c>
      <c r="I533" s="3236" t="s">
        <v>4462</v>
      </c>
      <c r="J533" s="3236">
        <v>29.09</v>
      </c>
    </row>
    <row r="534" spans="1:10" ht="11.25" customHeight="1">
      <c r="A534" s="3363" t="s">
        <v>4901</v>
      </c>
      <c r="B534" s="3237" t="s">
        <v>4473</v>
      </c>
      <c r="C534" s="3237" t="s">
        <v>3756</v>
      </c>
      <c r="D534" s="3237" t="s">
        <v>4459</v>
      </c>
      <c r="E534" s="3237" t="s">
        <v>4460</v>
      </c>
      <c r="F534" s="3237" t="s">
        <v>4474</v>
      </c>
      <c r="G534" s="3237" t="s">
        <v>3660</v>
      </c>
      <c r="H534" s="3237" t="s">
        <v>3219</v>
      </c>
      <c r="I534" s="3236" t="s">
        <v>4462</v>
      </c>
      <c r="J534" s="3236">
        <v>29.09</v>
      </c>
    </row>
    <row r="535" spans="1:10" ht="11.25" customHeight="1">
      <c r="A535" s="3363" t="s">
        <v>4902</v>
      </c>
      <c r="B535" s="3237" t="s">
        <v>4473</v>
      </c>
      <c r="C535" s="3237" t="s">
        <v>3757</v>
      </c>
      <c r="D535" s="3237" t="s">
        <v>4459</v>
      </c>
      <c r="E535" s="3237" t="s">
        <v>4460</v>
      </c>
      <c r="F535" s="3237" t="s">
        <v>4474</v>
      </c>
      <c r="G535" s="3237" t="s">
        <v>3660</v>
      </c>
      <c r="H535" s="3237" t="s">
        <v>3219</v>
      </c>
      <c r="I535" s="3236" t="s">
        <v>4462</v>
      </c>
      <c r="J535" s="3236">
        <v>29.09</v>
      </c>
    </row>
    <row r="536" spans="1:10" ht="11.25" customHeight="1">
      <c r="A536" s="3363" t="s">
        <v>4903</v>
      </c>
      <c r="B536" s="3237" t="s">
        <v>4473</v>
      </c>
      <c r="C536" s="3237" t="s">
        <v>3758</v>
      </c>
      <c r="D536" s="3237" t="s">
        <v>4459</v>
      </c>
      <c r="E536" s="3237" t="s">
        <v>4460</v>
      </c>
      <c r="F536" s="3237" t="s">
        <v>4474</v>
      </c>
      <c r="G536" s="3237" t="s">
        <v>3660</v>
      </c>
      <c r="H536" s="3237" t="s">
        <v>3219</v>
      </c>
      <c r="I536" s="3236" t="s">
        <v>4462</v>
      </c>
      <c r="J536" s="3236">
        <v>29.09</v>
      </c>
    </row>
    <row r="537" spans="1:10" ht="11.25" customHeight="1">
      <c r="A537" s="3363" t="s">
        <v>4904</v>
      </c>
      <c r="B537" s="3237" t="s">
        <v>4473</v>
      </c>
      <c r="C537" s="3237" t="s">
        <v>3759</v>
      </c>
      <c r="D537" s="3237" t="s">
        <v>4459</v>
      </c>
      <c r="E537" s="3237" t="s">
        <v>4460</v>
      </c>
      <c r="F537" s="3237" t="s">
        <v>4474</v>
      </c>
      <c r="G537" s="3237" t="s">
        <v>3660</v>
      </c>
      <c r="H537" s="3237" t="s">
        <v>3219</v>
      </c>
      <c r="I537" s="3236" t="s">
        <v>4462</v>
      </c>
      <c r="J537" s="3236">
        <v>29.09</v>
      </c>
    </row>
    <row r="538" spans="1:10" ht="11.25" customHeight="1">
      <c r="A538" s="3363" t="s">
        <v>4905</v>
      </c>
      <c r="B538" s="3237" t="s">
        <v>4473</v>
      </c>
      <c r="C538" s="3237" t="s">
        <v>3760</v>
      </c>
      <c r="D538" s="3237" t="s">
        <v>4459</v>
      </c>
      <c r="E538" s="3237" t="s">
        <v>4460</v>
      </c>
      <c r="F538" s="3237" t="s">
        <v>4474</v>
      </c>
      <c r="G538" s="3237" t="s">
        <v>3660</v>
      </c>
      <c r="H538" s="3237" t="s">
        <v>3219</v>
      </c>
      <c r="I538" s="3236" t="s">
        <v>4462</v>
      </c>
      <c r="J538" s="3236">
        <v>29.09</v>
      </c>
    </row>
    <row r="539" spans="1:10" ht="11.25" customHeight="1">
      <c r="A539" s="3363" t="s">
        <v>4906</v>
      </c>
      <c r="B539" s="3237" t="s">
        <v>4473</v>
      </c>
      <c r="C539" s="3237" t="s">
        <v>3761</v>
      </c>
      <c r="D539" s="3237" t="s">
        <v>4459</v>
      </c>
      <c r="E539" s="3237" t="s">
        <v>4460</v>
      </c>
      <c r="F539" s="3237" t="s">
        <v>4474</v>
      </c>
      <c r="G539" s="3237" t="s">
        <v>3660</v>
      </c>
      <c r="H539" s="3237" t="s">
        <v>3219</v>
      </c>
      <c r="I539" s="3236" t="s">
        <v>4462</v>
      </c>
      <c r="J539" s="3236">
        <v>29.09</v>
      </c>
    </row>
    <row r="540" spans="1:10" ht="11.25" customHeight="1">
      <c r="A540" s="3363" t="s">
        <v>4907</v>
      </c>
      <c r="B540" s="3237" t="s">
        <v>4473</v>
      </c>
      <c r="C540" s="3237" t="s">
        <v>3762</v>
      </c>
      <c r="D540" s="3237" t="s">
        <v>4459</v>
      </c>
      <c r="E540" s="3237" t="s">
        <v>4460</v>
      </c>
      <c r="F540" s="3237" t="s">
        <v>4474</v>
      </c>
      <c r="G540" s="3237" t="s">
        <v>3660</v>
      </c>
      <c r="H540" s="3237" t="s">
        <v>3219</v>
      </c>
      <c r="I540" s="3236" t="s">
        <v>4462</v>
      </c>
      <c r="J540" s="3236">
        <v>29.09</v>
      </c>
    </row>
    <row r="541" spans="1:10" ht="11.25" customHeight="1">
      <c r="A541" s="3363" t="s">
        <v>4908</v>
      </c>
      <c r="B541" s="3237" t="s">
        <v>4473</v>
      </c>
      <c r="C541" s="3237" t="s">
        <v>3763</v>
      </c>
      <c r="D541" s="3237" t="s">
        <v>4459</v>
      </c>
      <c r="E541" s="3237" t="s">
        <v>4460</v>
      </c>
      <c r="F541" s="3237" t="s">
        <v>4474</v>
      </c>
      <c r="G541" s="3237" t="s">
        <v>3660</v>
      </c>
      <c r="H541" s="3237" t="s">
        <v>3219</v>
      </c>
      <c r="I541" s="3236" t="s">
        <v>4462</v>
      </c>
      <c r="J541" s="3236">
        <v>29.09</v>
      </c>
    </row>
    <row r="542" spans="1:10" ht="11.25" customHeight="1">
      <c r="A542" s="3363" t="s">
        <v>4909</v>
      </c>
      <c r="B542" s="3237" t="s">
        <v>4473</v>
      </c>
      <c r="C542" s="3237" t="s">
        <v>3764</v>
      </c>
      <c r="D542" s="3237" t="s">
        <v>4459</v>
      </c>
      <c r="E542" s="3237" t="s">
        <v>4460</v>
      </c>
      <c r="F542" s="3237" t="s">
        <v>4474</v>
      </c>
      <c r="G542" s="3237" t="s">
        <v>3660</v>
      </c>
      <c r="H542" s="3237" t="s">
        <v>3219</v>
      </c>
      <c r="I542" s="3236" t="s">
        <v>4462</v>
      </c>
      <c r="J542" s="3236">
        <v>29.09</v>
      </c>
    </row>
    <row r="543" spans="1:10" ht="11.25" customHeight="1">
      <c r="A543" s="3363" t="s">
        <v>4910</v>
      </c>
      <c r="B543" s="3237" t="s">
        <v>4473</v>
      </c>
      <c r="C543" s="3237" t="s">
        <v>3765</v>
      </c>
      <c r="D543" s="3237" t="s">
        <v>4459</v>
      </c>
      <c r="E543" s="3237" t="s">
        <v>4460</v>
      </c>
      <c r="F543" s="3237" t="s">
        <v>4474</v>
      </c>
      <c r="G543" s="3237" t="s">
        <v>3660</v>
      </c>
      <c r="H543" s="3237" t="s">
        <v>3219</v>
      </c>
      <c r="I543" s="3236" t="s">
        <v>4462</v>
      </c>
      <c r="J543" s="3236">
        <v>29.09</v>
      </c>
    </row>
    <row r="544" spans="1:10" ht="11.25" customHeight="1">
      <c r="A544" s="3363" t="s">
        <v>4911</v>
      </c>
      <c r="B544" s="3237" t="s">
        <v>4473</v>
      </c>
      <c r="C544" s="3237" t="s">
        <v>3766</v>
      </c>
      <c r="D544" s="3237" t="s">
        <v>4459</v>
      </c>
      <c r="E544" s="3237" t="s">
        <v>4460</v>
      </c>
      <c r="F544" s="3237" t="s">
        <v>4474</v>
      </c>
      <c r="G544" s="3237" t="s">
        <v>3660</v>
      </c>
      <c r="H544" s="3237" t="s">
        <v>3219</v>
      </c>
      <c r="I544" s="3236" t="s">
        <v>4462</v>
      </c>
      <c r="J544" s="3236">
        <v>29.09</v>
      </c>
    </row>
    <row r="545" spans="1:10" ht="11.25" customHeight="1">
      <c r="A545" s="3363" t="s">
        <v>4912</v>
      </c>
      <c r="B545" s="3237" t="s">
        <v>4473</v>
      </c>
      <c r="C545" s="3237" t="s">
        <v>3767</v>
      </c>
      <c r="D545" s="3237" t="s">
        <v>4459</v>
      </c>
      <c r="E545" s="3237" t="s">
        <v>4460</v>
      </c>
      <c r="F545" s="3237" t="s">
        <v>4474</v>
      </c>
      <c r="G545" s="3237" t="s">
        <v>3660</v>
      </c>
      <c r="H545" s="3237" t="s">
        <v>3219</v>
      </c>
      <c r="I545" s="3236" t="s">
        <v>4462</v>
      </c>
      <c r="J545" s="3236">
        <v>29.09</v>
      </c>
    </row>
    <row r="546" spans="1:10" ht="11.25" customHeight="1">
      <c r="A546" s="3363" t="s">
        <v>4913</v>
      </c>
      <c r="B546" s="3237" t="s">
        <v>4473</v>
      </c>
      <c r="C546" s="3237" t="s">
        <v>3768</v>
      </c>
      <c r="D546" s="3237" t="s">
        <v>4459</v>
      </c>
      <c r="E546" s="3237" t="s">
        <v>4460</v>
      </c>
      <c r="F546" s="3237" t="s">
        <v>4474</v>
      </c>
      <c r="G546" s="3237" t="s">
        <v>3660</v>
      </c>
      <c r="H546" s="3237" t="s">
        <v>3219</v>
      </c>
      <c r="I546" s="3236" t="s">
        <v>4462</v>
      </c>
      <c r="J546" s="3236">
        <v>29.09</v>
      </c>
    </row>
    <row r="547" spans="1:10" ht="11.25" customHeight="1">
      <c r="A547" s="3363" t="s">
        <v>4914</v>
      </c>
      <c r="B547" s="3237" t="s">
        <v>4473</v>
      </c>
      <c r="C547" s="3237" t="s">
        <v>3769</v>
      </c>
      <c r="D547" s="3237" t="s">
        <v>4459</v>
      </c>
      <c r="E547" s="3237" t="s">
        <v>4460</v>
      </c>
      <c r="F547" s="3237" t="s">
        <v>4474</v>
      </c>
      <c r="G547" s="3237" t="s">
        <v>3660</v>
      </c>
      <c r="H547" s="3237" t="s">
        <v>3219</v>
      </c>
      <c r="I547" s="3236" t="s">
        <v>4462</v>
      </c>
      <c r="J547" s="3236">
        <v>29.09</v>
      </c>
    </row>
    <row r="548" spans="1:10" ht="11.25" customHeight="1">
      <c r="A548" s="3363" t="s">
        <v>4915</v>
      </c>
      <c r="B548" s="3237" t="s">
        <v>4473</v>
      </c>
      <c r="C548" s="3237" t="s">
        <v>3770</v>
      </c>
      <c r="D548" s="3237" t="s">
        <v>4459</v>
      </c>
      <c r="E548" s="3237" t="s">
        <v>4460</v>
      </c>
      <c r="F548" s="3237" t="s">
        <v>4474</v>
      </c>
      <c r="G548" s="3237" t="s">
        <v>3660</v>
      </c>
      <c r="H548" s="3237" t="s">
        <v>3219</v>
      </c>
      <c r="I548" s="3236" t="s">
        <v>4462</v>
      </c>
      <c r="J548" s="3236">
        <v>29.09</v>
      </c>
    </row>
    <row r="549" spans="1:10" ht="11.25" customHeight="1">
      <c r="A549" s="3363" t="s">
        <v>4916</v>
      </c>
      <c r="B549" s="3237" t="s">
        <v>4473</v>
      </c>
      <c r="C549" s="3237" t="s">
        <v>3771</v>
      </c>
      <c r="D549" s="3237" t="s">
        <v>4459</v>
      </c>
      <c r="E549" s="3237" t="s">
        <v>4460</v>
      </c>
      <c r="F549" s="3237" t="s">
        <v>4474</v>
      </c>
      <c r="G549" s="3237" t="s">
        <v>3660</v>
      </c>
      <c r="H549" s="3237" t="s">
        <v>3219</v>
      </c>
      <c r="I549" s="3236" t="s">
        <v>4462</v>
      </c>
      <c r="J549" s="3236">
        <v>29.09</v>
      </c>
    </row>
    <row r="550" spans="1:10" ht="11.25" customHeight="1">
      <c r="A550" s="3363" t="s">
        <v>4917</v>
      </c>
      <c r="B550" s="3237" t="s">
        <v>4473</v>
      </c>
      <c r="C550" s="3237" t="s">
        <v>3772</v>
      </c>
      <c r="D550" s="3237" t="s">
        <v>4459</v>
      </c>
      <c r="E550" s="3237" t="s">
        <v>4460</v>
      </c>
      <c r="F550" s="3237" t="s">
        <v>4474</v>
      </c>
      <c r="G550" s="3237" t="s">
        <v>3660</v>
      </c>
      <c r="H550" s="3237" t="s">
        <v>3219</v>
      </c>
      <c r="I550" s="3236" t="s">
        <v>4462</v>
      </c>
      <c r="J550" s="3236">
        <v>29.09</v>
      </c>
    </row>
    <row r="551" spans="1:10" ht="11.25" customHeight="1">
      <c r="A551" s="3363" t="s">
        <v>4918</v>
      </c>
      <c r="B551" s="3237" t="s">
        <v>4473</v>
      </c>
      <c r="C551" s="3237" t="s">
        <v>3773</v>
      </c>
      <c r="D551" s="3237" t="s">
        <v>4459</v>
      </c>
      <c r="E551" s="3237" t="s">
        <v>4460</v>
      </c>
      <c r="F551" s="3237" t="s">
        <v>4474</v>
      </c>
      <c r="G551" s="3237" t="s">
        <v>3660</v>
      </c>
      <c r="H551" s="3237" t="s">
        <v>3219</v>
      </c>
      <c r="I551" s="3236" t="s">
        <v>4462</v>
      </c>
      <c r="J551" s="3236">
        <v>29.09</v>
      </c>
    </row>
    <row r="552" spans="1:10" ht="11.25" customHeight="1">
      <c r="A552" s="3363" t="s">
        <v>4919</v>
      </c>
      <c r="B552" s="3237" t="s">
        <v>4473</v>
      </c>
      <c r="C552" s="3237" t="s">
        <v>3774</v>
      </c>
      <c r="D552" s="3237" t="s">
        <v>4459</v>
      </c>
      <c r="E552" s="3237" t="s">
        <v>4460</v>
      </c>
      <c r="F552" s="3237" t="s">
        <v>4474</v>
      </c>
      <c r="G552" s="3237" t="s">
        <v>3660</v>
      </c>
      <c r="H552" s="3237" t="s">
        <v>3219</v>
      </c>
      <c r="I552" s="3236" t="s">
        <v>4462</v>
      </c>
      <c r="J552" s="3236">
        <v>29.09</v>
      </c>
    </row>
    <row r="553" spans="1:10" ht="11.25" customHeight="1">
      <c r="A553" s="3363" t="s">
        <v>4920</v>
      </c>
      <c r="B553" s="3237" t="s">
        <v>4473</v>
      </c>
      <c r="C553" s="3237" t="s">
        <v>3775</v>
      </c>
      <c r="D553" s="3237" t="s">
        <v>4459</v>
      </c>
      <c r="E553" s="3237" t="s">
        <v>4460</v>
      </c>
      <c r="F553" s="3237" t="s">
        <v>4474</v>
      </c>
      <c r="G553" s="3237" t="s">
        <v>3660</v>
      </c>
      <c r="H553" s="3237" t="s">
        <v>3219</v>
      </c>
      <c r="I553" s="3236" t="s">
        <v>4462</v>
      </c>
      <c r="J553" s="3236">
        <v>29.09</v>
      </c>
    </row>
    <row r="554" spans="1:10" ht="11.25" customHeight="1">
      <c r="A554" s="3363" t="s">
        <v>4921</v>
      </c>
      <c r="B554" s="3237" t="s">
        <v>4473</v>
      </c>
      <c r="C554" s="3237" t="s">
        <v>3776</v>
      </c>
      <c r="D554" s="3237" t="s">
        <v>4459</v>
      </c>
      <c r="E554" s="3237" t="s">
        <v>4460</v>
      </c>
      <c r="F554" s="3237" t="s">
        <v>4474</v>
      </c>
      <c r="G554" s="3237" t="s">
        <v>3660</v>
      </c>
      <c r="H554" s="3237" t="s">
        <v>3219</v>
      </c>
      <c r="I554" s="3236" t="s">
        <v>4462</v>
      </c>
      <c r="J554" s="3236">
        <v>29.09</v>
      </c>
    </row>
    <row r="555" spans="1:10" ht="11.25" customHeight="1">
      <c r="A555" s="3363" t="s">
        <v>4922</v>
      </c>
      <c r="B555" s="3237" t="s">
        <v>4473</v>
      </c>
      <c r="C555" s="3237" t="s">
        <v>3777</v>
      </c>
      <c r="D555" s="3237" t="s">
        <v>4459</v>
      </c>
      <c r="E555" s="3237" t="s">
        <v>4460</v>
      </c>
      <c r="F555" s="3237" t="s">
        <v>4474</v>
      </c>
      <c r="G555" s="3237" t="s">
        <v>3660</v>
      </c>
      <c r="H555" s="3237" t="s">
        <v>3219</v>
      </c>
      <c r="I555" s="3236" t="s">
        <v>4462</v>
      </c>
      <c r="J555" s="3236">
        <v>29.09</v>
      </c>
    </row>
    <row r="556" spans="1:10" ht="11.25" customHeight="1">
      <c r="A556" s="3363" t="s">
        <v>4923</v>
      </c>
      <c r="B556" s="3237" t="s">
        <v>4473</v>
      </c>
      <c r="C556" s="3237" t="s">
        <v>3778</v>
      </c>
      <c r="D556" s="3237" t="s">
        <v>4459</v>
      </c>
      <c r="E556" s="3237" t="s">
        <v>4460</v>
      </c>
      <c r="F556" s="3237" t="s">
        <v>4474</v>
      </c>
      <c r="G556" s="3237" t="s">
        <v>3660</v>
      </c>
      <c r="H556" s="3237" t="s">
        <v>3219</v>
      </c>
      <c r="I556" s="3236" t="s">
        <v>4462</v>
      </c>
      <c r="J556" s="3236">
        <v>29.09</v>
      </c>
    </row>
    <row r="557" spans="1:10" ht="11.25" customHeight="1">
      <c r="A557" s="3363" t="s">
        <v>4924</v>
      </c>
      <c r="B557" s="3237" t="s">
        <v>4473</v>
      </c>
      <c r="C557" s="3237" t="s">
        <v>3779</v>
      </c>
      <c r="D557" s="3237" t="s">
        <v>4459</v>
      </c>
      <c r="E557" s="3237" t="s">
        <v>4460</v>
      </c>
      <c r="F557" s="3237" t="s">
        <v>4474</v>
      </c>
      <c r="G557" s="3237" t="s">
        <v>3660</v>
      </c>
      <c r="H557" s="3237" t="s">
        <v>3219</v>
      </c>
      <c r="I557" s="3236" t="s">
        <v>4462</v>
      </c>
      <c r="J557" s="3236">
        <v>29.09</v>
      </c>
    </row>
    <row r="558" spans="1:10" ht="11.25" customHeight="1">
      <c r="A558" s="3363" t="s">
        <v>4925</v>
      </c>
      <c r="B558" s="3237" t="s">
        <v>4473</v>
      </c>
      <c r="C558" s="3237" t="s">
        <v>3780</v>
      </c>
      <c r="D558" s="3237" t="s">
        <v>4459</v>
      </c>
      <c r="E558" s="3237" t="s">
        <v>4460</v>
      </c>
      <c r="F558" s="3237" t="s">
        <v>4474</v>
      </c>
      <c r="G558" s="3237" t="s">
        <v>3660</v>
      </c>
      <c r="H558" s="3237" t="s">
        <v>3219</v>
      </c>
      <c r="I558" s="3236" t="s">
        <v>4462</v>
      </c>
      <c r="J558" s="3236">
        <v>29.09</v>
      </c>
    </row>
    <row r="559" spans="1:10" ht="11.25" customHeight="1">
      <c r="A559" s="3363" t="s">
        <v>4926</v>
      </c>
      <c r="B559" s="3237" t="s">
        <v>4473</v>
      </c>
      <c r="C559" s="3237" t="s">
        <v>3781</v>
      </c>
      <c r="D559" s="3237" t="s">
        <v>4459</v>
      </c>
      <c r="E559" s="3237" t="s">
        <v>4460</v>
      </c>
      <c r="F559" s="3237" t="s">
        <v>4474</v>
      </c>
      <c r="G559" s="3237" t="s">
        <v>3660</v>
      </c>
      <c r="H559" s="3237" t="s">
        <v>3219</v>
      </c>
      <c r="I559" s="3236" t="s">
        <v>4462</v>
      </c>
      <c r="J559" s="3236">
        <v>29.09</v>
      </c>
    </row>
    <row r="560" spans="1:10" ht="11.25" customHeight="1">
      <c r="A560" s="3363" t="s">
        <v>4927</v>
      </c>
      <c r="B560" s="3237" t="s">
        <v>4473</v>
      </c>
      <c r="C560" s="3237" t="s">
        <v>3782</v>
      </c>
      <c r="D560" s="3237" t="s">
        <v>4459</v>
      </c>
      <c r="E560" s="3237" t="s">
        <v>4460</v>
      </c>
      <c r="F560" s="3237" t="s">
        <v>4474</v>
      </c>
      <c r="G560" s="3237" t="s">
        <v>3660</v>
      </c>
      <c r="H560" s="3237" t="s">
        <v>3219</v>
      </c>
      <c r="I560" s="3236" t="s">
        <v>4462</v>
      </c>
      <c r="J560" s="3236">
        <v>29.09</v>
      </c>
    </row>
    <row r="561" spans="1:10" ht="11.25" customHeight="1">
      <c r="A561" s="3363" t="s">
        <v>4928</v>
      </c>
      <c r="B561" s="3237" t="s">
        <v>4473</v>
      </c>
      <c r="C561" s="3237" t="s">
        <v>3783</v>
      </c>
      <c r="D561" s="3237" t="s">
        <v>4459</v>
      </c>
      <c r="E561" s="3237" t="s">
        <v>4460</v>
      </c>
      <c r="F561" s="3237" t="s">
        <v>4474</v>
      </c>
      <c r="G561" s="3237" t="s">
        <v>3660</v>
      </c>
      <c r="H561" s="3237" t="s">
        <v>3219</v>
      </c>
      <c r="I561" s="3236" t="s">
        <v>4462</v>
      </c>
      <c r="J561" s="3236">
        <v>29.09</v>
      </c>
    </row>
    <row r="562" spans="1:10" ht="11.25" customHeight="1">
      <c r="A562" s="3363" t="s">
        <v>4929</v>
      </c>
      <c r="B562" s="3237" t="s">
        <v>4473</v>
      </c>
      <c r="C562" s="3237" t="s">
        <v>3784</v>
      </c>
      <c r="D562" s="3237" t="s">
        <v>4459</v>
      </c>
      <c r="E562" s="3237" t="s">
        <v>4460</v>
      </c>
      <c r="F562" s="3237" t="s">
        <v>4474</v>
      </c>
      <c r="G562" s="3237" t="s">
        <v>3660</v>
      </c>
      <c r="H562" s="3237" t="s">
        <v>3219</v>
      </c>
      <c r="I562" s="3236" t="s">
        <v>4462</v>
      </c>
      <c r="J562" s="3236">
        <v>29.09</v>
      </c>
    </row>
    <row r="563" spans="1:10" ht="11.25" customHeight="1">
      <c r="A563" s="3363" t="s">
        <v>4930</v>
      </c>
      <c r="B563" s="3237" t="s">
        <v>4473</v>
      </c>
      <c r="C563" s="3237" t="s">
        <v>3785</v>
      </c>
      <c r="D563" s="3237" t="s">
        <v>4459</v>
      </c>
      <c r="E563" s="3237" t="s">
        <v>4460</v>
      </c>
      <c r="F563" s="3237" t="s">
        <v>4474</v>
      </c>
      <c r="G563" s="3237" t="s">
        <v>3660</v>
      </c>
      <c r="H563" s="3237" t="s">
        <v>3219</v>
      </c>
      <c r="I563" s="3236" t="s">
        <v>4462</v>
      </c>
      <c r="J563" s="3236">
        <v>29.09</v>
      </c>
    </row>
    <row r="564" spans="1:10" ht="11.25" customHeight="1">
      <c r="A564" s="3363" t="s">
        <v>4931</v>
      </c>
      <c r="B564" s="3237" t="s">
        <v>4473</v>
      </c>
      <c r="C564" s="3237" t="s">
        <v>3786</v>
      </c>
      <c r="D564" s="3237" t="s">
        <v>4459</v>
      </c>
      <c r="E564" s="3237" t="s">
        <v>4460</v>
      </c>
      <c r="F564" s="3237" t="s">
        <v>4474</v>
      </c>
      <c r="G564" s="3237" t="s">
        <v>3660</v>
      </c>
      <c r="H564" s="3237" t="s">
        <v>3219</v>
      </c>
      <c r="I564" s="3236" t="s">
        <v>4462</v>
      </c>
      <c r="J564" s="3236">
        <v>29.09</v>
      </c>
    </row>
    <row r="565" spans="1:10" ht="11.25" customHeight="1">
      <c r="A565" s="3363" t="s">
        <v>4932</v>
      </c>
      <c r="B565" s="3237" t="s">
        <v>4473</v>
      </c>
      <c r="C565" s="3237" t="s">
        <v>3787</v>
      </c>
      <c r="D565" s="3237" t="s">
        <v>4459</v>
      </c>
      <c r="E565" s="3237" t="s">
        <v>4460</v>
      </c>
      <c r="F565" s="3237" t="s">
        <v>4474</v>
      </c>
      <c r="G565" s="3237" t="s">
        <v>3660</v>
      </c>
      <c r="H565" s="3237" t="s">
        <v>3219</v>
      </c>
      <c r="I565" s="3236" t="s">
        <v>4462</v>
      </c>
      <c r="J565" s="3236">
        <v>29.09</v>
      </c>
    </row>
    <row r="566" spans="1:10" ht="11.25" customHeight="1">
      <c r="A566" s="3363" t="s">
        <v>4933</v>
      </c>
      <c r="B566" s="3237" t="s">
        <v>4473</v>
      </c>
      <c r="C566" s="3237" t="s">
        <v>3788</v>
      </c>
      <c r="D566" s="3237" t="s">
        <v>4459</v>
      </c>
      <c r="E566" s="3237" t="s">
        <v>4460</v>
      </c>
      <c r="F566" s="3237" t="s">
        <v>4474</v>
      </c>
      <c r="G566" s="3237" t="s">
        <v>3660</v>
      </c>
      <c r="H566" s="3237" t="s">
        <v>3219</v>
      </c>
      <c r="I566" s="3236" t="s">
        <v>4462</v>
      </c>
      <c r="J566" s="3236">
        <v>29.09</v>
      </c>
    </row>
    <row r="567" spans="1:10" ht="11.25" customHeight="1">
      <c r="A567" s="3363" t="s">
        <v>4934</v>
      </c>
      <c r="B567" s="3237" t="s">
        <v>4473</v>
      </c>
      <c r="C567" s="3237" t="s">
        <v>3789</v>
      </c>
      <c r="D567" s="3237" t="s">
        <v>4459</v>
      </c>
      <c r="E567" s="3237" t="s">
        <v>4460</v>
      </c>
      <c r="F567" s="3237" t="s">
        <v>4474</v>
      </c>
      <c r="G567" s="3237" t="s">
        <v>3660</v>
      </c>
      <c r="H567" s="3237" t="s">
        <v>3219</v>
      </c>
      <c r="I567" s="3236" t="s">
        <v>4462</v>
      </c>
      <c r="J567" s="3236">
        <v>29.09</v>
      </c>
    </row>
    <row r="568" spans="1:10" ht="11.25" customHeight="1">
      <c r="A568" s="3363" t="s">
        <v>4935</v>
      </c>
      <c r="B568" s="3237" t="s">
        <v>4473</v>
      </c>
      <c r="C568" s="3237" t="s">
        <v>3790</v>
      </c>
      <c r="D568" s="3237" t="s">
        <v>4459</v>
      </c>
      <c r="E568" s="3237" t="s">
        <v>4460</v>
      </c>
      <c r="F568" s="3237" t="s">
        <v>4474</v>
      </c>
      <c r="G568" s="3237" t="s">
        <v>3660</v>
      </c>
      <c r="H568" s="3237" t="s">
        <v>3219</v>
      </c>
      <c r="I568" s="3236" t="s">
        <v>4462</v>
      </c>
      <c r="J568" s="3236">
        <v>29.09</v>
      </c>
    </row>
    <row r="569" spans="1:10" ht="11.25" customHeight="1">
      <c r="A569" s="3363" t="s">
        <v>4936</v>
      </c>
      <c r="B569" s="3237" t="s">
        <v>4473</v>
      </c>
      <c r="C569" s="3237" t="s">
        <v>3791</v>
      </c>
      <c r="D569" s="3237" t="s">
        <v>4459</v>
      </c>
      <c r="E569" s="3237" t="s">
        <v>4460</v>
      </c>
      <c r="F569" s="3237" t="s">
        <v>4474</v>
      </c>
      <c r="G569" s="3237" t="s">
        <v>3660</v>
      </c>
      <c r="H569" s="3237" t="s">
        <v>3219</v>
      </c>
      <c r="I569" s="3236" t="s">
        <v>4462</v>
      </c>
      <c r="J569" s="3236">
        <v>29.09</v>
      </c>
    </row>
    <row r="570" spans="1:10" ht="11.25" customHeight="1">
      <c r="A570" s="3363" t="s">
        <v>4937</v>
      </c>
      <c r="B570" s="3237" t="s">
        <v>4473</v>
      </c>
      <c r="C570" s="3237" t="s">
        <v>3792</v>
      </c>
      <c r="D570" s="3237" t="s">
        <v>4459</v>
      </c>
      <c r="E570" s="3237" t="s">
        <v>4460</v>
      </c>
      <c r="F570" s="3237" t="s">
        <v>4474</v>
      </c>
      <c r="G570" s="3237" t="s">
        <v>3660</v>
      </c>
      <c r="H570" s="3237" t="s">
        <v>3219</v>
      </c>
      <c r="I570" s="3236" t="s">
        <v>4462</v>
      </c>
      <c r="J570" s="3236">
        <v>29.09</v>
      </c>
    </row>
    <row r="571" spans="1:10" ht="11.25" customHeight="1">
      <c r="A571" s="3363" t="s">
        <v>4938</v>
      </c>
      <c r="B571" s="3237" t="s">
        <v>4473</v>
      </c>
      <c r="C571" s="3237" t="s">
        <v>3793</v>
      </c>
      <c r="D571" s="3237" t="s">
        <v>4459</v>
      </c>
      <c r="E571" s="3237" t="s">
        <v>4460</v>
      </c>
      <c r="F571" s="3237" t="s">
        <v>4474</v>
      </c>
      <c r="G571" s="3237" t="s">
        <v>3660</v>
      </c>
      <c r="H571" s="3237" t="s">
        <v>3219</v>
      </c>
      <c r="I571" s="3236" t="s">
        <v>4462</v>
      </c>
      <c r="J571" s="3236">
        <v>29.09</v>
      </c>
    </row>
    <row r="572" spans="1:10" ht="11.25" customHeight="1">
      <c r="A572" s="3363" t="s">
        <v>4939</v>
      </c>
      <c r="B572" s="3237" t="s">
        <v>4473</v>
      </c>
      <c r="C572" s="3237" t="s">
        <v>3794</v>
      </c>
      <c r="D572" s="3237" t="s">
        <v>4459</v>
      </c>
      <c r="E572" s="3237" t="s">
        <v>4460</v>
      </c>
      <c r="F572" s="3237" t="s">
        <v>4474</v>
      </c>
      <c r="G572" s="3237" t="s">
        <v>3660</v>
      </c>
      <c r="H572" s="3237" t="s">
        <v>3219</v>
      </c>
      <c r="I572" s="3236" t="s">
        <v>4462</v>
      </c>
      <c r="J572" s="3236">
        <v>29.09</v>
      </c>
    </row>
    <row r="573" spans="1:10" ht="11.25" customHeight="1">
      <c r="A573" s="3363" t="s">
        <v>4940</v>
      </c>
      <c r="B573" s="3237" t="s">
        <v>4473</v>
      </c>
      <c r="C573" s="3237" t="s">
        <v>3795</v>
      </c>
      <c r="D573" s="3237" t="s">
        <v>4459</v>
      </c>
      <c r="E573" s="3237" t="s">
        <v>4460</v>
      </c>
      <c r="F573" s="3237" t="s">
        <v>4474</v>
      </c>
      <c r="G573" s="3237" t="s">
        <v>3660</v>
      </c>
      <c r="H573" s="3237" t="s">
        <v>3219</v>
      </c>
      <c r="I573" s="3236" t="s">
        <v>4462</v>
      </c>
      <c r="J573" s="3236">
        <v>29.09</v>
      </c>
    </row>
    <row r="574" spans="1:10" ht="11.25" customHeight="1">
      <c r="A574" s="3363" t="s">
        <v>4941</v>
      </c>
      <c r="B574" s="3237" t="s">
        <v>4473</v>
      </c>
      <c r="C574" s="3237" t="s">
        <v>3796</v>
      </c>
      <c r="D574" s="3237" t="s">
        <v>4459</v>
      </c>
      <c r="E574" s="3237" t="s">
        <v>4460</v>
      </c>
      <c r="F574" s="3237" t="s">
        <v>4474</v>
      </c>
      <c r="G574" s="3237" t="s">
        <v>3660</v>
      </c>
      <c r="H574" s="3237" t="s">
        <v>3219</v>
      </c>
      <c r="I574" s="3236" t="s">
        <v>4462</v>
      </c>
      <c r="J574" s="3236">
        <v>29.09</v>
      </c>
    </row>
    <row r="575" spans="1:10" ht="11.25" customHeight="1">
      <c r="A575" s="3363" t="s">
        <v>4942</v>
      </c>
      <c r="B575" s="3237" t="s">
        <v>4473</v>
      </c>
      <c r="C575" s="3237" t="s">
        <v>3797</v>
      </c>
      <c r="D575" s="3237" t="s">
        <v>4459</v>
      </c>
      <c r="E575" s="3237" t="s">
        <v>4460</v>
      </c>
      <c r="F575" s="3237" t="s">
        <v>4474</v>
      </c>
      <c r="G575" s="3237" t="s">
        <v>3660</v>
      </c>
      <c r="H575" s="3237" t="s">
        <v>3219</v>
      </c>
      <c r="I575" s="3236" t="s">
        <v>4462</v>
      </c>
      <c r="J575" s="3236">
        <v>29.09</v>
      </c>
    </row>
    <row r="576" spans="1:10" ht="11.25" customHeight="1">
      <c r="A576" s="3363" t="s">
        <v>4943</v>
      </c>
      <c r="B576" s="3237" t="s">
        <v>4473</v>
      </c>
      <c r="C576" s="3237" t="s">
        <v>3798</v>
      </c>
      <c r="D576" s="3237" t="s">
        <v>4459</v>
      </c>
      <c r="E576" s="3237" t="s">
        <v>4460</v>
      </c>
      <c r="F576" s="3237" t="s">
        <v>4474</v>
      </c>
      <c r="G576" s="3237" t="s">
        <v>3660</v>
      </c>
      <c r="H576" s="3237" t="s">
        <v>3219</v>
      </c>
      <c r="I576" s="3236" t="s">
        <v>4462</v>
      </c>
      <c r="J576" s="3236">
        <v>29.09</v>
      </c>
    </row>
    <row r="577" spans="1:10" ht="11.25" customHeight="1">
      <c r="A577" s="3363" t="s">
        <v>4944</v>
      </c>
      <c r="B577" s="3237" t="s">
        <v>4473</v>
      </c>
      <c r="C577" s="3237" t="s">
        <v>3799</v>
      </c>
      <c r="D577" s="3237" t="s">
        <v>4459</v>
      </c>
      <c r="E577" s="3237" t="s">
        <v>4460</v>
      </c>
      <c r="F577" s="3237" t="s">
        <v>4474</v>
      </c>
      <c r="G577" s="3237" t="s">
        <v>3660</v>
      </c>
      <c r="H577" s="3237" t="s">
        <v>3219</v>
      </c>
      <c r="I577" s="3236" t="s">
        <v>4462</v>
      </c>
      <c r="J577" s="3236">
        <v>29.09</v>
      </c>
    </row>
    <row r="578" spans="1:10" ht="11.25" customHeight="1">
      <c r="A578" s="3363" t="s">
        <v>4945</v>
      </c>
      <c r="B578" s="3237" t="s">
        <v>4473</v>
      </c>
      <c r="C578" s="3237" t="s">
        <v>3800</v>
      </c>
      <c r="D578" s="3237" t="s">
        <v>4459</v>
      </c>
      <c r="E578" s="3237" t="s">
        <v>4460</v>
      </c>
      <c r="F578" s="3237" t="s">
        <v>4474</v>
      </c>
      <c r="G578" s="3237" t="s">
        <v>3660</v>
      </c>
      <c r="H578" s="3237" t="s">
        <v>3219</v>
      </c>
      <c r="I578" s="3236" t="s">
        <v>4462</v>
      </c>
      <c r="J578" s="3236">
        <v>29.09</v>
      </c>
    </row>
    <row r="579" spans="1:10" ht="11.25" customHeight="1">
      <c r="A579" s="3363" t="s">
        <v>4946</v>
      </c>
      <c r="B579" s="3237" t="s">
        <v>4473</v>
      </c>
      <c r="C579" s="3237" t="s">
        <v>3801</v>
      </c>
      <c r="D579" s="3237" t="s">
        <v>4459</v>
      </c>
      <c r="E579" s="3237" t="s">
        <v>4460</v>
      </c>
      <c r="F579" s="3237" t="s">
        <v>4474</v>
      </c>
      <c r="G579" s="3237" t="s">
        <v>3660</v>
      </c>
      <c r="H579" s="3237" t="s">
        <v>3219</v>
      </c>
      <c r="I579" s="3236" t="s">
        <v>4462</v>
      </c>
      <c r="J579" s="3236">
        <v>29.09</v>
      </c>
    </row>
    <row r="580" spans="1:10" ht="11.25" customHeight="1">
      <c r="A580" s="3363" t="s">
        <v>4947</v>
      </c>
      <c r="B580" s="3237" t="s">
        <v>4473</v>
      </c>
      <c r="C580" s="3237" t="s">
        <v>3802</v>
      </c>
      <c r="D580" s="3237" t="s">
        <v>4459</v>
      </c>
      <c r="E580" s="3237" t="s">
        <v>4460</v>
      </c>
      <c r="F580" s="3237" t="s">
        <v>4474</v>
      </c>
      <c r="G580" s="3237" t="s">
        <v>3660</v>
      </c>
      <c r="H580" s="3237" t="s">
        <v>3219</v>
      </c>
      <c r="I580" s="3236" t="s">
        <v>4462</v>
      </c>
      <c r="J580" s="3236">
        <v>29.09</v>
      </c>
    </row>
    <row r="581" spans="1:10" ht="11.25" customHeight="1">
      <c r="A581" s="3363" t="s">
        <v>4948</v>
      </c>
      <c r="B581" s="3237" t="s">
        <v>4473</v>
      </c>
      <c r="C581" s="3237" t="s">
        <v>3803</v>
      </c>
      <c r="D581" s="3237" t="s">
        <v>4459</v>
      </c>
      <c r="E581" s="3237" t="s">
        <v>4460</v>
      </c>
      <c r="F581" s="3237" t="s">
        <v>4474</v>
      </c>
      <c r="G581" s="3237" t="s">
        <v>3660</v>
      </c>
      <c r="H581" s="3237" t="s">
        <v>3219</v>
      </c>
      <c r="I581" s="3236" t="s">
        <v>4462</v>
      </c>
      <c r="J581" s="3236">
        <v>29.09</v>
      </c>
    </row>
    <row r="582" spans="1:10" ht="11.25" customHeight="1">
      <c r="A582" s="3363" t="s">
        <v>4949</v>
      </c>
      <c r="B582" s="3237" t="s">
        <v>4473</v>
      </c>
      <c r="C582" s="3237" t="s">
        <v>3804</v>
      </c>
      <c r="D582" s="3237" t="s">
        <v>4459</v>
      </c>
      <c r="E582" s="3237" t="s">
        <v>4460</v>
      </c>
      <c r="F582" s="3237" t="s">
        <v>4474</v>
      </c>
      <c r="G582" s="3237" t="s">
        <v>3660</v>
      </c>
      <c r="H582" s="3237" t="s">
        <v>3219</v>
      </c>
      <c r="I582" s="3236" t="s">
        <v>4462</v>
      </c>
      <c r="J582" s="3236">
        <v>29.09</v>
      </c>
    </row>
    <row r="583" spans="1:10" ht="11.25" customHeight="1">
      <c r="A583" s="3363" t="s">
        <v>4950</v>
      </c>
      <c r="B583" s="3237" t="s">
        <v>4473</v>
      </c>
      <c r="C583" s="3237" t="s">
        <v>3805</v>
      </c>
      <c r="D583" s="3237" t="s">
        <v>4459</v>
      </c>
      <c r="E583" s="3237" t="s">
        <v>4460</v>
      </c>
      <c r="F583" s="3237" t="s">
        <v>4474</v>
      </c>
      <c r="G583" s="3237" t="s">
        <v>3660</v>
      </c>
      <c r="H583" s="3237" t="s">
        <v>3219</v>
      </c>
      <c r="I583" s="3236" t="s">
        <v>4462</v>
      </c>
      <c r="J583" s="3236">
        <v>29.09</v>
      </c>
    </row>
    <row r="584" spans="1:10" ht="11.25" customHeight="1">
      <c r="A584" s="3363" t="s">
        <v>4951</v>
      </c>
      <c r="B584" s="3237" t="s">
        <v>4473</v>
      </c>
      <c r="C584" s="3237" t="s">
        <v>3806</v>
      </c>
      <c r="D584" s="3237" t="s">
        <v>4459</v>
      </c>
      <c r="E584" s="3237" t="s">
        <v>4460</v>
      </c>
      <c r="F584" s="3237" t="s">
        <v>4474</v>
      </c>
      <c r="G584" s="3237" t="s">
        <v>3660</v>
      </c>
      <c r="H584" s="3237" t="s">
        <v>3219</v>
      </c>
      <c r="I584" s="3236" t="s">
        <v>4462</v>
      </c>
      <c r="J584" s="3236">
        <v>29.09</v>
      </c>
    </row>
    <row r="585" spans="1:10" ht="11.25" customHeight="1">
      <c r="A585" s="3363" t="s">
        <v>4952</v>
      </c>
      <c r="B585" s="3237" t="s">
        <v>4473</v>
      </c>
      <c r="C585" s="3237" t="s">
        <v>3807</v>
      </c>
      <c r="D585" s="3237" t="s">
        <v>4459</v>
      </c>
      <c r="E585" s="3237" t="s">
        <v>4460</v>
      </c>
      <c r="F585" s="3237" t="s">
        <v>4474</v>
      </c>
      <c r="G585" s="3237" t="s">
        <v>3660</v>
      </c>
      <c r="H585" s="3237" t="s">
        <v>3219</v>
      </c>
      <c r="I585" s="3236" t="s">
        <v>4462</v>
      </c>
      <c r="J585" s="3236">
        <v>29.09</v>
      </c>
    </row>
    <row r="586" spans="1:10" ht="11.25" customHeight="1">
      <c r="A586" s="3363" t="s">
        <v>4953</v>
      </c>
      <c r="B586" s="3237" t="s">
        <v>4473</v>
      </c>
      <c r="C586" s="3237" t="s">
        <v>3808</v>
      </c>
      <c r="D586" s="3237" t="s">
        <v>4459</v>
      </c>
      <c r="E586" s="3237" t="s">
        <v>4460</v>
      </c>
      <c r="F586" s="3237" t="s">
        <v>4474</v>
      </c>
      <c r="G586" s="3237" t="s">
        <v>3660</v>
      </c>
      <c r="H586" s="3237" t="s">
        <v>3219</v>
      </c>
      <c r="I586" s="3236" t="s">
        <v>4462</v>
      </c>
      <c r="J586" s="3236">
        <v>29.09</v>
      </c>
    </row>
    <row r="587" spans="1:10" ht="11.25" customHeight="1">
      <c r="A587" s="3363" t="s">
        <v>4954</v>
      </c>
      <c r="B587" s="3237" t="s">
        <v>4473</v>
      </c>
      <c r="C587" s="3237" t="s">
        <v>3809</v>
      </c>
      <c r="D587" s="3237" t="s">
        <v>4459</v>
      </c>
      <c r="E587" s="3237" t="s">
        <v>4460</v>
      </c>
      <c r="F587" s="3237" t="s">
        <v>4474</v>
      </c>
      <c r="G587" s="3237" t="s">
        <v>3660</v>
      </c>
      <c r="H587" s="3237" t="s">
        <v>3219</v>
      </c>
      <c r="I587" s="3236" t="s">
        <v>4462</v>
      </c>
      <c r="J587" s="3236">
        <v>29.09</v>
      </c>
    </row>
    <row r="588" spans="1:10" ht="11.25" customHeight="1">
      <c r="A588" s="3363" t="s">
        <v>4955</v>
      </c>
      <c r="B588" s="3237" t="s">
        <v>4473</v>
      </c>
      <c r="C588" s="3237" t="s">
        <v>3810</v>
      </c>
      <c r="D588" s="3237" t="s">
        <v>4459</v>
      </c>
      <c r="E588" s="3237" t="s">
        <v>4460</v>
      </c>
      <c r="F588" s="3237" t="s">
        <v>4474</v>
      </c>
      <c r="G588" s="3237" t="s">
        <v>3660</v>
      </c>
      <c r="H588" s="3237" t="s">
        <v>3219</v>
      </c>
      <c r="I588" s="3236" t="s">
        <v>4462</v>
      </c>
      <c r="J588" s="3236">
        <v>29.09</v>
      </c>
    </row>
    <row r="589" spans="1:10" ht="11.25" customHeight="1">
      <c r="A589" s="3363" t="s">
        <v>4956</v>
      </c>
      <c r="B589" s="3237" t="s">
        <v>4473</v>
      </c>
      <c r="C589" s="3237" t="s">
        <v>3811</v>
      </c>
      <c r="D589" s="3237" t="s">
        <v>4459</v>
      </c>
      <c r="E589" s="3237" t="s">
        <v>4460</v>
      </c>
      <c r="F589" s="3237" t="s">
        <v>4474</v>
      </c>
      <c r="G589" s="3237" t="s">
        <v>3660</v>
      </c>
      <c r="H589" s="3237" t="s">
        <v>3219</v>
      </c>
      <c r="I589" s="3236" t="s">
        <v>4462</v>
      </c>
      <c r="J589" s="3236">
        <v>29.09</v>
      </c>
    </row>
    <row r="590" spans="1:10" ht="11.25" customHeight="1">
      <c r="A590" s="3363" t="s">
        <v>4957</v>
      </c>
      <c r="B590" s="3237" t="s">
        <v>4473</v>
      </c>
      <c r="C590" s="3237" t="s">
        <v>3812</v>
      </c>
      <c r="D590" s="3237" t="s">
        <v>4459</v>
      </c>
      <c r="E590" s="3237" t="s">
        <v>4460</v>
      </c>
      <c r="F590" s="3237" t="s">
        <v>4474</v>
      </c>
      <c r="G590" s="3237" t="s">
        <v>3660</v>
      </c>
      <c r="H590" s="3237" t="s">
        <v>3219</v>
      </c>
      <c r="I590" s="3236" t="s">
        <v>4462</v>
      </c>
      <c r="J590" s="3236">
        <v>29.09</v>
      </c>
    </row>
    <row r="591" spans="1:10" ht="11.25" customHeight="1">
      <c r="A591" s="3363" t="s">
        <v>4958</v>
      </c>
      <c r="B591" s="3237" t="s">
        <v>4473</v>
      </c>
      <c r="C591" s="3237" t="s">
        <v>3813</v>
      </c>
      <c r="D591" s="3237" t="s">
        <v>4459</v>
      </c>
      <c r="E591" s="3237" t="s">
        <v>4460</v>
      </c>
      <c r="F591" s="3237" t="s">
        <v>4474</v>
      </c>
      <c r="G591" s="3237" t="s">
        <v>3660</v>
      </c>
      <c r="H591" s="3237" t="s">
        <v>3219</v>
      </c>
      <c r="I591" s="3236" t="s">
        <v>4462</v>
      </c>
      <c r="J591" s="3236">
        <v>29.09</v>
      </c>
    </row>
    <row r="592" spans="1:10" ht="11.25" customHeight="1">
      <c r="A592" s="3363" t="s">
        <v>4959</v>
      </c>
      <c r="B592" s="3237" t="s">
        <v>4473</v>
      </c>
      <c r="C592" s="3237" t="s">
        <v>3814</v>
      </c>
      <c r="D592" s="3237" t="s">
        <v>4459</v>
      </c>
      <c r="E592" s="3237" t="s">
        <v>4460</v>
      </c>
      <c r="F592" s="3237" t="s">
        <v>4474</v>
      </c>
      <c r="G592" s="3237" t="s">
        <v>3660</v>
      </c>
      <c r="H592" s="3237" t="s">
        <v>3219</v>
      </c>
      <c r="I592" s="3236" t="s">
        <v>4462</v>
      </c>
      <c r="J592" s="3236">
        <v>29.09</v>
      </c>
    </row>
    <row r="593" spans="1:10" ht="11.25" customHeight="1">
      <c r="A593" s="3363" t="s">
        <v>4960</v>
      </c>
      <c r="B593" s="3237" t="s">
        <v>4473</v>
      </c>
      <c r="C593" s="3237" t="s">
        <v>3815</v>
      </c>
      <c r="D593" s="3237" t="s">
        <v>4459</v>
      </c>
      <c r="E593" s="3237" t="s">
        <v>4460</v>
      </c>
      <c r="F593" s="3237" t="s">
        <v>4474</v>
      </c>
      <c r="G593" s="3237" t="s">
        <v>3660</v>
      </c>
      <c r="H593" s="3237" t="s">
        <v>3219</v>
      </c>
      <c r="I593" s="3236" t="s">
        <v>4462</v>
      </c>
      <c r="J593" s="3236">
        <v>29.09</v>
      </c>
    </row>
    <row r="594" spans="1:10" ht="11.25" customHeight="1">
      <c r="A594" s="3363" t="s">
        <v>4961</v>
      </c>
      <c r="B594" s="3237" t="s">
        <v>4473</v>
      </c>
      <c r="C594" s="3237" t="s">
        <v>3816</v>
      </c>
      <c r="D594" s="3237" t="s">
        <v>4459</v>
      </c>
      <c r="E594" s="3237" t="s">
        <v>4460</v>
      </c>
      <c r="F594" s="3237" t="s">
        <v>4474</v>
      </c>
      <c r="G594" s="3237" t="s">
        <v>3660</v>
      </c>
      <c r="H594" s="3237" t="s">
        <v>3219</v>
      </c>
      <c r="I594" s="3236" t="s">
        <v>4462</v>
      </c>
      <c r="J594" s="3236">
        <v>29.09</v>
      </c>
    </row>
    <row r="595" spans="1:10" ht="11.25" customHeight="1">
      <c r="A595" s="3363" t="s">
        <v>4962</v>
      </c>
      <c r="B595" s="3237" t="s">
        <v>4473</v>
      </c>
      <c r="C595" s="3237" t="s">
        <v>3817</v>
      </c>
      <c r="D595" s="3237" t="s">
        <v>4459</v>
      </c>
      <c r="E595" s="3237" t="s">
        <v>4460</v>
      </c>
      <c r="F595" s="3237" t="s">
        <v>4474</v>
      </c>
      <c r="G595" s="3237" t="s">
        <v>3660</v>
      </c>
      <c r="H595" s="3237" t="s">
        <v>3219</v>
      </c>
      <c r="I595" s="3236" t="s">
        <v>4462</v>
      </c>
      <c r="J595" s="3236">
        <v>29.09</v>
      </c>
    </row>
    <row r="596" spans="1:10" ht="11.25" customHeight="1">
      <c r="A596" s="3363" t="s">
        <v>4963</v>
      </c>
      <c r="B596" s="3237" t="s">
        <v>4473</v>
      </c>
      <c r="C596" s="3237" t="s">
        <v>3818</v>
      </c>
      <c r="D596" s="3237" t="s">
        <v>4459</v>
      </c>
      <c r="E596" s="3237" t="s">
        <v>4460</v>
      </c>
      <c r="F596" s="3237" t="s">
        <v>4474</v>
      </c>
      <c r="G596" s="3237" t="s">
        <v>3660</v>
      </c>
      <c r="H596" s="3237" t="s">
        <v>3219</v>
      </c>
      <c r="I596" s="3236" t="s">
        <v>4462</v>
      </c>
      <c r="J596" s="3236">
        <v>29.09</v>
      </c>
    </row>
    <row r="597" spans="1:10" ht="11.25" customHeight="1">
      <c r="A597" s="3363" t="s">
        <v>4964</v>
      </c>
      <c r="B597" s="3237" t="s">
        <v>4473</v>
      </c>
      <c r="C597" s="3237" t="s">
        <v>3819</v>
      </c>
      <c r="D597" s="3237" t="s">
        <v>4459</v>
      </c>
      <c r="E597" s="3237" t="s">
        <v>4460</v>
      </c>
      <c r="F597" s="3237" t="s">
        <v>4474</v>
      </c>
      <c r="G597" s="3237" t="s">
        <v>3660</v>
      </c>
      <c r="H597" s="3237" t="s">
        <v>3219</v>
      </c>
      <c r="I597" s="3236" t="s">
        <v>4462</v>
      </c>
      <c r="J597" s="3236">
        <v>29.09</v>
      </c>
    </row>
    <row r="598" spans="1:10" ht="11.25" customHeight="1">
      <c r="A598" s="3363" t="s">
        <v>4965</v>
      </c>
      <c r="B598" s="3237" t="s">
        <v>4473</v>
      </c>
      <c r="C598" s="3237" t="s">
        <v>3820</v>
      </c>
      <c r="D598" s="3237" t="s">
        <v>4459</v>
      </c>
      <c r="E598" s="3237" t="s">
        <v>4460</v>
      </c>
      <c r="F598" s="3237" t="s">
        <v>4474</v>
      </c>
      <c r="G598" s="3237" t="s">
        <v>3660</v>
      </c>
      <c r="H598" s="3237" t="s">
        <v>3219</v>
      </c>
      <c r="I598" s="3236" t="s">
        <v>4462</v>
      </c>
      <c r="J598" s="3236">
        <v>29.09</v>
      </c>
    </row>
    <row r="599" spans="1:10" ht="11.25" customHeight="1">
      <c r="A599" s="3363" t="s">
        <v>4966</v>
      </c>
      <c r="B599" s="3237" t="s">
        <v>4473</v>
      </c>
      <c r="C599" s="3237" t="s">
        <v>3821</v>
      </c>
      <c r="D599" s="3237" t="s">
        <v>4459</v>
      </c>
      <c r="E599" s="3237" t="s">
        <v>4460</v>
      </c>
      <c r="F599" s="3237" t="s">
        <v>4474</v>
      </c>
      <c r="G599" s="3237" t="s">
        <v>3660</v>
      </c>
      <c r="H599" s="3237" t="s">
        <v>3219</v>
      </c>
      <c r="I599" s="3236" t="s">
        <v>4462</v>
      </c>
      <c r="J599" s="3236">
        <v>29.09</v>
      </c>
    </row>
    <row r="600" spans="1:10" ht="11.25" customHeight="1">
      <c r="A600" s="3363" t="s">
        <v>4967</v>
      </c>
      <c r="B600" s="3237" t="s">
        <v>4473</v>
      </c>
      <c r="C600" s="3237" t="s">
        <v>3822</v>
      </c>
      <c r="D600" s="3237" t="s">
        <v>4459</v>
      </c>
      <c r="E600" s="3237" t="s">
        <v>4460</v>
      </c>
      <c r="F600" s="3237" t="s">
        <v>4474</v>
      </c>
      <c r="G600" s="3237" t="s">
        <v>3660</v>
      </c>
      <c r="H600" s="3237" t="s">
        <v>3219</v>
      </c>
      <c r="I600" s="3236" t="s">
        <v>4462</v>
      </c>
      <c r="J600" s="3236">
        <v>29.09</v>
      </c>
    </row>
    <row r="601" spans="1:10" ht="11.25" customHeight="1">
      <c r="A601" s="3363" t="s">
        <v>4968</v>
      </c>
      <c r="B601" s="3237" t="s">
        <v>4473</v>
      </c>
      <c r="C601" s="3237" t="s">
        <v>3823</v>
      </c>
      <c r="D601" s="3237" t="s">
        <v>4459</v>
      </c>
      <c r="E601" s="3237" t="s">
        <v>4460</v>
      </c>
      <c r="F601" s="3237" t="s">
        <v>4474</v>
      </c>
      <c r="G601" s="3237" t="s">
        <v>3660</v>
      </c>
      <c r="H601" s="3237" t="s">
        <v>3219</v>
      </c>
      <c r="I601" s="3236" t="s">
        <v>4462</v>
      </c>
      <c r="J601" s="3236">
        <v>29.09</v>
      </c>
    </row>
    <row r="602" spans="1:10" ht="11.25" customHeight="1">
      <c r="A602" s="3363" t="s">
        <v>4969</v>
      </c>
      <c r="B602" s="3237" t="s">
        <v>4473</v>
      </c>
      <c r="C602" s="3237" t="s">
        <v>3824</v>
      </c>
      <c r="D602" s="3237" t="s">
        <v>4459</v>
      </c>
      <c r="E602" s="3237" t="s">
        <v>4460</v>
      </c>
      <c r="F602" s="3237" t="s">
        <v>4474</v>
      </c>
      <c r="G602" s="3237" t="s">
        <v>3660</v>
      </c>
      <c r="H602" s="3237" t="s">
        <v>3219</v>
      </c>
      <c r="I602" s="3236" t="s">
        <v>4462</v>
      </c>
      <c r="J602" s="3236">
        <v>29.09</v>
      </c>
    </row>
    <row r="603" spans="1:10" ht="11.25" customHeight="1">
      <c r="A603" s="3363" t="s">
        <v>4970</v>
      </c>
      <c r="B603" s="3237" t="s">
        <v>4473</v>
      </c>
      <c r="C603" s="3237" t="s">
        <v>3825</v>
      </c>
      <c r="D603" s="3237" t="s">
        <v>4459</v>
      </c>
      <c r="E603" s="3237" t="s">
        <v>4460</v>
      </c>
      <c r="F603" s="3237" t="s">
        <v>4474</v>
      </c>
      <c r="G603" s="3237" t="s">
        <v>3660</v>
      </c>
      <c r="H603" s="3237" t="s">
        <v>3219</v>
      </c>
      <c r="I603" s="3236" t="s">
        <v>4462</v>
      </c>
      <c r="J603" s="3236">
        <v>29.09</v>
      </c>
    </row>
    <row r="604" spans="1:10" ht="11.25" customHeight="1">
      <c r="A604" s="3363" t="s">
        <v>4971</v>
      </c>
      <c r="B604" s="3237" t="s">
        <v>4473</v>
      </c>
      <c r="C604" s="3237" t="s">
        <v>3826</v>
      </c>
      <c r="D604" s="3237" t="s">
        <v>4459</v>
      </c>
      <c r="E604" s="3237" t="s">
        <v>4460</v>
      </c>
      <c r="F604" s="3237" t="s">
        <v>4474</v>
      </c>
      <c r="G604" s="3237" t="s">
        <v>3660</v>
      </c>
      <c r="H604" s="3237" t="s">
        <v>3219</v>
      </c>
      <c r="I604" s="3236" t="s">
        <v>4462</v>
      </c>
      <c r="J604" s="3236">
        <v>29.09</v>
      </c>
    </row>
    <row r="605" spans="1:10" ht="11.25" customHeight="1">
      <c r="A605" s="3363" t="s">
        <v>4972</v>
      </c>
      <c r="B605" s="3237" t="s">
        <v>4473</v>
      </c>
      <c r="C605" s="3237" t="s">
        <v>3827</v>
      </c>
      <c r="D605" s="3237" t="s">
        <v>4459</v>
      </c>
      <c r="E605" s="3237" t="s">
        <v>4460</v>
      </c>
      <c r="F605" s="3237" t="s">
        <v>4474</v>
      </c>
      <c r="G605" s="3237" t="s">
        <v>3660</v>
      </c>
      <c r="H605" s="3237" t="s">
        <v>3219</v>
      </c>
      <c r="I605" s="3236" t="s">
        <v>4462</v>
      </c>
      <c r="J605" s="3236">
        <v>29.09</v>
      </c>
    </row>
    <row r="606" spans="1:10" ht="11.25" customHeight="1">
      <c r="A606" s="3363" t="s">
        <v>4973</v>
      </c>
      <c r="B606" s="3237" t="s">
        <v>4473</v>
      </c>
      <c r="C606" s="3237" t="s">
        <v>3828</v>
      </c>
      <c r="D606" s="3237" t="s">
        <v>4459</v>
      </c>
      <c r="E606" s="3237" t="s">
        <v>4460</v>
      </c>
      <c r="F606" s="3237" t="s">
        <v>4474</v>
      </c>
      <c r="G606" s="3237" t="s">
        <v>3660</v>
      </c>
      <c r="H606" s="3237" t="s">
        <v>3219</v>
      </c>
      <c r="I606" s="3236" t="s">
        <v>4462</v>
      </c>
      <c r="J606" s="3236">
        <v>29.09</v>
      </c>
    </row>
    <row r="607" spans="1:10" ht="11.25" customHeight="1">
      <c r="A607" s="3363" t="s">
        <v>4974</v>
      </c>
      <c r="B607" s="3237" t="s">
        <v>4473</v>
      </c>
      <c r="C607" s="3237" t="s">
        <v>3829</v>
      </c>
      <c r="D607" s="3237" t="s">
        <v>4459</v>
      </c>
      <c r="E607" s="3237" t="s">
        <v>4460</v>
      </c>
      <c r="F607" s="3237" t="s">
        <v>4474</v>
      </c>
      <c r="G607" s="3237" t="s">
        <v>3660</v>
      </c>
      <c r="H607" s="3237" t="s">
        <v>3219</v>
      </c>
      <c r="I607" s="3236" t="s">
        <v>4462</v>
      </c>
      <c r="J607" s="3236">
        <v>29.09</v>
      </c>
    </row>
    <row r="608" spans="1:10" ht="11.25" customHeight="1">
      <c r="A608" s="3363" t="s">
        <v>4975</v>
      </c>
      <c r="B608" s="3237" t="s">
        <v>4473</v>
      </c>
      <c r="C608" s="3237" t="s">
        <v>3830</v>
      </c>
      <c r="D608" s="3237" t="s">
        <v>4459</v>
      </c>
      <c r="E608" s="3237" t="s">
        <v>4460</v>
      </c>
      <c r="F608" s="3237" t="s">
        <v>4474</v>
      </c>
      <c r="G608" s="3237" t="s">
        <v>3660</v>
      </c>
      <c r="H608" s="3237" t="s">
        <v>3219</v>
      </c>
      <c r="I608" s="3236" t="s">
        <v>4462</v>
      </c>
      <c r="J608" s="3236">
        <v>29.09</v>
      </c>
    </row>
    <row r="609" spans="1:10" ht="11.25" customHeight="1">
      <c r="A609" s="3363" t="s">
        <v>4976</v>
      </c>
      <c r="B609" s="3237" t="s">
        <v>4473</v>
      </c>
      <c r="C609" s="3237" t="s">
        <v>3831</v>
      </c>
      <c r="D609" s="3237" t="s">
        <v>4459</v>
      </c>
      <c r="E609" s="3237" t="s">
        <v>4460</v>
      </c>
      <c r="F609" s="3237" t="s">
        <v>4474</v>
      </c>
      <c r="G609" s="3237" t="s">
        <v>3660</v>
      </c>
      <c r="H609" s="3237" t="s">
        <v>3219</v>
      </c>
      <c r="I609" s="3236" t="s">
        <v>4462</v>
      </c>
      <c r="J609" s="3236">
        <v>29.09</v>
      </c>
    </row>
    <row r="610" spans="1:10" ht="11.25" customHeight="1">
      <c r="A610" s="3363" t="s">
        <v>4977</v>
      </c>
      <c r="B610" s="3237" t="s">
        <v>4473</v>
      </c>
      <c r="C610" s="3237" t="s">
        <v>3832</v>
      </c>
      <c r="D610" s="3237" t="s">
        <v>4459</v>
      </c>
      <c r="E610" s="3237" t="s">
        <v>4460</v>
      </c>
      <c r="F610" s="3237" t="s">
        <v>4474</v>
      </c>
      <c r="G610" s="3237" t="s">
        <v>3660</v>
      </c>
      <c r="H610" s="3237" t="s">
        <v>3219</v>
      </c>
      <c r="I610" s="3236" t="s">
        <v>4462</v>
      </c>
      <c r="J610" s="3236">
        <v>29.09</v>
      </c>
    </row>
    <row r="611" spans="1:10" ht="11.25" customHeight="1">
      <c r="A611" s="3363" t="s">
        <v>4978</v>
      </c>
      <c r="B611" s="3237" t="s">
        <v>4473</v>
      </c>
      <c r="C611" s="3237" t="s">
        <v>3833</v>
      </c>
      <c r="D611" s="3237" t="s">
        <v>4459</v>
      </c>
      <c r="E611" s="3237" t="s">
        <v>4460</v>
      </c>
      <c r="F611" s="3237" t="s">
        <v>4474</v>
      </c>
      <c r="G611" s="3237" t="s">
        <v>3660</v>
      </c>
      <c r="H611" s="3237" t="s">
        <v>3219</v>
      </c>
      <c r="I611" s="3236" t="s">
        <v>4462</v>
      </c>
      <c r="J611" s="3236">
        <v>29.09</v>
      </c>
    </row>
    <row r="612" spans="1:10" ht="11.25" customHeight="1">
      <c r="A612" s="3363" t="s">
        <v>4979</v>
      </c>
      <c r="B612" s="3237" t="s">
        <v>4473</v>
      </c>
      <c r="C612" s="3237" t="s">
        <v>3834</v>
      </c>
      <c r="D612" s="3237" t="s">
        <v>4459</v>
      </c>
      <c r="E612" s="3237" t="s">
        <v>4460</v>
      </c>
      <c r="F612" s="3237" t="s">
        <v>4474</v>
      </c>
      <c r="G612" s="3237" t="s">
        <v>3660</v>
      </c>
      <c r="H612" s="3237" t="s">
        <v>3219</v>
      </c>
      <c r="I612" s="3236" t="s">
        <v>4462</v>
      </c>
      <c r="J612" s="3236">
        <v>29.09</v>
      </c>
    </row>
    <row r="613" spans="1:10" ht="11.25" customHeight="1">
      <c r="A613" s="3363" t="s">
        <v>4980</v>
      </c>
      <c r="B613" s="3237" t="s">
        <v>4473</v>
      </c>
      <c r="C613" s="3237" t="s">
        <v>3835</v>
      </c>
      <c r="D613" s="3237" t="s">
        <v>4459</v>
      </c>
      <c r="E613" s="3237" t="s">
        <v>4460</v>
      </c>
      <c r="F613" s="3237" t="s">
        <v>4474</v>
      </c>
      <c r="G613" s="3237" t="s">
        <v>3660</v>
      </c>
      <c r="H613" s="3237" t="s">
        <v>3219</v>
      </c>
      <c r="I613" s="3236" t="s">
        <v>4462</v>
      </c>
      <c r="J613" s="3236">
        <v>29.09</v>
      </c>
    </row>
    <row r="614" spans="1:10" ht="11.25" customHeight="1">
      <c r="A614" s="3363" t="s">
        <v>4981</v>
      </c>
      <c r="B614" s="3237" t="s">
        <v>4473</v>
      </c>
      <c r="C614" s="3237" t="s">
        <v>3836</v>
      </c>
      <c r="D614" s="3237" t="s">
        <v>4459</v>
      </c>
      <c r="E614" s="3237" t="s">
        <v>4460</v>
      </c>
      <c r="F614" s="3237" t="s">
        <v>4474</v>
      </c>
      <c r="G614" s="3237" t="s">
        <v>3660</v>
      </c>
      <c r="H614" s="3237" t="s">
        <v>3219</v>
      </c>
      <c r="I614" s="3236" t="s">
        <v>4462</v>
      </c>
      <c r="J614" s="3236">
        <v>29.09</v>
      </c>
    </row>
    <row r="615" spans="1:10" ht="11.25" customHeight="1">
      <c r="A615" s="3363" t="s">
        <v>4982</v>
      </c>
      <c r="B615" s="3237" t="s">
        <v>4473</v>
      </c>
      <c r="C615" s="3237" t="s">
        <v>3837</v>
      </c>
      <c r="D615" s="3237" t="s">
        <v>4459</v>
      </c>
      <c r="E615" s="3237" t="s">
        <v>4460</v>
      </c>
      <c r="F615" s="3237" t="s">
        <v>4474</v>
      </c>
      <c r="G615" s="3237" t="s">
        <v>3660</v>
      </c>
      <c r="H615" s="3237" t="s">
        <v>3219</v>
      </c>
      <c r="I615" s="3236" t="s">
        <v>4462</v>
      </c>
      <c r="J615" s="3236">
        <v>29.09</v>
      </c>
    </row>
    <row r="616" spans="1:10" ht="11.25" customHeight="1">
      <c r="A616" s="3363" t="s">
        <v>4983</v>
      </c>
      <c r="B616" s="3237" t="s">
        <v>4473</v>
      </c>
      <c r="C616" s="3237" t="s">
        <v>3838</v>
      </c>
      <c r="D616" s="3237" t="s">
        <v>4459</v>
      </c>
      <c r="E616" s="3237" t="s">
        <v>4460</v>
      </c>
      <c r="F616" s="3237" t="s">
        <v>4474</v>
      </c>
      <c r="G616" s="3237" t="s">
        <v>3660</v>
      </c>
      <c r="H616" s="3237" t="s">
        <v>3219</v>
      </c>
      <c r="I616" s="3236" t="s">
        <v>4462</v>
      </c>
      <c r="J616" s="3236">
        <v>29.09</v>
      </c>
    </row>
    <row r="617" spans="1:10" ht="11.25" customHeight="1">
      <c r="A617" s="3363" t="s">
        <v>4984</v>
      </c>
      <c r="B617" s="3237" t="s">
        <v>4473</v>
      </c>
      <c r="C617" s="3237" t="s">
        <v>3839</v>
      </c>
      <c r="D617" s="3237" t="s">
        <v>4459</v>
      </c>
      <c r="E617" s="3237" t="s">
        <v>4460</v>
      </c>
      <c r="F617" s="3237" t="s">
        <v>4474</v>
      </c>
      <c r="G617" s="3237" t="s">
        <v>3660</v>
      </c>
      <c r="H617" s="3237" t="s">
        <v>3219</v>
      </c>
      <c r="I617" s="3236" t="s">
        <v>4462</v>
      </c>
      <c r="J617" s="3236">
        <v>29.09</v>
      </c>
    </row>
    <row r="618" spans="1:10" ht="11.25" customHeight="1">
      <c r="A618" s="3363" t="s">
        <v>4985</v>
      </c>
      <c r="B618" s="3237" t="s">
        <v>4473</v>
      </c>
      <c r="C618" s="3237" t="s">
        <v>3840</v>
      </c>
      <c r="D618" s="3237" t="s">
        <v>4459</v>
      </c>
      <c r="E618" s="3237" t="s">
        <v>4460</v>
      </c>
      <c r="F618" s="3237" t="s">
        <v>4474</v>
      </c>
      <c r="G618" s="3237" t="s">
        <v>3660</v>
      </c>
      <c r="H618" s="3237" t="s">
        <v>3219</v>
      </c>
      <c r="I618" s="3236" t="s">
        <v>4462</v>
      </c>
      <c r="J618" s="3236">
        <v>29.09</v>
      </c>
    </row>
    <row r="619" spans="1:10" ht="11.25" customHeight="1">
      <c r="A619" s="3363" t="s">
        <v>4986</v>
      </c>
      <c r="B619" s="3237" t="s">
        <v>4473</v>
      </c>
      <c r="C619" s="3237" t="s">
        <v>3841</v>
      </c>
      <c r="D619" s="3237" t="s">
        <v>4459</v>
      </c>
      <c r="E619" s="3237" t="s">
        <v>4460</v>
      </c>
      <c r="F619" s="3237" t="s">
        <v>4474</v>
      </c>
      <c r="G619" s="3237" t="s">
        <v>3660</v>
      </c>
      <c r="H619" s="3237" t="s">
        <v>3219</v>
      </c>
      <c r="I619" s="3236" t="s">
        <v>4462</v>
      </c>
      <c r="J619" s="3236">
        <v>29.09</v>
      </c>
    </row>
    <row r="620" spans="1:10" ht="11.25" customHeight="1">
      <c r="A620" s="3363" t="s">
        <v>4987</v>
      </c>
      <c r="B620" s="3237" t="s">
        <v>4473</v>
      </c>
      <c r="C620" s="3237" t="s">
        <v>3842</v>
      </c>
      <c r="D620" s="3237" t="s">
        <v>4459</v>
      </c>
      <c r="E620" s="3237" t="s">
        <v>4460</v>
      </c>
      <c r="F620" s="3237" t="s">
        <v>4474</v>
      </c>
      <c r="G620" s="3237" t="s">
        <v>3660</v>
      </c>
      <c r="H620" s="3237" t="s">
        <v>3219</v>
      </c>
      <c r="I620" s="3236" t="s">
        <v>4462</v>
      </c>
      <c r="J620" s="3236">
        <v>29.09</v>
      </c>
    </row>
    <row r="621" spans="1:10" ht="11.25" customHeight="1">
      <c r="A621" s="3363" t="s">
        <v>4988</v>
      </c>
      <c r="B621" s="3237" t="s">
        <v>4473</v>
      </c>
      <c r="C621" s="3237" t="s">
        <v>3843</v>
      </c>
      <c r="D621" s="3237" t="s">
        <v>4459</v>
      </c>
      <c r="E621" s="3237" t="s">
        <v>4460</v>
      </c>
      <c r="F621" s="3237" t="s">
        <v>4474</v>
      </c>
      <c r="G621" s="3237" t="s">
        <v>3660</v>
      </c>
      <c r="H621" s="3237" t="s">
        <v>3219</v>
      </c>
      <c r="I621" s="3236" t="s">
        <v>4462</v>
      </c>
      <c r="J621" s="3236">
        <v>29.09</v>
      </c>
    </row>
    <row r="622" spans="1:10" ht="11.25" customHeight="1">
      <c r="A622" s="3363" t="s">
        <v>4989</v>
      </c>
      <c r="B622" s="3237" t="s">
        <v>4473</v>
      </c>
      <c r="C622" s="3237" t="s">
        <v>3844</v>
      </c>
      <c r="D622" s="3237" t="s">
        <v>4459</v>
      </c>
      <c r="E622" s="3237" t="s">
        <v>4460</v>
      </c>
      <c r="F622" s="3237" t="s">
        <v>4474</v>
      </c>
      <c r="G622" s="3237" t="s">
        <v>3660</v>
      </c>
      <c r="H622" s="3237" t="s">
        <v>3219</v>
      </c>
      <c r="I622" s="3236" t="s">
        <v>4462</v>
      </c>
      <c r="J622" s="3236">
        <v>29.09</v>
      </c>
    </row>
    <row r="623" spans="1:10" ht="11.25" customHeight="1">
      <c r="A623" s="3363" t="s">
        <v>4990</v>
      </c>
      <c r="B623" s="3237" t="s">
        <v>4473</v>
      </c>
      <c r="C623" s="3237" t="s">
        <v>3845</v>
      </c>
      <c r="D623" s="3237" t="s">
        <v>4459</v>
      </c>
      <c r="E623" s="3237" t="s">
        <v>4460</v>
      </c>
      <c r="F623" s="3237" t="s">
        <v>4474</v>
      </c>
      <c r="G623" s="3237" t="s">
        <v>3660</v>
      </c>
      <c r="H623" s="3237" t="s">
        <v>3219</v>
      </c>
      <c r="I623" s="3236" t="s">
        <v>4462</v>
      </c>
      <c r="J623" s="3236">
        <v>29.09</v>
      </c>
    </row>
    <row r="624" spans="1:10" ht="11.25" customHeight="1">
      <c r="A624" s="3363" t="s">
        <v>4991</v>
      </c>
      <c r="B624" s="3237" t="s">
        <v>4473</v>
      </c>
      <c r="C624" s="3237" t="s">
        <v>3846</v>
      </c>
      <c r="D624" s="3237" t="s">
        <v>4459</v>
      </c>
      <c r="E624" s="3237" t="s">
        <v>4460</v>
      </c>
      <c r="F624" s="3237" t="s">
        <v>4474</v>
      </c>
      <c r="G624" s="3237" t="s">
        <v>3660</v>
      </c>
      <c r="H624" s="3237" t="s">
        <v>3219</v>
      </c>
      <c r="I624" s="3236" t="s">
        <v>4462</v>
      </c>
      <c r="J624" s="3236">
        <v>29.09</v>
      </c>
    </row>
    <row r="625" spans="1:10" ht="11.25" customHeight="1">
      <c r="A625" s="3363" t="s">
        <v>4992</v>
      </c>
      <c r="B625" s="3237" t="s">
        <v>4473</v>
      </c>
      <c r="C625" s="3237" t="s">
        <v>3847</v>
      </c>
      <c r="D625" s="3237" t="s">
        <v>4459</v>
      </c>
      <c r="E625" s="3237" t="s">
        <v>4460</v>
      </c>
      <c r="F625" s="3237" t="s">
        <v>4474</v>
      </c>
      <c r="G625" s="3237" t="s">
        <v>3660</v>
      </c>
      <c r="H625" s="3237" t="s">
        <v>3219</v>
      </c>
      <c r="I625" s="3236" t="s">
        <v>4462</v>
      </c>
      <c r="J625" s="3236">
        <v>29.09</v>
      </c>
    </row>
    <row r="626" spans="1:10" ht="11.25" customHeight="1">
      <c r="A626" s="3363" t="s">
        <v>4993</v>
      </c>
      <c r="B626" s="3237" t="s">
        <v>4473</v>
      </c>
      <c r="C626" s="3237" t="s">
        <v>3848</v>
      </c>
      <c r="D626" s="3237" t="s">
        <v>4459</v>
      </c>
      <c r="E626" s="3237" t="s">
        <v>4460</v>
      </c>
      <c r="F626" s="3237" t="s">
        <v>4474</v>
      </c>
      <c r="G626" s="3237" t="s">
        <v>3660</v>
      </c>
      <c r="H626" s="3237" t="s">
        <v>3219</v>
      </c>
      <c r="I626" s="3236" t="s">
        <v>4462</v>
      </c>
      <c r="J626" s="3236">
        <v>29.09</v>
      </c>
    </row>
    <row r="627" spans="1:10" ht="11.25" customHeight="1">
      <c r="A627" s="3363" t="s">
        <v>4994</v>
      </c>
      <c r="B627" s="3237" t="s">
        <v>4473</v>
      </c>
      <c r="C627" s="3237" t="s">
        <v>3849</v>
      </c>
      <c r="D627" s="3237" t="s">
        <v>4459</v>
      </c>
      <c r="E627" s="3237" t="s">
        <v>4460</v>
      </c>
      <c r="F627" s="3237" t="s">
        <v>4474</v>
      </c>
      <c r="G627" s="3237" t="s">
        <v>3660</v>
      </c>
      <c r="H627" s="3237" t="s">
        <v>3219</v>
      </c>
      <c r="I627" s="3236" t="s">
        <v>4462</v>
      </c>
      <c r="J627" s="3236">
        <v>29.09</v>
      </c>
    </row>
    <row r="628" spans="1:10" ht="11.25" customHeight="1">
      <c r="A628" s="3363" t="s">
        <v>4995</v>
      </c>
      <c r="B628" s="3237" t="s">
        <v>4473</v>
      </c>
      <c r="C628" s="3237" t="s">
        <v>3850</v>
      </c>
      <c r="D628" s="3237" t="s">
        <v>4459</v>
      </c>
      <c r="E628" s="3237" t="s">
        <v>4460</v>
      </c>
      <c r="F628" s="3237" t="s">
        <v>4474</v>
      </c>
      <c r="G628" s="3237" t="s">
        <v>3660</v>
      </c>
      <c r="H628" s="3237" t="s">
        <v>3219</v>
      </c>
      <c r="I628" s="3236" t="s">
        <v>4462</v>
      </c>
      <c r="J628" s="3236">
        <v>29.09</v>
      </c>
    </row>
    <row r="629" spans="1:10" ht="11.25" customHeight="1">
      <c r="A629" s="3363" t="s">
        <v>4996</v>
      </c>
      <c r="B629" s="3237" t="s">
        <v>4473</v>
      </c>
      <c r="C629" s="3237" t="s">
        <v>3851</v>
      </c>
      <c r="D629" s="3237" t="s">
        <v>4459</v>
      </c>
      <c r="E629" s="3237" t="s">
        <v>4460</v>
      </c>
      <c r="F629" s="3237" t="s">
        <v>4474</v>
      </c>
      <c r="G629" s="3237" t="s">
        <v>3660</v>
      </c>
      <c r="H629" s="3237" t="s">
        <v>3219</v>
      </c>
      <c r="I629" s="3236" t="s">
        <v>4462</v>
      </c>
      <c r="J629" s="3236">
        <v>29.09</v>
      </c>
    </row>
    <row r="630" spans="1:10" ht="11.25" customHeight="1">
      <c r="A630" s="3363" t="s">
        <v>4997</v>
      </c>
      <c r="B630" s="3237" t="s">
        <v>4473</v>
      </c>
      <c r="C630" s="3237" t="s">
        <v>3852</v>
      </c>
      <c r="D630" s="3237" t="s">
        <v>4459</v>
      </c>
      <c r="E630" s="3237" t="s">
        <v>4460</v>
      </c>
      <c r="F630" s="3237" t="s">
        <v>4474</v>
      </c>
      <c r="G630" s="3237" t="s">
        <v>3660</v>
      </c>
      <c r="H630" s="3237" t="s">
        <v>3219</v>
      </c>
      <c r="I630" s="3236" t="s">
        <v>4462</v>
      </c>
      <c r="J630" s="3236">
        <v>29.09</v>
      </c>
    </row>
    <row r="631" spans="1:10" ht="11.25" customHeight="1">
      <c r="A631" s="3363" t="s">
        <v>4998</v>
      </c>
      <c r="B631" s="3237" t="s">
        <v>4473</v>
      </c>
      <c r="C631" s="3237" t="s">
        <v>3853</v>
      </c>
      <c r="D631" s="3237" t="s">
        <v>4459</v>
      </c>
      <c r="E631" s="3237" t="s">
        <v>4460</v>
      </c>
      <c r="F631" s="3237" t="s">
        <v>4474</v>
      </c>
      <c r="G631" s="3237" t="s">
        <v>3660</v>
      </c>
      <c r="H631" s="3237" t="s">
        <v>3219</v>
      </c>
      <c r="I631" s="3236" t="s">
        <v>4462</v>
      </c>
      <c r="J631" s="3236">
        <v>29.09</v>
      </c>
    </row>
    <row r="632" spans="1:10" ht="11.25" customHeight="1">
      <c r="A632" s="3363" t="s">
        <v>4999</v>
      </c>
      <c r="B632" s="3237" t="s">
        <v>4473</v>
      </c>
      <c r="C632" s="3237" t="s">
        <v>3854</v>
      </c>
      <c r="D632" s="3237" t="s">
        <v>4459</v>
      </c>
      <c r="E632" s="3237" t="s">
        <v>4460</v>
      </c>
      <c r="F632" s="3237" t="s">
        <v>4474</v>
      </c>
      <c r="G632" s="3237" t="s">
        <v>3660</v>
      </c>
      <c r="H632" s="3237" t="s">
        <v>3219</v>
      </c>
      <c r="I632" s="3236" t="s">
        <v>4462</v>
      </c>
      <c r="J632" s="3236">
        <v>29.09</v>
      </c>
    </row>
    <row r="633" spans="1:10" ht="11.25" customHeight="1">
      <c r="A633" s="3363" t="s">
        <v>5000</v>
      </c>
      <c r="B633" s="3237" t="s">
        <v>4473</v>
      </c>
      <c r="C633" s="3237" t="s">
        <v>3855</v>
      </c>
      <c r="D633" s="3237" t="s">
        <v>4459</v>
      </c>
      <c r="E633" s="3237" t="s">
        <v>4460</v>
      </c>
      <c r="F633" s="3237" t="s">
        <v>4474</v>
      </c>
      <c r="G633" s="3237" t="s">
        <v>3660</v>
      </c>
      <c r="H633" s="3237" t="s">
        <v>3219</v>
      </c>
      <c r="I633" s="3236" t="s">
        <v>4462</v>
      </c>
      <c r="J633" s="3236">
        <v>29.09</v>
      </c>
    </row>
    <row r="634" spans="1:10" ht="11.25" customHeight="1">
      <c r="A634" s="3363" t="s">
        <v>5001</v>
      </c>
      <c r="B634" s="3237" t="s">
        <v>4473</v>
      </c>
      <c r="C634" s="3237" t="s">
        <v>3856</v>
      </c>
      <c r="D634" s="3237" t="s">
        <v>4459</v>
      </c>
      <c r="E634" s="3237" t="s">
        <v>4460</v>
      </c>
      <c r="F634" s="3237" t="s">
        <v>4474</v>
      </c>
      <c r="G634" s="3237" t="s">
        <v>3660</v>
      </c>
      <c r="H634" s="3237" t="s">
        <v>3219</v>
      </c>
      <c r="I634" s="3236" t="s">
        <v>4462</v>
      </c>
      <c r="J634" s="3236">
        <v>29.09</v>
      </c>
    </row>
    <row r="635" spans="1:10" ht="11.25" customHeight="1">
      <c r="A635" s="3363" t="s">
        <v>5002</v>
      </c>
      <c r="B635" s="3237" t="s">
        <v>4473</v>
      </c>
      <c r="C635" s="3237" t="s">
        <v>3857</v>
      </c>
      <c r="D635" s="3237" t="s">
        <v>4459</v>
      </c>
      <c r="E635" s="3237" t="s">
        <v>4460</v>
      </c>
      <c r="F635" s="3237" t="s">
        <v>4474</v>
      </c>
      <c r="G635" s="3237" t="s">
        <v>3660</v>
      </c>
      <c r="H635" s="3237" t="s">
        <v>3219</v>
      </c>
      <c r="I635" s="3236" t="s">
        <v>4462</v>
      </c>
      <c r="J635" s="3236">
        <v>29.09</v>
      </c>
    </row>
    <row r="636" spans="1:10" ht="11.25" customHeight="1">
      <c r="A636" s="3363" t="s">
        <v>5003</v>
      </c>
      <c r="B636" s="3237" t="s">
        <v>4473</v>
      </c>
      <c r="C636" s="3237" t="s">
        <v>3858</v>
      </c>
      <c r="D636" s="3237" t="s">
        <v>4459</v>
      </c>
      <c r="E636" s="3237" t="s">
        <v>4460</v>
      </c>
      <c r="F636" s="3237" t="s">
        <v>4474</v>
      </c>
      <c r="G636" s="3237" t="s">
        <v>3660</v>
      </c>
      <c r="H636" s="3237" t="s">
        <v>3219</v>
      </c>
      <c r="I636" s="3236" t="s">
        <v>4462</v>
      </c>
      <c r="J636" s="3236">
        <v>29.09</v>
      </c>
    </row>
    <row r="637" spans="1:10" ht="11.25" customHeight="1">
      <c r="A637" s="3363" t="s">
        <v>5004</v>
      </c>
      <c r="B637" s="3237" t="s">
        <v>4473</v>
      </c>
      <c r="C637" s="3237" t="s">
        <v>3859</v>
      </c>
      <c r="D637" s="3237" t="s">
        <v>4459</v>
      </c>
      <c r="E637" s="3237" t="s">
        <v>4460</v>
      </c>
      <c r="F637" s="3237" t="s">
        <v>4474</v>
      </c>
      <c r="G637" s="3237" t="s">
        <v>3660</v>
      </c>
      <c r="H637" s="3237" t="s">
        <v>3219</v>
      </c>
      <c r="I637" s="3236" t="s">
        <v>4462</v>
      </c>
      <c r="J637" s="3236">
        <v>29.09</v>
      </c>
    </row>
    <row r="638" spans="1:10" ht="11.25" customHeight="1">
      <c r="A638" s="3363" t="s">
        <v>5005</v>
      </c>
      <c r="B638" s="3237" t="s">
        <v>4473</v>
      </c>
      <c r="C638" s="3237" t="s">
        <v>3860</v>
      </c>
      <c r="D638" s="3237" t="s">
        <v>4459</v>
      </c>
      <c r="E638" s="3237" t="s">
        <v>4460</v>
      </c>
      <c r="F638" s="3237" t="s">
        <v>4474</v>
      </c>
      <c r="G638" s="3237" t="s">
        <v>3660</v>
      </c>
      <c r="H638" s="3237" t="s">
        <v>3219</v>
      </c>
      <c r="I638" s="3236" t="s">
        <v>4462</v>
      </c>
      <c r="J638" s="3236">
        <v>29.09</v>
      </c>
    </row>
    <row r="639" spans="1:10" ht="11.25" customHeight="1">
      <c r="A639" s="3363" t="s">
        <v>5006</v>
      </c>
      <c r="B639" s="3237" t="s">
        <v>4473</v>
      </c>
      <c r="C639" s="3237" t="s">
        <v>3861</v>
      </c>
      <c r="D639" s="3237" t="s">
        <v>4459</v>
      </c>
      <c r="E639" s="3237" t="s">
        <v>4460</v>
      </c>
      <c r="F639" s="3237" t="s">
        <v>4474</v>
      </c>
      <c r="G639" s="3237" t="s">
        <v>3660</v>
      </c>
      <c r="H639" s="3237" t="s">
        <v>3219</v>
      </c>
      <c r="I639" s="3236" t="s">
        <v>4462</v>
      </c>
      <c r="J639" s="3236">
        <v>29.09</v>
      </c>
    </row>
    <row r="640" spans="1:10" ht="11.25" customHeight="1">
      <c r="A640" s="3363" t="s">
        <v>5007</v>
      </c>
      <c r="B640" s="3237" t="s">
        <v>4473</v>
      </c>
      <c r="C640" s="3237" t="s">
        <v>3862</v>
      </c>
      <c r="D640" s="3237" t="s">
        <v>4459</v>
      </c>
      <c r="E640" s="3237" t="s">
        <v>4460</v>
      </c>
      <c r="F640" s="3237" t="s">
        <v>4474</v>
      </c>
      <c r="G640" s="3237" t="s">
        <v>3660</v>
      </c>
      <c r="H640" s="3237" t="s">
        <v>3219</v>
      </c>
      <c r="I640" s="3236" t="s">
        <v>4462</v>
      </c>
      <c r="J640" s="3236">
        <v>29.09</v>
      </c>
    </row>
    <row r="641" spans="1:10" ht="11.25" customHeight="1">
      <c r="A641" s="3363" t="s">
        <v>5008</v>
      </c>
      <c r="B641" s="3237" t="s">
        <v>4473</v>
      </c>
      <c r="C641" s="3237" t="s">
        <v>3863</v>
      </c>
      <c r="D641" s="3237" t="s">
        <v>4459</v>
      </c>
      <c r="E641" s="3237" t="s">
        <v>4460</v>
      </c>
      <c r="F641" s="3237" t="s">
        <v>4474</v>
      </c>
      <c r="G641" s="3237" t="s">
        <v>3660</v>
      </c>
      <c r="H641" s="3237" t="s">
        <v>3219</v>
      </c>
      <c r="I641" s="3236" t="s">
        <v>4462</v>
      </c>
      <c r="J641" s="3236">
        <v>29.09</v>
      </c>
    </row>
    <row r="642" spans="1:10" ht="11.25" customHeight="1">
      <c r="A642" s="3363" t="s">
        <v>5009</v>
      </c>
      <c r="B642" s="3237" t="s">
        <v>4473</v>
      </c>
      <c r="C642" s="3237" t="s">
        <v>3864</v>
      </c>
      <c r="D642" s="3237" t="s">
        <v>4459</v>
      </c>
      <c r="E642" s="3237" t="s">
        <v>4460</v>
      </c>
      <c r="F642" s="3237" t="s">
        <v>4474</v>
      </c>
      <c r="G642" s="3237" t="s">
        <v>3660</v>
      </c>
      <c r="H642" s="3237" t="s">
        <v>3219</v>
      </c>
      <c r="I642" s="3236" t="s">
        <v>4462</v>
      </c>
      <c r="J642" s="3236">
        <v>29.09</v>
      </c>
    </row>
    <row r="643" spans="1:10" ht="11.25" customHeight="1">
      <c r="A643" s="3363" t="s">
        <v>5010</v>
      </c>
      <c r="B643" s="3237" t="s">
        <v>4473</v>
      </c>
      <c r="C643" s="3237" t="s">
        <v>3865</v>
      </c>
      <c r="D643" s="3237" t="s">
        <v>4459</v>
      </c>
      <c r="E643" s="3237" t="s">
        <v>4460</v>
      </c>
      <c r="F643" s="3237" t="s">
        <v>4474</v>
      </c>
      <c r="G643" s="3237" t="s">
        <v>3660</v>
      </c>
      <c r="H643" s="3237" t="s">
        <v>3219</v>
      </c>
      <c r="I643" s="3236" t="s">
        <v>4462</v>
      </c>
      <c r="J643" s="3236">
        <v>29.09</v>
      </c>
    </row>
    <row r="644" spans="1:10" ht="11.25" customHeight="1">
      <c r="A644" s="3363" t="s">
        <v>5011</v>
      </c>
      <c r="B644" s="3237" t="s">
        <v>4473</v>
      </c>
      <c r="C644" s="3237" t="s">
        <v>3866</v>
      </c>
      <c r="D644" s="3237" t="s">
        <v>4459</v>
      </c>
      <c r="E644" s="3237" t="s">
        <v>4460</v>
      </c>
      <c r="F644" s="3237" t="s">
        <v>4474</v>
      </c>
      <c r="G644" s="3237" t="s">
        <v>3660</v>
      </c>
      <c r="H644" s="3237" t="s">
        <v>3219</v>
      </c>
      <c r="I644" s="3236" t="s">
        <v>4462</v>
      </c>
      <c r="J644" s="3236">
        <v>29.09</v>
      </c>
    </row>
    <row r="645" spans="1:10" ht="11.25" customHeight="1">
      <c r="A645" s="3363" t="s">
        <v>5012</v>
      </c>
      <c r="B645" s="3237" t="s">
        <v>4473</v>
      </c>
      <c r="C645" s="3237" t="s">
        <v>3867</v>
      </c>
      <c r="D645" s="3237" t="s">
        <v>4459</v>
      </c>
      <c r="E645" s="3237" t="s">
        <v>4460</v>
      </c>
      <c r="F645" s="3237" t="s">
        <v>4474</v>
      </c>
      <c r="G645" s="3237" t="s">
        <v>3660</v>
      </c>
      <c r="H645" s="3237" t="s">
        <v>3219</v>
      </c>
      <c r="I645" s="3236" t="s">
        <v>4462</v>
      </c>
      <c r="J645" s="3236">
        <v>29.09</v>
      </c>
    </row>
    <row r="646" spans="1:10" ht="11.25" customHeight="1">
      <c r="A646" s="3363" t="s">
        <v>5013</v>
      </c>
      <c r="B646" s="3237" t="s">
        <v>4473</v>
      </c>
      <c r="C646" s="3237" t="s">
        <v>3868</v>
      </c>
      <c r="D646" s="3237" t="s">
        <v>4459</v>
      </c>
      <c r="E646" s="3237" t="s">
        <v>4460</v>
      </c>
      <c r="F646" s="3237" t="s">
        <v>4474</v>
      </c>
      <c r="G646" s="3237" t="s">
        <v>3660</v>
      </c>
      <c r="H646" s="3237" t="s">
        <v>3219</v>
      </c>
      <c r="I646" s="3236" t="s">
        <v>4462</v>
      </c>
      <c r="J646" s="3236">
        <v>29.09</v>
      </c>
    </row>
    <row r="647" spans="1:10" ht="11.25" customHeight="1">
      <c r="A647" s="3363" t="s">
        <v>5014</v>
      </c>
      <c r="B647" s="3237" t="s">
        <v>4473</v>
      </c>
      <c r="C647" s="3237" t="s">
        <v>3869</v>
      </c>
      <c r="D647" s="3237" t="s">
        <v>4459</v>
      </c>
      <c r="E647" s="3237" t="s">
        <v>4460</v>
      </c>
      <c r="F647" s="3237" t="s">
        <v>4474</v>
      </c>
      <c r="G647" s="3237" t="s">
        <v>3660</v>
      </c>
      <c r="H647" s="3237" t="s">
        <v>3219</v>
      </c>
      <c r="I647" s="3236" t="s">
        <v>4462</v>
      </c>
      <c r="J647" s="3236">
        <v>29.09</v>
      </c>
    </row>
    <row r="648" spans="1:10" ht="11.25" customHeight="1">
      <c r="A648" s="3363" t="s">
        <v>5015</v>
      </c>
      <c r="B648" s="3237" t="s">
        <v>4473</v>
      </c>
      <c r="C648" s="3237" t="s">
        <v>3870</v>
      </c>
      <c r="D648" s="3237" t="s">
        <v>4459</v>
      </c>
      <c r="E648" s="3237" t="s">
        <v>4460</v>
      </c>
      <c r="F648" s="3237" t="s">
        <v>4474</v>
      </c>
      <c r="G648" s="3237" t="s">
        <v>3660</v>
      </c>
      <c r="H648" s="3237" t="s">
        <v>3219</v>
      </c>
      <c r="I648" s="3236" t="s">
        <v>4462</v>
      </c>
      <c r="J648" s="3236">
        <v>29.09</v>
      </c>
    </row>
    <row r="649" spans="1:10" ht="11.25" customHeight="1">
      <c r="A649" s="3363" t="s">
        <v>5016</v>
      </c>
      <c r="B649" s="3237" t="s">
        <v>4473</v>
      </c>
      <c r="C649" s="3237" t="s">
        <v>3871</v>
      </c>
      <c r="D649" s="3237" t="s">
        <v>4459</v>
      </c>
      <c r="E649" s="3237" t="s">
        <v>4460</v>
      </c>
      <c r="F649" s="3237" t="s">
        <v>4474</v>
      </c>
      <c r="G649" s="3237" t="s">
        <v>3660</v>
      </c>
      <c r="H649" s="3237" t="s">
        <v>3219</v>
      </c>
      <c r="I649" s="3236" t="s">
        <v>4462</v>
      </c>
      <c r="J649" s="3236">
        <v>29.09</v>
      </c>
    </row>
    <row r="650" spans="1:10" ht="11.25" customHeight="1">
      <c r="A650" s="3363" t="s">
        <v>5017</v>
      </c>
      <c r="B650" s="3237" t="s">
        <v>4473</v>
      </c>
      <c r="C650" s="3237" t="s">
        <v>3872</v>
      </c>
      <c r="D650" s="3237" t="s">
        <v>4459</v>
      </c>
      <c r="E650" s="3237" t="s">
        <v>4460</v>
      </c>
      <c r="F650" s="3237" t="s">
        <v>4474</v>
      </c>
      <c r="G650" s="3237" t="s">
        <v>3660</v>
      </c>
      <c r="H650" s="3237" t="s">
        <v>3219</v>
      </c>
      <c r="I650" s="3236" t="s">
        <v>4462</v>
      </c>
      <c r="J650" s="3236">
        <v>29.09</v>
      </c>
    </row>
    <row r="651" spans="1:10" ht="11.25" customHeight="1">
      <c r="A651" s="3363" t="s">
        <v>5018</v>
      </c>
      <c r="B651" s="3237" t="s">
        <v>4473</v>
      </c>
      <c r="C651" s="3237" t="s">
        <v>3873</v>
      </c>
      <c r="D651" s="3237" t="s">
        <v>4459</v>
      </c>
      <c r="E651" s="3237" t="s">
        <v>4460</v>
      </c>
      <c r="F651" s="3237" t="s">
        <v>4474</v>
      </c>
      <c r="G651" s="3237" t="s">
        <v>3660</v>
      </c>
      <c r="H651" s="3237" t="s">
        <v>3219</v>
      </c>
      <c r="I651" s="3236" t="s">
        <v>4462</v>
      </c>
      <c r="J651" s="3236">
        <v>29.09</v>
      </c>
    </row>
    <row r="652" spans="1:10" ht="11.25" customHeight="1">
      <c r="A652" s="3363" t="s">
        <v>5019</v>
      </c>
      <c r="B652" s="3237" t="s">
        <v>4473</v>
      </c>
      <c r="C652" s="3237" t="s">
        <v>3874</v>
      </c>
      <c r="D652" s="3237" t="s">
        <v>4459</v>
      </c>
      <c r="E652" s="3237" t="s">
        <v>4460</v>
      </c>
      <c r="F652" s="3237" t="s">
        <v>4474</v>
      </c>
      <c r="G652" s="3237" t="s">
        <v>3660</v>
      </c>
      <c r="H652" s="3237" t="s">
        <v>3219</v>
      </c>
      <c r="I652" s="3236" t="s">
        <v>4462</v>
      </c>
      <c r="J652" s="3236">
        <v>29.09</v>
      </c>
    </row>
    <row r="653" spans="1:10" ht="11.25" customHeight="1">
      <c r="A653" s="3363" t="s">
        <v>5020</v>
      </c>
      <c r="B653" s="3237" t="s">
        <v>4473</v>
      </c>
      <c r="C653" s="3237" t="s">
        <v>3875</v>
      </c>
      <c r="D653" s="3237" t="s">
        <v>4459</v>
      </c>
      <c r="E653" s="3237" t="s">
        <v>4460</v>
      </c>
      <c r="F653" s="3237" t="s">
        <v>4474</v>
      </c>
      <c r="G653" s="3237" t="s">
        <v>3660</v>
      </c>
      <c r="H653" s="3237" t="s">
        <v>3219</v>
      </c>
      <c r="I653" s="3236" t="s">
        <v>4462</v>
      </c>
      <c r="J653" s="3236">
        <v>29.09</v>
      </c>
    </row>
    <row r="654" spans="1:10" ht="11.25" customHeight="1">
      <c r="A654" s="3363" t="s">
        <v>5021</v>
      </c>
      <c r="B654" s="3237" t="s">
        <v>4473</v>
      </c>
      <c r="C654" s="3237" t="s">
        <v>3876</v>
      </c>
      <c r="D654" s="3237" t="s">
        <v>4459</v>
      </c>
      <c r="E654" s="3237" t="s">
        <v>4460</v>
      </c>
      <c r="F654" s="3237" t="s">
        <v>4474</v>
      </c>
      <c r="G654" s="3237" t="s">
        <v>3660</v>
      </c>
      <c r="H654" s="3237" t="s">
        <v>3219</v>
      </c>
      <c r="I654" s="3236" t="s">
        <v>4462</v>
      </c>
      <c r="J654" s="3236">
        <v>29.09</v>
      </c>
    </row>
    <row r="655" spans="1:10" ht="11.25" customHeight="1">
      <c r="A655" s="3363" t="s">
        <v>5022</v>
      </c>
      <c r="B655" s="3237" t="s">
        <v>4473</v>
      </c>
      <c r="C655" s="3237" t="s">
        <v>3877</v>
      </c>
      <c r="D655" s="3237" t="s">
        <v>4459</v>
      </c>
      <c r="E655" s="3237" t="s">
        <v>4460</v>
      </c>
      <c r="F655" s="3237" t="s">
        <v>4474</v>
      </c>
      <c r="G655" s="3237" t="s">
        <v>3660</v>
      </c>
      <c r="H655" s="3237" t="s">
        <v>3219</v>
      </c>
      <c r="I655" s="3236" t="s">
        <v>4462</v>
      </c>
      <c r="J655" s="3236">
        <v>29.09</v>
      </c>
    </row>
    <row r="656" spans="1:10" ht="11.25" customHeight="1">
      <c r="A656" s="3363" t="s">
        <v>5023</v>
      </c>
      <c r="B656" s="3237" t="s">
        <v>4473</v>
      </c>
      <c r="C656" s="3237" t="s">
        <v>3878</v>
      </c>
      <c r="D656" s="3237" t="s">
        <v>4459</v>
      </c>
      <c r="E656" s="3237" t="s">
        <v>4460</v>
      </c>
      <c r="F656" s="3237" t="s">
        <v>4474</v>
      </c>
      <c r="G656" s="3237" t="s">
        <v>3660</v>
      </c>
      <c r="H656" s="3237" t="s">
        <v>3219</v>
      </c>
      <c r="I656" s="3236" t="s">
        <v>4462</v>
      </c>
      <c r="J656" s="3236">
        <v>29.09</v>
      </c>
    </row>
    <row r="657" spans="1:10" ht="11.25" customHeight="1">
      <c r="A657" s="3363" t="s">
        <v>5024</v>
      </c>
      <c r="B657" s="3237" t="s">
        <v>4473</v>
      </c>
      <c r="C657" s="3237" t="s">
        <v>3879</v>
      </c>
      <c r="D657" s="3237" t="s">
        <v>4459</v>
      </c>
      <c r="E657" s="3237" t="s">
        <v>4460</v>
      </c>
      <c r="F657" s="3237" t="s">
        <v>4474</v>
      </c>
      <c r="G657" s="3237" t="s">
        <v>3660</v>
      </c>
      <c r="H657" s="3237" t="s">
        <v>3219</v>
      </c>
      <c r="I657" s="3236" t="s">
        <v>4462</v>
      </c>
      <c r="J657" s="3236">
        <v>29.09</v>
      </c>
    </row>
    <row r="658" spans="1:10" ht="11.25" customHeight="1">
      <c r="A658" s="3363" t="s">
        <v>5025</v>
      </c>
      <c r="B658" s="3237" t="s">
        <v>4473</v>
      </c>
      <c r="C658" s="3237" t="s">
        <v>3880</v>
      </c>
      <c r="D658" s="3237" t="s">
        <v>4459</v>
      </c>
      <c r="E658" s="3237" t="s">
        <v>4460</v>
      </c>
      <c r="F658" s="3237" t="s">
        <v>4474</v>
      </c>
      <c r="G658" s="3237" t="s">
        <v>3660</v>
      </c>
      <c r="H658" s="3237" t="s">
        <v>3219</v>
      </c>
      <c r="I658" s="3236" t="s">
        <v>4462</v>
      </c>
      <c r="J658" s="3236">
        <v>29.09</v>
      </c>
    </row>
    <row r="659" spans="1:10" ht="11.25" customHeight="1">
      <c r="A659" s="3363" t="s">
        <v>5026</v>
      </c>
      <c r="B659" s="3237" t="s">
        <v>4473</v>
      </c>
      <c r="C659" s="3237" t="s">
        <v>3881</v>
      </c>
      <c r="D659" s="3237" t="s">
        <v>4459</v>
      </c>
      <c r="E659" s="3237" t="s">
        <v>4460</v>
      </c>
      <c r="F659" s="3237" t="s">
        <v>4474</v>
      </c>
      <c r="G659" s="3237" t="s">
        <v>3660</v>
      </c>
      <c r="H659" s="3237" t="s">
        <v>3219</v>
      </c>
      <c r="I659" s="3236" t="s">
        <v>4462</v>
      </c>
      <c r="J659" s="3236">
        <v>29.09</v>
      </c>
    </row>
    <row r="660" spans="1:10" ht="11.25" customHeight="1">
      <c r="A660" s="3363" t="s">
        <v>5027</v>
      </c>
      <c r="B660" s="3237" t="s">
        <v>4473</v>
      </c>
      <c r="C660" s="3237" t="s">
        <v>3882</v>
      </c>
      <c r="D660" s="3237" t="s">
        <v>4459</v>
      </c>
      <c r="E660" s="3237" t="s">
        <v>4460</v>
      </c>
      <c r="F660" s="3237" t="s">
        <v>4474</v>
      </c>
      <c r="G660" s="3237" t="s">
        <v>3660</v>
      </c>
      <c r="H660" s="3237" t="s">
        <v>3219</v>
      </c>
      <c r="I660" s="3236" t="s">
        <v>4462</v>
      </c>
      <c r="J660" s="3236">
        <v>29.09</v>
      </c>
    </row>
    <row r="661" spans="1:10" ht="11.25" customHeight="1">
      <c r="A661" s="3363" t="s">
        <v>5028</v>
      </c>
      <c r="B661" s="3237" t="s">
        <v>4473</v>
      </c>
      <c r="C661" s="3237" t="s">
        <v>3883</v>
      </c>
      <c r="D661" s="3237" t="s">
        <v>4459</v>
      </c>
      <c r="E661" s="3237" t="s">
        <v>4460</v>
      </c>
      <c r="F661" s="3237" t="s">
        <v>4474</v>
      </c>
      <c r="G661" s="3237" t="s">
        <v>3660</v>
      </c>
      <c r="H661" s="3237" t="s">
        <v>3219</v>
      </c>
      <c r="I661" s="3236" t="s">
        <v>4462</v>
      </c>
      <c r="J661" s="3236">
        <v>29.09</v>
      </c>
    </row>
    <row r="662" spans="1:10" ht="11.25" customHeight="1">
      <c r="A662" s="3363" t="s">
        <v>5029</v>
      </c>
      <c r="B662" s="3237" t="s">
        <v>4473</v>
      </c>
      <c r="C662" s="3237" t="s">
        <v>3884</v>
      </c>
      <c r="D662" s="3237" t="s">
        <v>4459</v>
      </c>
      <c r="E662" s="3237" t="s">
        <v>4460</v>
      </c>
      <c r="F662" s="3237" t="s">
        <v>4474</v>
      </c>
      <c r="G662" s="3237" t="s">
        <v>3660</v>
      </c>
      <c r="H662" s="3237" t="s">
        <v>3219</v>
      </c>
      <c r="I662" s="3236" t="s">
        <v>4462</v>
      </c>
      <c r="J662" s="3236">
        <v>29.09</v>
      </c>
    </row>
    <row r="663" spans="1:10" ht="11.25" customHeight="1">
      <c r="A663" s="3363" t="s">
        <v>5030</v>
      </c>
      <c r="B663" s="3237" t="s">
        <v>4473</v>
      </c>
      <c r="C663" s="3237" t="s">
        <v>3885</v>
      </c>
      <c r="D663" s="3237" t="s">
        <v>4459</v>
      </c>
      <c r="E663" s="3237" t="s">
        <v>4460</v>
      </c>
      <c r="F663" s="3237" t="s">
        <v>4474</v>
      </c>
      <c r="G663" s="3237" t="s">
        <v>3660</v>
      </c>
      <c r="H663" s="3237" t="s">
        <v>3219</v>
      </c>
      <c r="I663" s="3236" t="s">
        <v>4462</v>
      </c>
      <c r="J663" s="3236">
        <v>29.09</v>
      </c>
    </row>
    <row r="664" spans="1:10" ht="11.25" customHeight="1">
      <c r="A664" s="3363" t="s">
        <v>5031</v>
      </c>
      <c r="B664" s="3237" t="s">
        <v>4473</v>
      </c>
      <c r="C664" s="3237" t="s">
        <v>3886</v>
      </c>
      <c r="D664" s="3237" t="s">
        <v>4459</v>
      </c>
      <c r="E664" s="3237" t="s">
        <v>4460</v>
      </c>
      <c r="F664" s="3237" t="s">
        <v>4474</v>
      </c>
      <c r="G664" s="3237" t="s">
        <v>3660</v>
      </c>
      <c r="H664" s="3237" t="s">
        <v>3219</v>
      </c>
      <c r="I664" s="3236" t="s">
        <v>4462</v>
      </c>
      <c r="J664" s="3236">
        <v>29.09</v>
      </c>
    </row>
    <row r="665" spans="1:10" ht="11.25" customHeight="1">
      <c r="A665" s="3363" t="s">
        <v>5032</v>
      </c>
      <c r="B665" s="3237" t="s">
        <v>4473</v>
      </c>
      <c r="C665" s="3237" t="s">
        <v>3887</v>
      </c>
      <c r="D665" s="3237" t="s">
        <v>4459</v>
      </c>
      <c r="E665" s="3237" t="s">
        <v>4460</v>
      </c>
      <c r="F665" s="3237" t="s">
        <v>4474</v>
      </c>
      <c r="G665" s="3237" t="s">
        <v>3660</v>
      </c>
      <c r="H665" s="3237" t="s">
        <v>3219</v>
      </c>
      <c r="I665" s="3236" t="s">
        <v>4462</v>
      </c>
      <c r="J665" s="3236">
        <v>29.09</v>
      </c>
    </row>
    <row r="666" spans="1:10" ht="11.25" customHeight="1">
      <c r="A666" s="3363" t="s">
        <v>5033</v>
      </c>
      <c r="B666" s="3237" t="s">
        <v>4473</v>
      </c>
      <c r="C666" s="3237" t="s">
        <v>3888</v>
      </c>
      <c r="D666" s="3237" t="s">
        <v>4459</v>
      </c>
      <c r="E666" s="3237" t="s">
        <v>4460</v>
      </c>
      <c r="F666" s="3237" t="s">
        <v>4474</v>
      </c>
      <c r="G666" s="3237" t="s">
        <v>3660</v>
      </c>
      <c r="H666" s="3237" t="s">
        <v>3219</v>
      </c>
      <c r="I666" s="3236" t="s">
        <v>4462</v>
      </c>
      <c r="J666" s="3236">
        <v>29.09</v>
      </c>
    </row>
    <row r="667" spans="1:10" ht="11.25" customHeight="1">
      <c r="A667" s="3363" t="s">
        <v>5034</v>
      </c>
      <c r="B667" s="3237" t="s">
        <v>4473</v>
      </c>
      <c r="C667" s="3237" t="s">
        <v>3889</v>
      </c>
      <c r="D667" s="3237" t="s">
        <v>4459</v>
      </c>
      <c r="E667" s="3237" t="s">
        <v>4460</v>
      </c>
      <c r="F667" s="3237" t="s">
        <v>4474</v>
      </c>
      <c r="G667" s="3237" t="s">
        <v>3660</v>
      </c>
      <c r="H667" s="3237" t="s">
        <v>3219</v>
      </c>
      <c r="I667" s="3236" t="s">
        <v>4462</v>
      </c>
      <c r="J667" s="3236">
        <v>29.09</v>
      </c>
    </row>
    <row r="668" spans="1:10" ht="11.25" customHeight="1">
      <c r="A668" s="3363" t="s">
        <v>5035</v>
      </c>
      <c r="B668" s="3237" t="s">
        <v>4473</v>
      </c>
      <c r="C668" s="3237" t="s">
        <v>3890</v>
      </c>
      <c r="D668" s="3237" t="s">
        <v>4459</v>
      </c>
      <c r="E668" s="3237" t="s">
        <v>4460</v>
      </c>
      <c r="F668" s="3237" t="s">
        <v>4474</v>
      </c>
      <c r="G668" s="3237" t="s">
        <v>3660</v>
      </c>
      <c r="H668" s="3237" t="s">
        <v>3219</v>
      </c>
      <c r="I668" s="3236" t="s">
        <v>4462</v>
      </c>
      <c r="J668" s="3236">
        <v>29.09</v>
      </c>
    </row>
    <row r="669" spans="1:10" ht="11.25" customHeight="1">
      <c r="A669" s="3363" t="s">
        <v>5036</v>
      </c>
      <c r="B669" s="3237" t="s">
        <v>4473</v>
      </c>
      <c r="C669" s="3237" t="s">
        <v>3891</v>
      </c>
      <c r="D669" s="3237" t="s">
        <v>4459</v>
      </c>
      <c r="E669" s="3237" t="s">
        <v>4460</v>
      </c>
      <c r="F669" s="3237" t="s">
        <v>4474</v>
      </c>
      <c r="G669" s="3237" t="s">
        <v>3660</v>
      </c>
      <c r="H669" s="3237" t="s">
        <v>3219</v>
      </c>
      <c r="I669" s="3236" t="s">
        <v>4462</v>
      </c>
      <c r="J669" s="3236">
        <v>29.09</v>
      </c>
    </row>
    <row r="670" spans="1:10" ht="11.25" customHeight="1">
      <c r="A670" s="3363" t="s">
        <v>5037</v>
      </c>
      <c r="B670" s="3237" t="s">
        <v>4473</v>
      </c>
      <c r="C670" s="3237" t="s">
        <v>3892</v>
      </c>
      <c r="D670" s="3237" t="s">
        <v>4459</v>
      </c>
      <c r="E670" s="3237" t="s">
        <v>4460</v>
      </c>
      <c r="F670" s="3237" t="s">
        <v>4474</v>
      </c>
      <c r="G670" s="3237" t="s">
        <v>3660</v>
      </c>
      <c r="H670" s="3237" t="s">
        <v>3219</v>
      </c>
      <c r="I670" s="3236" t="s">
        <v>4462</v>
      </c>
      <c r="J670" s="3236">
        <v>29.09</v>
      </c>
    </row>
    <row r="671" spans="1:10" ht="11.25" customHeight="1">
      <c r="A671" s="3363" t="s">
        <v>5038</v>
      </c>
      <c r="B671" s="3237" t="s">
        <v>4473</v>
      </c>
      <c r="C671" s="3237" t="s">
        <v>3893</v>
      </c>
      <c r="D671" s="3237" t="s">
        <v>4459</v>
      </c>
      <c r="E671" s="3237" t="s">
        <v>4460</v>
      </c>
      <c r="F671" s="3237" t="s">
        <v>4474</v>
      </c>
      <c r="G671" s="3237" t="s">
        <v>3660</v>
      </c>
      <c r="H671" s="3237" t="s">
        <v>3219</v>
      </c>
      <c r="I671" s="3236" t="s">
        <v>4462</v>
      </c>
      <c r="J671" s="3236">
        <v>29.09</v>
      </c>
    </row>
    <row r="672" spans="1:10" ht="11.25" customHeight="1">
      <c r="A672" s="3363" t="s">
        <v>5039</v>
      </c>
      <c r="B672" s="3237" t="s">
        <v>4473</v>
      </c>
      <c r="C672" s="3237" t="s">
        <v>3894</v>
      </c>
      <c r="D672" s="3237" t="s">
        <v>4459</v>
      </c>
      <c r="E672" s="3237" t="s">
        <v>4460</v>
      </c>
      <c r="F672" s="3237" t="s">
        <v>4474</v>
      </c>
      <c r="G672" s="3237" t="s">
        <v>3660</v>
      </c>
      <c r="H672" s="3237" t="s">
        <v>3219</v>
      </c>
      <c r="I672" s="3236" t="s">
        <v>4462</v>
      </c>
      <c r="J672" s="3236">
        <v>29.09</v>
      </c>
    </row>
    <row r="673" spans="1:10" ht="11.25" customHeight="1">
      <c r="A673" s="3363" t="s">
        <v>5040</v>
      </c>
      <c r="B673" s="3237" t="s">
        <v>4473</v>
      </c>
      <c r="C673" s="3237" t="s">
        <v>3895</v>
      </c>
      <c r="D673" s="3237" t="s">
        <v>4459</v>
      </c>
      <c r="E673" s="3237" t="s">
        <v>4460</v>
      </c>
      <c r="F673" s="3237" t="s">
        <v>4474</v>
      </c>
      <c r="G673" s="3237" t="s">
        <v>3660</v>
      </c>
      <c r="H673" s="3237" t="s">
        <v>3219</v>
      </c>
      <c r="I673" s="3236" t="s">
        <v>4462</v>
      </c>
      <c r="J673" s="3236">
        <v>29.09</v>
      </c>
    </row>
    <row r="674" spans="1:10" ht="11.25" customHeight="1">
      <c r="A674" s="3363" t="s">
        <v>5041</v>
      </c>
      <c r="B674" s="3237" t="s">
        <v>4473</v>
      </c>
      <c r="C674" s="3237" t="s">
        <v>3896</v>
      </c>
      <c r="D674" s="3237" t="s">
        <v>4459</v>
      </c>
      <c r="E674" s="3237" t="s">
        <v>4460</v>
      </c>
      <c r="F674" s="3237" t="s">
        <v>4474</v>
      </c>
      <c r="G674" s="3237" t="s">
        <v>3660</v>
      </c>
      <c r="H674" s="3237" t="s">
        <v>3219</v>
      </c>
      <c r="I674" s="3236" t="s">
        <v>4462</v>
      </c>
      <c r="J674" s="3236">
        <v>29.09</v>
      </c>
    </row>
    <row r="675" spans="1:10" ht="11.25" customHeight="1">
      <c r="A675" s="3363" t="s">
        <v>5042</v>
      </c>
      <c r="B675" s="3237" t="s">
        <v>4473</v>
      </c>
      <c r="C675" s="3237" t="s">
        <v>3897</v>
      </c>
      <c r="D675" s="3237" t="s">
        <v>4459</v>
      </c>
      <c r="E675" s="3237" t="s">
        <v>4460</v>
      </c>
      <c r="F675" s="3237" t="s">
        <v>4474</v>
      </c>
      <c r="G675" s="3237" t="s">
        <v>3660</v>
      </c>
      <c r="H675" s="3237" t="s">
        <v>3219</v>
      </c>
      <c r="I675" s="3236" t="s">
        <v>4462</v>
      </c>
      <c r="J675" s="3236">
        <v>29.09</v>
      </c>
    </row>
    <row r="676" spans="1:10" ht="11.25" customHeight="1">
      <c r="A676" s="3363" t="s">
        <v>5043</v>
      </c>
      <c r="B676" s="3237" t="s">
        <v>4473</v>
      </c>
      <c r="C676" s="3237" t="s">
        <v>3898</v>
      </c>
      <c r="D676" s="3237" t="s">
        <v>4459</v>
      </c>
      <c r="E676" s="3237" t="s">
        <v>4460</v>
      </c>
      <c r="F676" s="3237" t="s">
        <v>4474</v>
      </c>
      <c r="G676" s="3237" t="s">
        <v>3660</v>
      </c>
      <c r="H676" s="3237" t="s">
        <v>3219</v>
      </c>
      <c r="I676" s="3236" t="s">
        <v>4462</v>
      </c>
      <c r="J676" s="3236">
        <v>29.09</v>
      </c>
    </row>
    <row r="677" spans="1:10" ht="11.25" customHeight="1">
      <c r="A677" s="3363" t="s">
        <v>5044</v>
      </c>
      <c r="B677" s="3237" t="s">
        <v>4473</v>
      </c>
      <c r="C677" s="3237" t="s">
        <v>3899</v>
      </c>
      <c r="D677" s="3237" t="s">
        <v>4459</v>
      </c>
      <c r="E677" s="3237" t="s">
        <v>4460</v>
      </c>
      <c r="F677" s="3237" t="s">
        <v>4474</v>
      </c>
      <c r="G677" s="3237" t="s">
        <v>3660</v>
      </c>
      <c r="H677" s="3237" t="s">
        <v>3219</v>
      </c>
      <c r="I677" s="3236" t="s">
        <v>4462</v>
      </c>
      <c r="J677" s="3236">
        <v>29.09</v>
      </c>
    </row>
    <row r="678" spans="1:10" ht="11.25" customHeight="1">
      <c r="A678" s="3363" t="s">
        <v>5045</v>
      </c>
      <c r="B678" s="3237" t="s">
        <v>4473</v>
      </c>
      <c r="C678" s="3237" t="s">
        <v>3900</v>
      </c>
      <c r="D678" s="3237" t="s">
        <v>4459</v>
      </c>
      <c r="E678" s="3237" t="s">
        <v>4460</v>
      </c>
      <c r="F678" s="3237" t="s">
        <v>4474</v>
      </c>
      <c r="G678" s="3237" t="s">
        <v>3660</v>
      </c>
      <c r="H678" s="3237" t="s">
        <v>3219</v>
      </c>
      <c r="I678" s="3236" t="s">
        <v>4462</v>
      </c>
      <c r="J678" s="3236">
        <v>29.09</v>
      </c>
    </row>
    <row r="679" spans="1:10" ht="11.25" customHeight="1">
      <c r="A679" s="3363" t="s">
        <v>5046</v>
      </c>
      <c r="B679" s="3237" t="s">
        <v>4473</v>
      </c>
      <c r="C679" s="3237" t="s">
        <v>3901</v>
      </c>
      <c r="D679" s="3237" t="s">
        <v>4459</v>
      </c>
      <c r="E679" s="3237" t="s">
        <v>4460</v>
      </c>
      <c r="F679" s="3237" t="s">
        <v>4474</v>
      </c>
      <c r="G679" s="3237" t="s">
        <v>3660</v>
      </c>
      <c r="H679" s="3237" t="s">
        <v>3219</v>
      </c>
      <c r="I679" s="3236" t="s">
        <v>4462</v>
      </c>
      <c r="J679" s="3236">
        <v>29.09</v>
      </c>
    </row>
    <row r="680" spans="1:10" ht="11.25" customHeight="1">
      <c r="A680" s="3363" t="s">
        <v>5047</v>
      </c>
      <c r="B680" s="3237" t="s">
        <v>4473</v>
      </c>
      <c r="C680" s="3237" t="s">
        <v>3902</v>
      </c>
      <c r="D680" s="3237" t="s">
        <v>4459</v>
      </c>
      <c r="E680" s="3237" t="s">
        <v>4460</v>
      </c>
      <c r="F680" s="3237" t="s">
        <v>4474</v>
      </c>
      <c r="G680" s="3237" t="s">
        <v>3660</v>
      </c>
      <c r="H680" s="3237" t="s">
        <v>3219</v>
      </c>
      <c r="I680" s="3236" t="s">
        <v>4462</v>
      </c>
      <c r="J680" s="3236">
        <v>29.09</v>
      </c>
    </row>
    <row r="681" spans="1:10" ht="11.25" customHeight="1">
      <c r="A681" s="3363" t="s">
        <v>5048</v>
      </c>
      <c r="B681" s="3237" t="s">
        <v>4473</v>
      </c>
      <c r="C681" s="3237" t="s">
        <v>3903</v>
      </c>
      <c r="D681" s="3237" t="s">
        <v>4459</v>
      </c>
      <c r="E681" s="3237" t="s">
        <v>4460</v>
      </c>
      <c r="F681" s="3237" t="s">
        <v>4474</v>
      </c>
      <c r="G681" s="3237" t="s">
        <v>3660</v>
      </c>
      <c r="H681" s="3237" t="s">
        <v>3219</v>
      </c>
      <c r="I681" s="3236" t="s">
        <v>4462</v>
      </c>
      <c r="J681" s="3236">
        <v>29.09</v>
      </c>
    </row>
    <row r="682" spans="1:10" ht="11.25" customHeight="1">
      <c r="A682" s="3363" t="s">
        <v>5049</v>
      </c>
      <c r="B682" s="3237" t="s">
        <v>4473</v>
      </c>
      <c r="C682" s="3237" t="s">
        <v>3904</v>
      </c>
      <c r="D682" s="3237" t="s">
        <v>4459</v>
      </c>
      <c r="E682" s="3237" t="s">
        <v>4460</v>
      </c>
      <c r="F682" s="3237" t="s">
        <v>4474</v>
      </c>
      <c r="G682" s="3237" t="s">
        <v>3660</v>
      </c>
      <c r="H682" s="3237" t="s">
        <v>3219</v>
      </c>
      <c r="I682" s="3236" t="s">
        <v>4462</v>
      </c>
      <c r="J682" s="3236">
        <v>29.09</v>
      </c>
    </row>
    <row r="683" spans="1:10" ht="11.25" customHeight="1">
      <c r="A683" s="3363" t="s">
        <v>5050</v>
      </c>
      <c r="B683" s="3237" t="s">
        <v>4473</v>
      </c>
      <c r="C683" s="3237" t="s">
        <v>3905</v>
      </c>
      <c r="D683" s="3237" t="s">
        <v>4459</v>
      </c>
      <c r="E683" s="3237" t="s">
        <v>4460</v>
      </c>
      <c r="F683" s="3237" t="s">
        <v>4474</v>
      </c>
      <c r="G683" s="3237" t="s">
        <v>3660</v>
      </c>
      <c r="H683" s="3237" t="s">
        <v>3219</v>
      </c>
      <c r="I683" s="3236" t="s">
        <v>4462</v>
      </c>
      <c r="J683" s="3236">
        <v>29.09</v>
      </c>
    </row>
    <row r="684" spans="1:10" ht="11.25" customHeight="1">
      <c r="A684" s="3363" t="s">
        <v>5051</v>
      </c>
      <c r="B684" s="3237" t="s">
        <v>4473</v>
      </c>
      <c r="C684" s="3237" t="s">
        <v>3906</v>
      </c>
      <c r="D684" s="3237" t="s">
        <v>4459</v>
      </c>
      <c r="E684" s="3237" t="s">
        <v>4460</v>
      </c>
      <c r="F684" s="3237" t="s">
        <v>4474</v>
      </c>
      <c r="G684" s="3237" t="s">
        <v>3660</v>
      </c>
      <c r="H684" s="3237" t="s">
        <v>3219</v>
      </c>
      <c r="I684" s="3236" t="s">
        <v>4462</v>
      </c>
      <c r="J684" s="3236">
        <v>29.09</v>
      </c>
    </row>
    <row r="685" spans="1:10" ht="11.25" customHeight="1">
      <c r="A685" s="3363" t="s">
        <v>5052</v>
      </c>
      <c r="B685" s="3237" t="s">
        <v>4473</v>
      </c>
      <c r="C685" s="3237" t="s">
        <v>3907</v>
      </c>
      <c r="D685" s="3237" t="s">
        <v>4459</v>
      </c>
      <c r="E685" s="3237" t="s">
        <v>4460</v>
      </c>
      <c r="F685" s="3237" t="s">
        <v>4474</v>
      </c>
      <c r="G685" s="3237" t="s">
        <v>3660</v>
      </c>
      <c r="H685" s="3237" t="s">
        <v>3219</v>
      </c>
      <c r="I685" s="3236" t="s">
        <v>4462</v>
      </c>
      <c r="J685" s="3236">
        <v>29.09</v>
      </c>
    </row>
    <row r="686" spans="1:10" ht="11.25" customHeight="1">
      <c r="A686" s="3363" t="s">
        <v>5053</v>
      </c>
      <c r="B686" s="3237" t="s">
        <v>4473</v>
      </c>
      <c r="C686" s="3237" t="s">
        <v>3908</v>
      </c>
      <c r="D686" s="3237" t="s">
        <v>4459</v>
      </c>
      <c r="E686" s="3237" t="s">
        <v>4460</v>
      </c>
      <c r="F686" s="3237" t="s">
        <v>4474</v>
      </c>
      <c r="G686" s="3237" t="s">
        <v>3660</v>
      </c>
      <c r="H686" s="3237" t="s">
        <v>3219</v>
      </c>
      <c r="I686" s="3236" t="s">
        <v>4462</v>
      </c>
      <c r="J686" s="3236">
        <v>29.09</v>
      </c>
    </row>
    <row r="687" spans="1:10" ht="11.25" customHeight="1">
      <c r="A687" s="3363" t="s">
        <v>5054</v>
      </c>
      <c r="B687" s="3237" t="s">
        <v>4473</v>
      </c>
      <c r="C687" s="3237" t="s">
        <v>3909</v>
      </c>
      <c r="D687" s="3237" t="s">
        <v>4459</v>
      </c>
      <c r="E687" s="3237" t="s">
        <v>4460</v>
      </c>
      <c r="F687" s="3237" t="s">
        <v>4474</v>
      </c>
      <c r="G687" s="3237" t="s">
        <v>3660</v>
      </c>
      <c r="H687" s="3237" t="s">
        <v>3219</v>
      </c>
      <c r="I687" s="3236" t="s">
        <v>4462</v>
      </c>
      <c r="J687" s="3236">
        <v>29.09</v>
      </c>
    </row>
    <row r="688" spans="1:10" ht="11.25" customHeight="1">
      <c r="A688" s="3363" t="s">
        <v>5055</v>
      </c>
      <c r="B688" s="3237" t="s">
        <v>4473</v>
      </c>
      <c r="C688" s="3237" t="s">
        <v>3910</v>
      </c>
      <c r="D688" s="3237" t="s">
        <v>4459</v>
      </c>
      <c r="E688" s="3237" t="s">
        <v>4460</v>
      </c>
      <c r="F688" s="3237" t="s">
        <v>4474</v>
      </c>
      <c r="G688" s="3237" t="s">
        <v>3660</v>
      </c>
      <c r="H688" s="3237" t="s">
        <v>3219</v>
      </c>
      <c r="I688" s="3236" t="s">
        <v>4462</v>
      </c>
      <c r="J688" s="3236">
        <v>29.09</v>
      </c>
    </row>
    <row r="689" spans="1:10" ht="11.25" customHeight="1">
      <c r="A689" s="3363" t="s">
        <v>5056</v>
      </c>
      <c r="B689" s="3237" t="s">
        <v>4473</v>
      </c>
      <c r="C689" s="3237" t="s">
        <v>3911</v>
      </c>
      <c r="D689" s="3237" t="s">
        <v>4459</v>
      </c>
      <c r="E689" s="3237" t="s">
        <v>4460</v>
      </c>
      <c r="F689" s="3237" t="s">
        <v>4474</v>
      </c>
      <c r="G689" s="3237" t="s">
        <v>3660</v>
      </c>
      <c r="H689" s="3237" t="s">
        <v>3219</v>
      </c>
      <c r="I689" s="3236" t="s">
        <v>4462</v>
      </c>
      <c r="J689" s="3236">
        <v>29.09</v>
      </c>
    </row>
    <row r="690" spans="1:10" ht="11.25" customHeight="1">
      <c r="A690" s="3363" t="s">
        <v>5057</v>
      </c>
      <c r="B690" s="3237" t="s">
        <v>4473</v>
      </c>
      <c r="C690" s="3237" t="s">
        <v>3912</v>
      </c>
      <c r="D690" s="3237" t="s">
        <v>4459</v>
      </c>
      <c r="E690" s="3237" t="s">
        <v>4460</v>
      </c>
      <c r="F690" s="3237" t="s">
        <v>4474</v>
      </c>
      <c r="G690" s="3237" t="s">
        <v>3660</v>
      </c>
      <c r="H690" s="3237" t="s">
        <v>3219</v>
      </c>
      <c r="I690" s="3236" t="s">
        <v>4462</v>
      </c>
      <c r="J690" s="3236">
        <v>29.09</v>
      </c>
    </row>
    <row r="691" spans="1:10" ht="11.25" customHeight="1">
      <c r="A691" s="3363" t="s">
        <v>5058</v>
      </c>
      <c r="B691" s="3237" t="s">
        <v>4473</v>
      </c>
      <c r="C691" s="3237" t="s">
        <v>3913</v>
      </c>
      <c r="D691" s="3237" t="s">
        <v>4459</v>
      </c>
      <c r="E691" s="3237" t="s">
        <v>4460</v>
      </c>
      <c r="F691" s="3237" t="s">
        <v>4474</v>
      </c>
      <c r="G691" s="3237" t="s">
        <v>3660</v>
      </c>
      <c r="H691" s="3237" t="s">
        <v>3219</v>
      </c>
      <c r="I691" s="3236" t="s">
        <v>4462</v>
      </c>
      <c r="J691" s="3236">
        <v>29.09</v>
      </c>
    </row>
    <row r="692" spans="1:10" ht="11.25" customHeight="1">
      <c r="A692" s="3363" t="s">
        <v>5059</v>
      </c>
      <c r="B692" s="3237" t="s">
        <v>4473</v>
      </c>
      <c r="C692" s="3237" t="s">
        <v>3914</v>
      </c>
      <c r="D692" s="3237" t="s">
        <v>4459</v>
      </c>
      <c r="E692" s="3237" t="s">
        <v>4460</v>
      </c>
      <c r="F692" s="3237" t="s">
        <v>4474</v>
      </c>
      <c r="G692" s="3237" t="s">
        <v>3660</v>
      </c>
      <c r="H692" s="3237" t="s">
        <v>3219</v>
      </c>
      <c r="I692" s="3236" t="s">
        <v>4462</v>
      </c>
      <c r="J692" s="3236">
        <v>29.09</v>
      </c>
    </row>
    <row r="693" spans="1:10" ht="11.25" customHeight="1">
      <c r="A693" s="3363" t="s">
        <v>5060</v>
      </c>
      <c r="B693" s="3237" t="s">
        <v>4473</v>
      </c>
      <c r="C693" s="3237" t="s">
        <v>3915</v>
      </c>
      <c r="D693" s="3237" t="s">
        <v>4459</v>
      </c>
      <c r="E693" s="3237" t="s">
        <v>4460</v>
      </c>
      <c r="F693" s="3237" t="s">
        <v>4474</v>
      </c>
      <c r="G693" s="3237" t="s">
        <v>3660</v>
      </c>
      <c r="H693" s="3237" t="s">
        <v>3219</v>
      </c>
      <c r="I693" s="3236" t="s">
        <v>4462</v>
      </c>
      <c r="J693" s="3236">
        <v>29.09</v>
      </c>
    </row>
    <row r="694" spans="1:10" ht="11.25" customHeight="1">
      <c r="A694" s="3363" t="s">
        <v>5061</v>
      </c>
      <c r="B694" s="3237" t="s">
        <v>4473</v>
      </c>
      <c r="C694" s="3237" t="s">
        <v>3916</v>
      </c>
      <c r="D694" s="3237" t="s">
        <v>4459</v>
      </c>
      <c r="E694" s="3237" t="s">
        <v>4460</v>
      </c>
      <c r="F694" s="3237" t="s">
        <v>4474</v>
      </c>
      <c r="G694" s="3237" t="s">
        <v>3660</v>
      </c>
      <c r="H694" s="3237" t="s">
        <v>3219</v>
      </c>
      <c r="I694" s="3236" t="s">
        <v>4462</v>
      </c>
      <c r="J694" s="3236">
        <v>29.09</v>
      </c>
    </row>
    <row r="695" spans="1:10" ht="11.25" customHeight="1">
      <c r="A695" s="3363" t="s">
        <v>5062</v>
      </c>
      <c r="B695" s="3237" t="s">
        <v>4473</v>
      </c>
      <c r="C695" s="3237" t="s">
        <v>3917</v>
      </c>
      <c r="D695" s="3237" t="s">
        <v>4459</v>
      </c>
      <c r="E695" s="3237" t="s">
        <v>4460</v>
      </c>
      <c r="F695" s="3237" t="s">
        <v>4474</v>
      </c>
      <c r="G695" s="3237" t="s">
        <v>3660</v>
      </c>
      <c r="H695" s="3237" t="s">
        <v>3219</v>
      </c>
      <c r="I695" s="3236" t="s">
        <v>4462</v>
      </c>
      <c r="J695" s="3236">
        <v>29.09</v>
      </c>
    </row>
    <row r="696" spans="1:10" ht="11.25" customHeight="1">
      <c r="A696" s="3363" t="s">
        <v>5063</v>
      </c>
      <c r="B696" s="3237" t="s">
        <v>4473</v>
      </c>
      <c r="C696" s="3237" t="s">
        <v>3918</v>
      </c>
      <c r="D696" s="3237" t="s">
        <v>4459</v>
      </c>
      <c r="E696" s="3237" t="s">
        <v>4460</v>
      </c>
      <c r="F696" s="3237" t="s">
        <v>4474</v>
      </c>
      <c r="G696" s="3237" t="s">
        <v>3660</v>
      </c>
      <c r="H696" s="3237" t="s">
        <v>3219</v>
      </c>
      <c r="I696" s="3236" t="s">
        <v>4462</v>
      </c>
      <c r="J696" s="3236">
        <v>29.09</v>
      </c>
    </row>
    <row r="697" spans="1:10" ht="11.25" customHeight="1">
      <c r="A697" s="3363" t="s">
        <v>5064</v>
      </c>
      <c r="B697" s="3237" t="s">
        <v>4473</v>
      </c>
      <c r="C697" s="3237" t="s">
        <v>3919</v>
      </c>
      <c r="D697" s="3237" t="s">
        <v>4459</v>
      </c>
      <c r="E697" s="3237" t="s">
        <v>4460</v>
      </c>
      <c r="F697" s="3237" t="s">
        <v>4474</v>
      </c>
      <c r="G697" s="3237" t="s">
        <v>3660</v>
      </c>
      <c r="H697" s="3237" t="s">
        <v>3219</v>
      </c>
      <c r="I697" s="3236" t="s">
        <v>4462</v>
      </c>
      <c r="J697" s="3236">
        <v>29.09</v>
      </c>
    </row>
    <row r="698" spans="1:10" ht="11.25" customHeight="1">
      <c r="A698" s="3363" t="s">
        <v>5065</v>
      </c>
      <c r="B698" s="3237" t="s">
        <v>4473</v>
      </c>
      <c r="C698" s="3237" t="s">
        <v>3920</v>
      </c>
      <c r="D698" s="3237" t="s">
        <v>4459</v>
      </c>
      <c r="E698" s="3237" t="s">
        <v>4460</v>
      </c>
      <c r="F698" s="3237" t="s">
        <v>4474</v>
      </c>
      <c r="G698" s="3237" t="s">
        <v>3660</v>
      </c>
      <c r="H698" s="3237" t="s">
        <v>3219</v>
      </c>
      <c r="I698" s="3236" t="s">
        <v>4462</v>
      </c>
      <c r="J698" s="3236">
        <v>29.09</v>
      </c>
    </row>
    <row r="699" spans="1:10" ht="11.25" customHeight="1">
      <c r="A699" s="3363" t="s">
        <v>5066</v>
      </c>
      <c r="B699" s="3237" t="s">
        <v>4473</v>
      </c>
      <c r="C699" s="3237" t="s">
        <v>3921</v>
      </c>
      <c r="D699" s="3237" t="s">
        <v>4459</v>
      </c>
      <c r="E699" s="3237" t="s">
        <v>4460</v>
      </c>
      <c r="F699" s="3237" t="s">
        <v>4474</v>
      </c>
      <c r="G699" s="3237" t="s">
        <v>3660</v>
      </c>
      <c r="H699" s="3237" t="s">
        <v>3219</v>
      </c>
      <c r="I699" s="3236" t="s">
        <v>4462</v>
      </c>
      <c r="J699" s="3236">
        <v>29.09</v>
      </c>
    </row>
    <row r="700" spans="1:10" ht="11.25" customHeight="1">
      <c r="A700" s="3363" t="s">
        <v>5067</v>
      </c>
      <c r="B700" s="3237" t="s">
        <v>4473</v>
      </c>
      <c r="C700" s="3237" t="s">
        <v>3922</v>
      </c>
      <c r="D700" s="3237" t="s">
        <v>4459</v>
      </c>
      <c r="E700" s="3237" t="s">
        <v>4460</v>
      </c>
      <c r="F700" s="3237" t="s">
        <v>4474</v>
      </c>
      <c r="G700" s="3237" t="s">
        <v>3660</v>
      </c>
      <c r="H700" s="3237" t="s">
        <v>3219</v>
      </c>
      <c r="I700" s="3236" t="s">
        <v>4462</v>
      </c>
      <c r="J700" s="3236">
        <v>29.09</v>
      </c>
    </row>
    <row r="701" spans="1:10" ht="11.25" customHeight="1">
      <c r="A701" s="3363" t="s">
        <v>5068</v>
      </c>
      <c r="B701" s="3237" t="s">
        <v>4473</v>
      </c>
      <c r="C701" s="3237" t="s">
        <v>3923</v>
      </c>
      <c r="D701" s="3237" t="s">
        <v>4459</v>
      </c>
      <c r="E701" s="3237" t="s">
        <v>4460</v>
      </c>
      <c r="F701" s="3237" t="s">
        <v>4474</v>
      </c>
      <c r="G701" s="3237" t="s">
        <v>3660</v>
      </c>
      <c r="H701" s="3237" t="s">
        <v>3219</v>
      </c>
      <c r="I701" s="3236" t="s">
        <v>4462</v>
      </c>
      <c r="J701" s="3236">
        <v>29.09</v>
      </c>
    </row>
    <row r="702" spans="1:10" ht="11.25" customHeight="1">
      <c r="A702" s="3363" t="s">
        <v>5069</v>
      </c>
      <c r="B702" s="3237" t="s">
        <v>4473</v>
      </c>
      <c r="C702" s="3237" t="s">
        <v>3924</v>
      </c>
      <c r="D702" s="3237" t="s">
        <v>4459</v>
      </c>
      <c r="E702" s="3237" t="s">
        <v>4460</v>
      </c>
      <c r="F702" s="3237" t="s">
        <v>4474</v>
      </c>
      <c r="G702" s="3237" t="s">
        <v>3660</v>
      </c>
      <c r="H702" s="3237" t="s">
        <v>3219</v>
      </c>
      <c r="I702" s="3236" t="s">
        <v>4462</v>
      </c>
      <c r="J702" s="3236">
        <v>29.09</v>
      </c>
    </row>
    <row r="703" spans="1:10" ht="11.25" customHeight="1">
      <c r="A703" s="3363" t="s">
        <v>5070</v>
      </c>
      <c r="B703" s="3237" t="s">
        <v>4473</v>
      </c>
      <c r="C703" s="3237" t="s">
        <v>3925</v>
      </c>
      <c r="D703" s="3237" t="s">
        <v>4459</v>
      </c>
      <c r="E703" s="3237" t="s">
        <v>4460</v>
      </c>
      <c r="F703" s="3237" t="s">
        <v>4474</v>
      </c>
      <c r="G703" s="3237" t="s">
        <v>3660</v>
      </c>
      <c r="H703" s="3237" t="s">
        <v>3219</v>
      </c>
      <c r="I703" s="3236" t="s">
        <v>4462</v>
      </c>
      <c r="J703" s="3236">
        <v>29.09</v>
      </c>
    </row>
    <row r="704" spans="1:10" ht="11.25" customHeight="1">
      <c r="A704" s="3363" t="s">
        <v>5071</v>
      </c>
      <c r="B704" s="3237" t="s">
        <v>4473</v>
      </c>
      <c r="C704" s="3237" t="s">
        <v>3926</v>
      </c>
      <c r="D704" s="3237" t="s">
        <v>4459</v>
      </c>
      <c r="E704" s="3237" t="s">
        <v>4460</v>
      </c>
      <c r="F704" s="3237" t="s">
        <v>4474</v>
      </c>
      <c r="G704" s="3237" t="s">
        <v>3660</v>
      </c>
      <c r="H704" s="3237" t="s">
        <v>3219</v>
      </c>
      <c r="I704" s="3236" t="s">
        <v>4462</v>
      </c>
      <c r="J704" s="3236">
        <v>29.09</v>
      </c>
    </row>
    <row r="705" spans="1:10" ht="11.25" customHeight="1">
      <c r="A705" s="3363" t="s">
        <v>5072</v>
      </c>
      <c r="B705" s="3237" t="s">
        <v>4473</v>
      </c>
      <c r="C705" s="3237" t="s">
        <v>3927</v>
      </c>
      <c r="D705" s="3237" t="s">
        <v>4459</v>
      </c>
      <c r="E705" s="3237" t="s">
        <v>4460</v>
      </c>
      <c r="F705" s="3237" t="s">
        <v>4474</v>
      </c>
      <c r="G705" s="3237" t="s">
        <v>3660</v>
      </c>
      <c r="H705" s="3237" t="s">
        <v>3219</v>
      </c>
      <c r="I705" s="3236" t="s">
        <v>4462</v>
      </c>
      <c r="J705" s="3236">
        <v>29.09</v>
      </c>
    </row>
    <row r="706" spans="1:10" ht="11.25" customHeight="1">
      <c r="A706" s="3363" t="s">
        <v>5073</v>
      </c>
      <c r="B706" s="3237" t="s">
        <v>4473</v>
      </c>
      <c r="C706" s="3237" t="s">
        <v>3928</v>
      </c>
      <c r="D706" s="3237" t="s">
        <v>4459</v>
      </c>
      <c r="E706" s="3237" t="s">
        <v>4460</v>
      </c>
      <c r="F706" s="3237" t="s">
        <v>4474</v>
      </c>
      <c r="G706" s="3237" t="s">
        <v>3660</v>
      </c>
      <c r="H706" s="3237" t="s">
        <v>3219</v>
      </c>
      <c r="I706" s="3236" t="s">
        <v>4462</v>
      </c>
      <c r="J706" s="3236">
        <v>29.09</v>
      </c>
    </row>
    <row r="707" spans="1:10" ht="11.25" customHeight="1">
      <c r="A707" s="3363" t="s">
        <v>5074</v>
      </c>
      <c r="B707" s="3237" t="s">
        <v>4473</v>
      </c>
      <c r="C707" s="3237" t="s">
        <v>3929</v>
      </c>
      <c r="D707" s="3237" t="s">
        <v>4459</v>
      </c>
      <c r="E707" s="3237" t="s">
        <v>4460</v>
      </c>
      <c r="F707" s="3237" t="s">
        <v>4474</v>
      </c>
      <c r="G707" s="3237" t="s">
        <v>3660</v>
      </c>
      <c r="H707" s="3237" t="s">
        <v>3219</v>
      </c>
      <c r="I707" s="3236" t="s">
        <v>4462</v>
      </c>
      <c r="J707" s="3236">
        <v>29.09</v>
      </c>
    </row>
    <row r="708" spans="1:10" ht="11.25" customHeight="1">
      <c r="A708" s="3363" t="s">
        <v>5075</v>
      </c>
      <c r="B708" s="3237" t="s">
        <v>4473</v>
      </c>
      <c r="C708" s="3237" t="s">
        <v>3930</v>
      </c>
      <c r="D708" s="3237" t="s">
        <v>4459</v>
      </c>
      <c r="E708" s="3237" t="s">
        <v>4460</v>
      </c>
      <c r="F708" s="3237" t="s">
        <v>4474</v>
      </c>
      <c r="G708" s="3237" t="s">
        <v>3660</v>
      </c>
      <c r="H708" s="3237" t="s">
        <v>3219</v>
      </c>
      <c r="I708" s="3236" t="s">
        <v>4462</v>
      </c>
      <c r="J708" s="3236">
        <v>29.09</v>
      </c>
    </row>
    <row r="709" spans="1:10" ht="11.25" customHeight="1">
      <c r="A709" s="3363" t="s">
        <v>5076</v>
      </c>
      <c r="B709" s="3237" t="s">
        <v>4473</v>
      </c>
      <c r="C709" s="3237" t="s">
        <v>3931</v>
      </c>
      <c r="D709" s="3237" t="s">
        <v>4459</v>
      </c>
      <c r="E709" s="3237" t="s">
        <v>4460</v>
      </c>
      <c r="F709" s="3237" t="s">
        <v>4474</v>
      </c>
      <c r="G709" s="3237" t="s">
        <v>3660</v>
      </c>
      <c r="H709" s="3237" t="s">
        <v>3219</v>
      </c>
      <c r="I709" s="3236" t="s">
        <v>4462</v>
      </c>
      <c r="J709" s="3236">
        <v>29.09</v>
      </c>
    </row>
    <row r="710" spans="1:10" ht="11.25" customHeight="1">
      <c r="A710" s="3363" t="s">
        <v>5077</v>
      </c>
      <c r="B710" s="3237" t="s">
        <v>4473</v>
      </c>
      <c r="C710" s="3237" t="s">
        <v>3932</v>
      </c>
      <c r="D710" s="3237" t="s">
        <v>4459</v>
      </c>
      <c r="E710" s="3237" t="s">
        <v>4460</v>
      </c>
      <c r="F710" s="3237" t="s">
        <v>4474</v>
      </c>
      <c r="G710" s="3237" t="s">
        <v>3660</v>
      </c>
      <c r="H710" s="3237" t="s">
        <v>3219</v>
      </c>
      <c r="I710" s="3236" t="s">
        <v>4462</v>
      </c>
      <c r="J710" s="3236">
        <v>29.09</v>
      </c>
    </row>
    <row r="711" spans="1:10" ht="11.25" customHeight="1">
      <c r="A711" s="3363" t="s">
        <v>5078</v>
      </c>
      <c r="B711" s="3237" t="s">
        <v>4473</v>
      </c>
      <c r="C711" s="3237" t="s">
        <v>3933</v>
      </c>
      <c r="D711" s="3237" t="s">
        <v>4459</v>
      </c>
      <c r="E711" s="3237" t="s">
        <v>4460</v>
      </c>
      <c r="F711" s="3237" t="s">
        <v>4474</v>
      </c>
      <c r="G711" s="3237" t="s">
        <v>3660</v>
      </c>
      <c r="H711" s="3237" t="s">
        <v>3219</v>
      </c>
      <c r="I711" s="3236" t="s">
        <v>4462</v>
      </c>
      <c r="J711" s="3236">
        <v>29.09</v>
      </c>
    </row>
    <row r="712" spans="1:10" ht="11.25" customHeight="1">
      <c r="A712" s="3363" t="s">
        <v>5079</v>
      </c>
      <c r="B712" s="3237" t="s">
        <v>4473</v>
      </c>
      <c r="C712" s="3237" t="s">
        <v>3934</v>
      </c>
      <c r="D712" s="3237" t="s">
        <v>4459</v>
      </c>
      <c r="E712" s="3237" t="s">
        <v>4460</v>
      </c>
      <c r="F712" s="3237" t="s">
        <v>4474</v>
      </c>
      <c r="G712" s="3237" t="s">
        <v>3660</v>
      </c>
      <c r="H712" s="3237" t="s">
        <v>3219</v>
      </c>
      <c r="I712" s="3236" t="s">
        <v>4462</v>
      </c>
      <c r="J712" s="3236">
        <v>29.09</v>
      </c>
    </row>
    <row r="713" spans="1:10" ht="11.25" customHeight="1">
      <c r="A713" s="3363" t="s">
        <v>5080</v>
      </c>
      <c r="B713" s="3237" t="s">
        <v>4473</v>
      </c>
      <c r="C713" s="3237" t="s">
        <v>3935</v>
      </c>
      <c r="D713" s="3237" t="s">
        <v>4459</v>
      </c>
      <c r="E713" s="3237" t="s">
        <v>4460</v>
      </c>
      <c r="F713" s="3237" t="s">
        <v>4474</v>
      </c>
      <c r="G713" s="3237" t="s">
        <v>3660</v>
      </c>
      <c r="H713" s="3237" t="s">
        <v>3219</v>
      </c>
      <c r="I713" s="3236" t="s">
        <v>4462</v>
      </c>
      <c r="J713" s="3236">
        <v>29.09</v>
      </c>
    </row>
    <row r="714" spans="1:10" ht="11.25" customHeight="1">
      <c r="A714" s="3363" t="s">
        <v>5081</v>
      </c>
      <c r="B714" s="3237" t="s">
        <v>4473</v>
      </c>
      <c r="C714" s="3237" t="s">
        <v>3936</v>
      </c>
      <c r="D714" s="3237" t="s">
        <v>4459</v>
      </c>
      <c r="E714" s="3237" t="s">
        <v>4460</v>
      </c>
      <c r="F714" s="3237" t="s">
        <v>4474</v>
      </c>
      <c r="G714" s="3237" t="s">
        <v>3660</v>
      </c>
      <c r="H714" s="3237" t="s">
        <v>3219</v>
      </c>
      <c r="I714" s="3236" t="s">
        <v>4462</v>
      </c>
      <c r="J714" s="3236">
        <v>29.09</v>
      </c>
    </row>
    <row r="715" spans="1:10" ht="11.25" customHeight="1">
      <c r="A715" s="3363" t="s">
        <v>5082</v>
      </c>
      <c r="B715" s="3237" t="s">
        <v>4473</v>
      </c>
      <c r="C715" s="3237" t="s">
        <v>3937</v>
      </c>
      <c r="D715" s="3237" t="s">
        <v>4459</v>
      </c>
      <c r="E715" s="3237" t="s">
        <v>4460</v>
      </c>
      <c r="F715" s="3237" t="s">
        <v>4474</v>
      </c>
      <c r="G715" s="3237" t="s">
        <v>3660</v>
      </c>
      <c r="H715" s="3237" t="s">
        <v>3219</v>
      </c>
      <c r="I715" s="3236" t="s">
        <v>4462</v>
      </c>
      <c r="J715" s="3236">
        <v>29.09</v>
      </c>
    </row>
    <row r="716" spans="1:10" ht="11.25" customHeight="1">
      <c r="A716" s="3363" t="s">
        <v>5083</v>
      </c>
      <c r="B716" s="3237" t="s">
        <v>4473</v>
      </c>
      <c r="C716" s="3237" t="s">
        <v>3938</v>
      </c>
      <c r="D716" s="3237" t="s">
        <v>4459</v>
      </c>
      <c r="E716" s="3237" t="s">
        <v>4460</v>
      </c>
      <c r="F716" s="3237" t="s">
        <v>4474</v>
      </c>
      <c r="G716" s="3237" t="s">
        <v>3660</v>
      </c>
      <c r="H716" s="3237" t="s">
        <v>3219</v>
      </c>
      <c r="I716" s="3236" t="s">
        <v>4462</v>
      </c>
      <c r="J716" s="3236">
        <v>29.09</v>
      </c>
    </row>
    <row r="717" spans="1:10" ht="11.25" customHeight="1">
      <c r="A717" s="3363" t="s">
        <v>5084</v>
      </c>
      <c r="B717" s="3237" t="s">
        <v>4473</v>
      </c>
      <c r="C717" s="3237" t="s">
        <v>3939</v>
      </c>
      <c r="D717" s="3237" t="s">
        <v>4459</v>
      </c>
      <c r="E717" s="3237" t="s">
        <v>4460</v>
      </c>
      <c r="F717" s="3237" t="s">
        <v>4474</v>
      </c>
      <c r="G717" s="3237" t="s">
        <v>3660</v>
      </c>
      <c r="H717" s="3237" t="s">
        <v>3219</v>
      </c>
      <c r="I717" s="3236" t="s">
        <v>4462</v>
      </c>
      <c r="J717" s="3236">
        <v>29.09</v>
      </c>
    </row>
    <row r="718" spans="1:10" ht="11.25" customHeight="1">
      <c r="A718" s="3363" t="s">
        <v>5085</v>
      </c>
      <c r="B718" s="3237" t="s">
        <v>4473</v>
      </c>
      <c r="C718" s="3237" t="s">
        <v>3940</v>
      </c>
      <c r="D718" s="3237" t="s">
        <v>4459</v>
      </c>
      <c r="E718" s="3237" t="s">
        <v>4460</v>
      </c>
      <c r="F718" s="3237" t="s">
        <v>4474</v>
      </c>
      <c r="G718" s="3237" t="s">
        <v>3660</v>
      </c>
      <c r="H718" s="3237" t="s">
        <v>3219</v>
      </c>
      <c r="I718" s="3236" t="s">
        <v>4462</v>
      </c>
      <c r="J718" s="3236">
        <v>29.09</v>
      </c>
    </row>
    <row r="719" spans="1:10" ht="11.25" customHeight="1">
      <c r="A719" s="3363" t="s">
        <v>5086</v>
      </c>
      <c r="B719" s="3237" t="s">
        <v>4473</v>
      </c>
      <c r="C719" s="3237" t="s">
        <v>3941</v>
      </c>
      <c r="D719" s="3237" t="s">
        <v>4459</v>
      </c>
      <c r="E719" s="3237" t="s">
        <v>4460</v>
      </c>
      <c r="F719" s="3237" t="s">
        <v>4474</v>
      </c>
      <c r="G719" s="3237" t="s">
        <v>3660</v>
      </c>
      <c r="H719" s="3237" t="s">
        <v>3219</v>
      </c>
      <c r="I719" s="3236" t="s">
        <v>4462</v>
      </c>
      <c r="J719" s="3236">
        <v>29.09</v>
      </c>
    </row>
    <row r="720" spans="1:10" ht="11.25" customHeight="1">
      <c r="A720" s="3363" t="s">
        <v>5087</v>
      </c>
      <c r="B720" s="3237" t="s">
        <v>4473</v>
      </c>
      <c r="C720" s="3237" t="s">
        <v>3942</v>
      </c>
      <c r="D720" s="3237" t="s">
        <v>4459</v>
      </c>
      <c r="E720" s="3237" t="s">
        <v>4460</v>
      </c>
      <c r="F720" s="3237" t="s">
        <v>4474</v>
      </c>
      <c r="G720" s="3237" t="s">
        <v>3660</v>
      </c>
      <c r="H720" s="3237" t="s">
        <v>3219</v>
      </c>
      <c r="I720" s="3236" t="s">
        <v>4462</v>
      </c>
      <c r="J720" s="3236">
        <v>29.09</v>
      </c>
    </row>
    <row r="721" spans="1:10" ht="11.25" customHeight="1">
      <c r="A721" s="3363" t="s">
        <v>5088</v>
      </c>
      <c r="B721" s="3237" t="s">
        <v>4473</v>
      </c>
      <c r="C721" s="3237" t="s">
        <v>3943</v>
      </c>
      <c r="D721" s="3237" t="s">
        <v>4459</v>
      </c>
      <c r="E721" s="3237" t="s">
        <v>4460</v>
      </c>
      <c r="F721" s="3237" t="s">
        <v>4474</v>
      </c>
      <c r="G721" s="3237" t="s">
        <v>3660</v>
      </c>
      <c r="H721" s="3237" t="s">
        <v>3219</v>
      </c>
      <c r="I721" s="3236" t="s">
        <v>4462</v>
      </c>
      <c r="J721" s="3236">
        <v>29.09</v>
      </c>
    </row>
    <row r="722" spans="1:10" ht="11.25" customHeight="1">
      <c r="A722" s="3363" t="s">
        <v>5089</v>
      </c>
      <c r="B722" s="3237" t="s">
        <v>4473</v>
      </c>
      <c r="C722" s="3237" t="s">
        <v>3944</v>
      </c>
      <c r="D722" s="3237" t="s">
        <v>4459</v>
      </c>
      <c r="E722" s="3237" t="s">
        <v>4460</v>
      </c>
      <c r="F722" s="3237" t="s">
        <v>4474</v>
      </c>
      <c r="G722" s="3237" t="s">
        <v>3660</v>
      </c>
      <c r="H722" s="3237" t="s">
        <v>3219</v>
      </c>
      <c r="I722" s="3236" t="s">
        <v>4462</v>
      </c>
      <c r="J722" s="3236">
        <v>29.09</v>
      </c>
    </row>
    <row r="723" spans="1:10" ht="11.25" customHeight="1">
      <c r="A723" s="3363" t="s">
        <v>5090</v>
      </c>
      <c r="B723" s="3237" t="s">
        <v>4473</v>
      </c>
      <c r="C723" s="3237" t="s">
        <v>3945</v>
      </c>
      <c r="D723" s="3237" t="s">
        <v>4459</v>
      </c>
      <c r="E723" s="3237" t="s">
        <v>4460</v>
      </c>
      <c r="F723" s="3237" t="s">
        <v>4474</v>
      </c>
      <c r="G723" s="3237" t="s">
        <v>3660</v>
      </c>
      <c r="H723" s="3237" t="s">
        <v>3219</v>
      </c>
      <c r="I723" s="3236" t="s">
        <v>4462</v>
      </c>
      <c r="J723" s="3236">
        <v>29.09</v>
      </c>
    </row>
    <row r="724" spans="1:10" ht="11.25" customHeight="1">
      <c r="A724" s="3363" t="s">
        <v>5091</v>
      </c>
      <c r="B724" s="3237" t="s">
        <v>4473</v>
      </c>
      <c r="C724" s="3237" t="s">
        <v>3946</v>
      </c>
      <c r="D724" s="3237" t="s">
        <v>4459</v>
      </c>
      <c r="E724" s="3237" t="s">
        <v>4460</v>
      </c>
      <c r="F724" s="3237" t="s">
        <v>4474</v>
      </c>
      <c r="G724" s="3237" t="s">
        <v>3660</v>
      </c>
      <c r="H724" s="3237" t="s">
        <v>3219</v>
      </c>
      <c r="I724" s="3236" t="s">
        <v>4462</v>
      </c>
      <c r="J724" s="3236">
        <v>29.09</v>
      </c>
    </row>
    <row r="725" spans="1:10" ht="11.25" customHeight="1">
      <c r="A725" s="3363" t="s">
        <v>5092</v>
      </c>
      <c r="B725" s="3237" t="s">
        <v>4473</v>
      </c>
      <c r="C725" s="3237" t="s">
        <v>3947</v>
      </c>
      <c r="D725" s="3237" t="s">
        <v>4459</v>
      </c>
      <c r="E725" s="3237" t="s">
        <v>4460</v>
      </c>
      <c r="F725" s="3237" t="s">
        <v>4474</v>
      </c>
      <c r="G725" s="3237" t="s">
        <v>3660</v>
      </c>
      <c r="H725" s="3237" t="s">
        <v>3219</v>
      </c>
      <c r="I725" s="3236" t="s">
        <v>4462</v>
      </c>
      <c r="J725" s="3236">
        <v>29.09</v>
      </c>
    </row>
    <row r="726" spans="1:10" ht="11.25" customHeight="1">
      <c r="A726" s="3363" t="s">
        <v>5093</v>
      </c>
      <c r="B726" s="3237" t="s">
        <v>4473</v>
      </c>
      <c r="C726" s="3237" t="s">
        <v>3948</v>
      </c>
      <c r="D726" s="3237" t="s">
        <v>4459</v>
      </c>
      <c r="E726" s="3237" t="s">
        <v>4460</v>
      </c>
      <c r="F726" s="3237" t="s">
        <v>4474</v>
      </c>
      <c r="G726" s="3237" t="s">
        <v>3660</v>
      </c>
      <c r="H726" s="3237" t="s">
        <v>3219</v>
      </c>
      <c r="I726" s="3236" t="s">
        <v>4462</v>
      </c>
      <c r="J726" s="3236">
        <v>29.09</v>
      </c>
    </row>
    <row r="727" spans="1:10" ht="11.25" customHeight="1">
      <c r="A727" s="3363" t="s">
        <v>5094</v>
      </c>
      <c r="B727" s="3237" t="s">
        <v>4473</v>
      </c>
      <c r="C727" s="3237" t="s">
        <v>3949</v>
      </c>
      <c r="D727" s="3237" t="s">
        <v>4459</v>
      </c>
      <c r="E727" s="3237" t="s">
        <v>4460</v>
      </c>
      <c r="F727" s="3237" t="s">
        <v>4474</v>
      </c>
      <c r="G727" s="3237" t="s">
        <v>3660</v>
      </c>
      <c r="H727" s="3237" t="s">
        <v>3219</v>
      </c>
      <c r="I727" s="3236" t="s">
        <v>4462</v>
      </c>
      <c r="J727" s="3236">
        <v>29.09</v>
      </c>
    </row>
    <row r="728" spans="1:10" ht="11.25" customHeight="1">
      <c r="A728" s="3363" t="s">
        <v>5095</v>
      </c>
      <c r="B728" s="3237" t="s">
        <v>4473</v>
      </c>
      <c r="C728" s="3237" t="s">
        <v>3950</v>
      </c>
      <c r="D728" s="3237" t="s">
        <v>4459</v>
      </c>
      <c r="E728" s="3237" t="s">
        <v>4460</v>
      </c>
      <c r="F728" s="3237" t="s">
        <v>4474</v>
      </c>
      <c r="G728" s="3237" t="s">
        <v>3660</v>
      </c>
      <c r="H728" s="3237" t="s">
        <v>3219</v>
      </c>
      <c r="I728" s="3236" t="s">
        <v>4462</v>
      </c>
      <c r="J728" s="3236">
        <v>29.09</v>
      </c>
    </row>
    <row r="729" spans="1:10" ht="11.25" customHeight="1">
      <c r="A729" s="3363" t="s">
        <v>5096</v>
      </c>
      <c r="B729" s="3237" t="s">
        <v>4473</v>
      </c>
      <c r="C729" s="3237" t="s">
        <v>3951</v>
      </c>
      <c r="D729" s="3237" t="s">
        <v>4459</v>
      </c>
      <c r="E729" s="3237" t="s">
        <v>4460</v>
      </c>
      <c r="F729" s="3237" t="s">
        <v>4474</v>
      </c>
      <c r="G729" s="3237" t="s">
        <v>3660</v>
      </c>
      <c r="H729" s="3237" t="s">
        <v>3219</v>
      </c>
      <c r="I729" s="3236" t="s">
        <v>4462</v>
      </c>
      <c r="J729" s="3236">
        <v>29.09</v>
      </c>
    </row>
    <row r="730" spans="1:10" ht="11.25" customHeight="1">
      <c r="A730" s="3363" t="s">
        <v>5097</v>
      </c>
      <c r="B730" s="3237" t="s">
        <v>4473</v>
      </c>
      <c r="C730" s="3237" t="s">
        <v>3952</v>
      </c>
      <c r="D730" s="3237" t="s">
        <v>4459</v>
      </c>
      <c r="E730" s="3237" t="s">
        <v>4460</v>
      </c>
      <c r="F730" s="3237" t="s">
        <v>4474</v>
      </c>
      <c r="G730" s="3237" t="s">
        <v>3660</v>
      </c>
      <c r="H730" s="3237" t="s">
        <v>3219</v>
      </c>
      <c r="I730" s="3236" t="s">
        <v>4462</v>
      </c>
      <c r="J730" s="3236">
        <v>29.09</v>
      </c>
    </row>
    <row r="731" spans="1:10" ht="11.25" customHeight="1">
      <c r="A731" s="3363" t="s">
        <v>5098</v>
      </c>
      <c r="B731" s="3237" t="s">
        <v>4473</v>
      </c>
      <c r="C731" s="3237" t="s">
        <v>3953</v>
      </c>
      <c r="D731" s="3237" t="s">
        <v>4459</v>
      </c>
      <c r="E731" s="3237" t="s">
        <v>4460</v>
      </c>
      <c r="F731" s="3237" t="s">
        <v>4474</v>
      </c>
      <c r="G731" s="3237" t="s">
        <v>3660</v>
      </c>
      <c r="H731" s="3237" t="s">
        <v>3219</v>
      </c>
      <c r="I731" s="3236" t="s">
        <v>4462</v>
      </c>
      <c r="J731" s="3236">
        <v>29.09</v>
      </c>
    </row>
    <row r="732" spans="1:10" ht="11.25" customHeight="1">
      <c r="A732" s="3363" t="s">
        <v>5099</v>
      </c>
      <c r="B732" s="3237" t="s">
        <v>4473</v>
      </c>
      <c r="C732" s="3237" t="s">
        <v>3954</v>
      </c>
      <c r="D732" s="3237" t="s">
        <v>4459</v>
      </c>
      <c r="E732" s="3237" t="s">
        <v>4460</v>
      </c>
      <c r="F732" s="3237" t="s">
        <v>4474</v>
      </c>
      <c r="G732" s="3237" t="s">
        <v>3660</v>
      </c>
      <c r="H732" s="3237" t="s">
        <v>3219</v>
      </c>
      <c r="I732" s="3236" t="s">
        <v>4462</v>
      </c>
      <c r="J732" s="3236">
        <v>29.09</v>
      </c>
    </row>
    <row r="733" spans="1:10" ht="11.25" customHeight="1">
      <c r="A733" s="3363" t="s">
        <v>5100</v>
      </c>
      <c r="B733" s="3237" t="s">
        <v>4473</v>
      </c>
      <c r="C733" s="3237" t="s">
        <v>3955</v>
      </c>
      <c r="D733" s="3237" t="s">
        <v>4459</v>
      </c>
      <c r="E733" s="3237" t="s">
        <v>4460</v>
      </c>
      <c r="F733" s="3237" t="s">
        <v>4474</v>
      </c>
      <c r="G733" s="3237" t="s">
        <v>3660</v>
      </c>
      <c r="H733" s="3237" t="s">
        <v>3219</v>
      </c>
      <c r="I733" s="3236" t="s">
        <v>4462</v>
      </c>
      <c r="J733" s="3236">
        <v>29.09</v>
      </c>
    </row>
    <row r="734" spans="1:10" ht="11.25" customHeight="1">
      <c r="A734" s="3363" t="s">
        <v>5101</v>
      </c>
      <c r="B734" s="3237" t="s">
        <v>4473</v>
      </c>
      <c r="C734" s="3237" t="s">
        <v>3956</v>
      </c>
      <c r="D734" s="3237" t="s">
        <v>4459</v>
      </c>
      <c r="E734" s="3237" t="s">
        <v>4460</v>
      </c>
      <c r="F734" s="3237" t="s">
        <v>4474</v>
      </c>
      <c r="G734" s="3237" t="s">
        <v>3660</v>
      </c>
      <c r="H734" s="3237" t="s">
        <v>3219</v>
      </c>
      <c r="I734" s="3236" t="s">
        <v>4462</v>
      </c>
      <c r="J734" s="3236">
        <v>29.09</v>
      </c>
    </row>
    <row r="735" spans="1:10" ht="11.25" customHeight="1">
      <c r="A735" s="3363" t="s">
        <v>5102</v>
      </c>
      <c r="B735" s="3237" t="s">
        <v>4473</v>
      </c>
      <c r="C735" s="3237" t="s">
        <v>3957</v>
      </c>
      <c r="D735" s="3237" t="s">
        <v>4459</v>
      </c>
      <c r="E735" s="3237" t="s">
        <v>4460</v>
      </c>
      <c r="F735" s="3237" t="s">
        <v>4474</v>
      </c>
      <c r="G735" s="3237" t="s">
        <v>3660</v>
      </c>
      <c r="H735" s="3237" t="s">
        <v>3219</v>
      </c>
      <c r="I735" s="3236" t="s">
        <v>4462</v>
      </c>
      <c r="J735" s="3236">
        <v>29.09</v>
      </c>
    </row>
    <row r="736" spans="1:10" ht="11.25" customHeight="1">
      <c r="A736" s="3363" t="s">
        <v>5103</v>
      </c>
      <c r="B736" s="3237" t="s">
        <v>4473</v>
      </c>
      <c r="C736" s="3237" t="s">
        <v>3958</v>
      </c>
      <c r="D736" s="3237" t="s">
        <v>4459</v>
      </c>
      <c r="E736" s="3237" t="s">
        <v>4460</v>
      </c>
      <c r="F736" s="3237" t="s">
        <v>4474</v>
      </c>
      <c r="G736" s="3237" t="s">
        <v>3660</v>
      </c>
      <c r="H736" s="3237" t="s">
        <v>3219</v>
      </c>
      <c r="I736" s="3236" t="s">
        <v>4462</v>
      </c>
      <c r="J736" s="3236">
        <v>29.09</v>
      </c>
    </row>
    <row r="737" spans="1:10" ht="11.25" customHeight="1">
      <c r="A737" s="3363" t="s">
        <v>5104</v>
      </c>
      <c r="B737" s="3237" t="s">
        <v>4473</v>
      </c>
      <c r="C737" s="3237" t="s">
        <v>3959</v>
      </c>
      <c r="D737" s="3237" t="s">
        <v>4459</v>
      </c>
      <c r="E737" s="3237" t="s">
        <v>4460</v>
      </c>
      <c r="F737" s="3237" t="s">
        <v>4474</v>
      </c>
      <c r="G737" s="3237" t="s">
        <v>3660</v>
      </c>
      <c r="H737" s="3237" t="s">
        <v>3219</v>
      </c>
      <c r="I737" s="3236" t="s">
        <v>4462</v>
      </c>
      <c r="J737" s="3236">
        <v>29.09</v>
      </c>
    </row>
    <row r="738" spans="1:10" ht="11.25" customHeight="1">
      <c r="A738" s="3363" t="s">
        <v>5105</v>
      </c>
      <c r="B738" s="3237" t="s">
        <v>4473</v>
      </c>
      <c r="C738" s="3237" t="s">
        <v>3960</v>
      </c>
      <c r="D738" s="3237" t="s">
        <v>4459</v>
      </c>
      <c r="E738" s="3237" t="s">
        <v>4460</v>
      </c>
      <c r="F738" s="3237" t="s">
        <v>4474</v>
      </c>
      <c r="G738" s="3237" t="s">
        <v>3660</v>
      </c>
      <c r="H738" s="3237" t="s">
        <v>3219</v>
      </c>
      <c r="I738" s="3236" t="s">
        <v>4462</v>
      </c>
      <c r="J738" s="3236">
        <v>29.09</v>
      </c>
    </row>
    <row r="739" spans="1:10" ht="11.25" customHeight="1">
      <c r="A739" s="3363" t="s">
        <v>5106</v>
      </c>
      <c r="B739" s="3237" t="s">
        <v>4473</v>
      </c>
      <c r="C739" s="3237" t="s">
        <v>3961</v>
      </c>
      <c r="D739" s="3237" t="s">
        <v>4459</v>
      </c>
      <c r="E739" s="3237" t="s">
        <v>4460</v>
      </c>
      <c r="F739" s="3237" t="s">
        <v>4474</v>
      </c>
      <c r="G739" s="3237" t="s">
        <v>3660</v>
      </c>
      <c r="H739" s="3237" t="s">
        <v>3219</v>
      </c>
      <c r="I739" s="3236" t="s">
        <v>4462</v>
      </c>
      <c r="J739" s="3236">
        <v>29.09</v>
      </c>
    </row>
    <row r="740" spans="1:10" ht="11.25" customHeight="1">
      <c r="A740" s="3363" t="s">
        <v>5107</v>
      </c>
      <c r="B740" s="3237" t="s">
        <v>4473</v>
      </c>
      <c r="C740" s="3237" t="s">
        <v>3962</v>
      </c>
      <c r="D740" s="3237" t="s">
        <v>4459</v>
      </c>
      <c r="E740" s="3237" t="s">
        <v>4460</v>
      </c>
      <c r="F740" s="3237" t="s">
        <v>4474</v>
      </c>
      <c r="G740" s="3237" t="s">
        <v>3660</v>
      </c>
      <c r="H740" s="3237" t="s">
        <v>3219</v>
      </c>
      <c r="I740" s="3236" t="s">
        <v>4462</v>
      </c>
      <c r="J740" s="3236">
        <v>29.09</v>
      </c>
    </row>
    <row r="741" spans="1:10" ht="11.25" customHeight="1">
      <c r="A741" s="3363" t="s">
        <v>5108</v>
      </c>
      <c r="B741" s="3237" t="s">
        <v>4473</v>
      </c>
      <c r="C741" s="3237" t="s">
        <v>3963</v>
      </c>
      <c r="D741" s="3237" t="s">
        <v>4459</v>
      </c>
      <c r="E741" s="3237" t="s">
        <v>4460</v>
      </c>
      <c r="F741" s="3237" t="s">
        <v>4474</v>
      </c>
      <c r="G741" s="3237" t="s">
        <v>3660</v>
      </c>
      <c r="H741" s="3237" t="s">
        <v>3219</v>
      </c>
      <c r="I741" s="3236" t="s">
        <v>4462</v>
      </c>
      <c r="J741" s="3236">
        <v>29.09</v>
      </c>
    </row>
    <row r="742" spans="1:10" ht="11.25" customHeight="1">
      <c r="A742" s="3363" t="s">
        <v>5109</v>
      </c>
      <c r="B742" s="3237" t="s">
        <v>4473</v>
      </c>
      <c r="C742" s="3237" t="s">
        <v>3964</v>
      </c>
      <c r="D742" s="3237" t="s">
        <v>4459</v>
      </c>
      <c r="E742" s="3237" t="s">
        <v>4460</v>
      </c>
      <c r="F742" s="3237" t="s">
        <v>4474</v>
      </c>
      <c r="G742" s="3237" t="s">
        <v>3660</v>
      </c>
      <c r="H742" s="3237" t="s">
        <v>3219</v>
      </c>
      <c r="I742" s="3236" t="s">
        <v>4462</v>
      </c>
      <c r="J742" s="3236">
        <v>29.09</v>
      </c>
    </row>
    <row r="743" spans="1:10" ht="11.25" customHeight="1">
      <c r="A743" s="3363" t="s">
        <v>5110</v>
      </c>
      <c r="B743" s="3237" t="s">
        <v>4473</v>
      </c>
      <c r="C743" s="3237" t="s">
        <v>3965</v>
      </c>
      <c r="D743" s="3237" t="s">
        <v>4459</v>
      </c>
      <c r="E743" s="3237" t="s">
        <v>4460</v>
      </c>
      <c r="F743" s="3237" t="s">
        <v>4474</v>
      </c>
      <c r="G743" s="3237" t="s">
        <v>3660</v>
      </c>
      <c r="H743" s="3237" t="s">
        <v>3219</v>
      </c>
      <c r="I743" s="3236" t="s">
        <v>4462</v>
      </c>
      <c r="J743" s="3236">
        <v>29.09</v>
      </c>
    </row>
    <row r="744" spans="1:10" ht="11.25" customHeight="1">
      <c r="A744" s="3363" t="s">
        <v>5111</v>
      </c>
      <c r="B744" s="3237" t="s">
        <v>4473</v>
      </c>
      <c r="C744" s="3237" t="s">
        <v>3966</v>
      </c>
      <c r="D744" s="3237" t="s">
        <v>4459</v>
      </c>
      <c r="E744" s="3237" t="s">
        <v>4460</v>
      </c>
      <c r="F744" s="3237" t="s">
        <v>4474</v>
      </c>
      <c r="G744" s="3237" t="s">
        <v>3660</v>
      </c>
      <c r="H744" s="3237" t="s">
        <v>3219</v>
      </c>
      <c r="I744" s="3236" t="s">
        <v>4462</v>
      </c>
      <c r="J744" s="3236">
        <v>29.09</v>
      </c>
    </row>
    <row r="745" spans="1:10" ht="11.25" customHeight="1">
      <c r="A745" s="3363" t="s">
        <v>5112</v>
      </c>
      <c r="B745" s="3237" t="s">
        <v>4473</v>
      </c>
      <c r="C745" s="3237" t="s">
        <v>3967</v>
      </c>
      <c r="D745" s="3237" t="s">
        <v>4459</v>
      </c>
      <c r="E745" s="3237" t="s">
        <v>4460</v>
      </c>
      <c r="F745" s="3237" t="s">
        <v>4474</v>
      </c>
      <c r="G745" s="3237" t="s">
        <v>3660</v>
      </c>
      <c r="H745" s="3237" t="s">
        <v>3219</v>
      </c>
      <c r="I745" s="3236" t="s">
        <v>4462</v>
      </c>
      <c r="J745" s="3236">
        <v>29.09</v>
      </c>
    </row>
    <row r="746" spans="1:10" ht="11.25" customHeight="1">
      <c r="A746" s="3363" t="s">
        <v>5113</v>
      </c>
      <c r="B746" s="3237" t="s">
        <v>4473</v>
      </c>
      <c r="C746" s="3237" t="s">
        <v>3968</v>
      </c>
      <c r="D746" s="3237" t="s">
        <v>4459</v>
      </c>
      <c r="E746" s="3237" t="s">
        <v>4460</v>
      </c>
      <c r="F746" s="3237" t="s">
        <v>4474</v>
      </c>
      <c r="G746" s="3237" t="s">
        <v>3660</v>
      </c>
      <c r="H746" s="3237" t="s">
        <v>3219</v>
      </c>
      <c r="I746" s="3236" t="s">
        <v>4462</v>
      </c>
      <c r="J746" s="3236">
        <v>29.09</v>
      </c>
    </row>
    <row r="747" spans="1:10" ht="11.25" customHeight="1">
      <c r="A747" s="3363" t="s">
        <v>5114</v>
      </c>
      <c r="B747" s="3237" t="s">
        <v>4473</v>
      </c>
      <c r="C747" s="3237" t="s">
        <v>3969</v>
      </c>
      <c r="D747" s="3237" t="s">
        <v>4459</v>
      </c>
      <c r="E747" s="3237" t="s">
        <v>4460</v>
      </c>
      <c r="F747" s="3237" t="s">
        <v>4474</v>
      </c>
      <c r="G747" s="3237" t="s">
        <v>3660</v>
      </c>
      <c r="H747" s="3237" t="s">
        <v>3219</v>
      </c>
      <c r="I747" s="3236" t="s">
        <v>4462</v>
      </c>
      <c r="J747" s="3236">
        <v>29.09</v>
      </c>
    </row>
    <row r="748" spans="1:10" ht="11.25" customHeight="1">
      <c r="A748" s="3363" t="s">
        <v>5115</v>
      </c>
      <c r="B748" s="3237" t="s">
        <v>4473</v>
      </c>
      <c r="C748" s="3237" t="s">
        <v>3970</v>
      </c>
      <c r="D748" s="3237" t="s">
        <v>4459</v>
      </c>
      <c r="E748" s="3237" t="s">
        <v>4460</v>
      </c>
      <c r="F748" s="3237" t="s">
        <v>4474</v>
      </c>
      <c r="G748" s="3237" t="s">
        <v>3660</v>
      </c>
      <c r="H748" s="3237" t="s">
        <v>3219</v>
      </c>
      <c r="I748" s="3236" t="s">
        <v>4462</v>
      </c>
      <c r="J748" s="3236">
        <v>29.09</v>
      </c>
    </row>
    <row r="749" spans="1:10" ht="11.25" customHeight="1">
      <c r="A749" s="3363" t="s">
        <v>5116</v>
      </c>
      <c r="B749" s="3237" t="s">
        <v>4473</v>
      </c>
      <c r="C749" s="3237" t="s">
        <v>3971</v>
      </c>
      <c r="D749" s="3237" t="s">
        <v>4459</v>
      </c>
      <c r="E749" s="3237" t="s">
        <v>4460</v>
      </c>
      <c r="F749" s="3237" t="s">
        <v>4474</v>
      </c>
      <c r="G749" s="3237" t="s">
        <v>3660</v>
      </c>
      <c r="H749" s="3237" t="s">
        <v>3219</v>
      </c>
      <c r="I749" s="3236" t="s">
        <v>4462</v>
      </c>
      <c r="J749" s="3236">
        <v>29.09</v>
      </c>
    </row>
    <row r="750" spans="1:10" ht="11.25" customHeight="1">
      <c r="A750" s="3363" t="s">
        <v>5117</v>
      </c>
      <c r="B750" s="3237" t="s">
        <v>4473</v>
      </c>
      <c r="C750" s="3237" t="s">
        <v>3972</v>
      </c>
      <c r="D750" s="3237" t="s">
        <v>4459</v>
      </c>
      <c r="E750" s="3237" t="s">
        <v>4460</v>
      </c>
      <c r="F750" s="3237" t="s">
        <v>4474</v>
      </c>
      <c r="G750" s="3237" t="s">
        <v>3660</v>
      </c>
      <c r="H750" s="3237" t="s">
        <v>3219</v>
      </c>
      <c r="I750" s="3236" t="s">
        <v>4462</v>
      </c>
      <c r="J750" s="3236">
        <v>37.869999999999997</v>
      </c>
    </row>
    <row r="751" spans="1:10" ht="11.25" customHeight="1">
      <c r="A751" s="3363" t="s">
        <v>5118</v>
      </c>
      <c r="B751" s="3237" t="s">
        <v>4473</v>
      </c>
      <c r="C751" s="3237" t="s">
        <v>3973</v>
      </c>
      <c r="D751" s="3237" t="s">
        <v>4459</v>
      </c>
      <c r="E751" s="3237" t="s">
        <v>4460</v>
      </c>
      <c r="F751" s="3237" t="s">
        <v>4474</v>
      </c>
      <c r="G751" s="3237" t="s">
        <v>3660</v>
      </c>
      <c r="H751" s="3237" t="s">
        <v>3219</v>
      </c>
      <c r="I751" s="3236" t="s">
        <v>4462</v>
      </c>
      <c r="J751" s="3236">
        <v>29.09</v>
      </c>
    </row>
    <row r="752" spans="1:10" ht="11.25" customHeight="1">
      <c r="A752" s="3363" t="s">
        <v>5119</v>
      </c>
      <c r="B752" s="3237" t="s">
        <v>4473</v>
      </c>
      <c r="C752" s="3237" t="s">
        <v>3974</v>
      </c>
      <c r="D752" s="3237" t="s">
        <v>4459</v>
      </c>
      <c r="E752" s="3237" t="s">
        <v>4460</v>
      </c>
      <c r="F752" s="3237" t="s">
        <v>4474</v>
      </c>
      <c r="G752" s="3237" t="s">
        <v>3660</v>
      </c>
      <c r="H752" s="3237" t="s">
        <v>3219</v>
      </c>
      <c r="I752" s="3236" t="s">
        <v>4462</v>
      </c>
      <c r="J752" s="3236">
        <v>29.09</v>
      </c>
    </row>
    <row r="753" spans="1:10" ht="11.25" customHeight="1">
      <c r="A753" s="3363" t="s">
        <v>5120</v>
      </c>
      <c r="B753" s="3237" t="s">
        <v>4473</v>
      </c>
      <c r="C753" s="3237" t="s">
        <v>3975</v>
      </c>
      <c r="D753" s="3237" t="s">
        <v>4459</v>
      </c>
      <c r="E753" s="3237" t="s">
        <v>4460</v>
      </c>
      <c r="F753" s="3237" t="s">
        <v>4474</v>
      </c>
      <c r="G753" s="3237" t="s">
        <v>3660</v>
      </c>
      <c r="H753" s="3237" t="s">
        <v>3219</v>
      </c>
      <c r="I753" s="3236" t="s">
        <v>4462</v>
      </c>
      <c r="J753" s="3236">
        <v>29.09</v>
      </c>
    </row>
    <row r="754" spans="1:10" ht="11.25" customHeight="1">
      <c r="A754" s="3363" t="s">
        <v>5121</v>
      </c>
      <c r="B754" s="3237" t="s">
        <v>4473</v>
      </c>
      <c r="C754" s="3237" t="s">
        <v>3976</v>
      </c>
      <c r="D754" s="3237" t="s">
        <v>4459</v>
      </c>
      <c r="E754" s="3237" t="s">
        <v>4460</v>
      </c>
      <c r="F754" s="3237" t="s">
        <v>4474</v>
      </c>
      <c r="G754" s="3237" t="s">
        <v>3660</v>
      </c>
      <c r="H754" s="3237" t="s">
        <v>3219</v>
      </c>
      <c r="I754" s="3236" t="s">
        <v>4462</v>
      </c>
      <c r="J754" s="3236">
        <v>29.09</v>
      </c>
    </row>
    <row r="755" spans="1:10" ht="11.25" customHeight="1">
      <c r="A755" s="3363" t="s">
        <v>5122</v>
      </c>
      <c r="B755" s="3237" t="s">
        <v>4473</v>
      </c>
      <c r="C755" s="3237" t="s">
        <v>3977</v>
      </c>
      <c r="D755" s="3237" t="s">
        <v>4459</v>
      </c>
      <c r="E755" s="3237" t="s">
        <v>4460</v>
      </c>
      <c r="F755" s="3237" t="s">
        <v>4474</v>
      </c>
      <c r="G755" s="3237" t="s">
        <v>3660</v>
      </c>
      <c r="H755" s="3237" t="s">
        <v>3219</v>
      </c>
      <c r="I755" s="3236" t="s">
        <v>4462</v>
      </c>
      <c r="J755" s="3236">
        <v>29.09</v>
      </c>
    </row>
    <row r="756" spans="1:10" ht="11.25" customHeight="1">
      <c r="A756" s="3363" t="s">
        <v>5123</v>
      </c>
      <c r="B756" s="3237" t="s">
        <v>4473</v>
      </c>
      <c r="C756" s="3237" t="s">
        <v>3978</v>
      </c>
      <c r="D756" s="3237" t="s">
        <v>4459</v>
      </c>
      <c r="E756" s="3237" t="s">
        <v>4460</v>
      </c>
      <c r="F756" s="3237" t="s">
        <v>4474</v>
      </c>
      <c r="G756" s="3237" t="s">
        <v>3660</v>
      </c>
      <c r="H756" s="3237" t="s">
        <v>3219</v>
      </c>
      <c r="I756" s="3236" t="s">
        <v>4462</v>
      </c>
      <c r="J756" s="3236">
        <v>29.09</v>
      </c>
    </row>
    <row r="757" spans="1:10" ht="11.25" customHeight="1">
      <c r="A757" s="3363" t="s">
        <v>5124</v>
      </c>
      <c r="B757" s="3237" t="s">
        <v>4473</v>
      </c>
      <c r="C757" s="3237" t="s">
        <v>3979</v>
      </c>
      <c r="D757" s="3237" t="s">
        <v>4459</v>
      </c>
      <c r="E757" s="3237" t="s">
        <v>4460</v>
      </c>
      <c r="F757" s="3237" t="s">
        <v>4474</v>
      </c>
      <c r="G757" s="3237" t="s">
        <v>3660</v>
      </c>
      <c r="H757" s="3237" t="s">
        <v>3219</v>
      </c>
      <c r="I757" s="3236" t="s">
        <v>4462</v>
      </c>
      <c r="J757" s="3236">
        <v>29.09</v>
      </c>
    </row>
    <row r="758" spans="1:10" ht="11.25" customHeight="1">
      <c r="A758" s="3363" t="s">
        <v>5125</v>
      </c>
      <c r="B758" s="3237" t="s">
        <v>4473</v>
      </c>
      <c r="C758" s="3237" t="s">
        <v>3980</v>
      </c>
      <c r="D758" s="3237" t="s">
        <v>4459</v>
      </c>
      <c r="E758" s="3237" t="s">
        <v>4460</v>
      </c>
      <c r="F758" s="3237" t="s">
        <v>4474</v>
      </c>
      <c r="G758" s="3237" t="s">
        <v>3660</v>
      </c>
      <c r="H758" s="3237" t="s">
        <v>3219</v>
      </c>
      <c r="I758" s="3236" t="s">
        <v>4462</v>
      </c>
      <c r="J758" s="3236">
        <v>29.09</v>
      </c>
    </row>
    <row r="759" spans="1:10" ht="11.25" customHeight="1">
      <c r="A759" s="3363" t="s">
        <v>5126</v>
      </c>
      <c r="B759" s="3237" t="s">
        <v>4473</v>
      </c>
      <c r="C759" s="3237" t="s">
        <v>3981</v>
      </c>
      <c r="D759" s="3237" t="s">
        <v>4459</v>
      </c>
      <c r="E759" s="3237" t="s">
        <v>4460</v>
      </c>
      <c r="F759" s="3237" t="s">
        <v>4474</v>
      </c>
      <c r="G759" s="3237" t="s">
        <v>3660</v>
      </c>
      <c r="H759" s="3237" t="s">
        <v>3219</v>
      </c>
      <c r="I759" s="3236" t="s">
        <v>4462</v>
      </c>
      <c r="J759" s="3236">
        <v>29.09</v>
      </c>
    </row>
    <row r="760" spans="1:10" ht="11.25" customHeight="1">
      <c r="A760" s="3363" t="s">
        <v>5127</v>
      </c>
      <c r="B760" s="3237" t="s">
        <v>4473</v>
      </c>
      <c r="C760" s="3237" t="s">
        <v>3982</v>
      </c>
      <c r="D760" s="3237" t="s">
        <v>4459</v>
      </c>
      <c r="E760" s="3237" t="s">
        <v>4460</v>
      </c>
      <c r="F760" s="3237" t="s">
        <v>4474</v>
      </c>
      <c r="G760" s="3237" t="s">
        <v>3660</v>
      </c>
      <c r="H760" s="3237" t="s">
        <v>3219</v>
      </c>
      <c r="I760" s="3236" t="s">
        <v>4462</v>
      </c>
      <c r="J760" s="3236">
        <v>29.09</v>
      </c>
    </row>
    <row r="761" spans="1:10" ht="11.25" customHeight="1">
      <c r="A761" s="3363" t="s">
        <v>5128</v>
      </c>
      <c r="B761" s="3237" t="s">
        <v>4473</v>
      </c>
      <c r="C761" s="3237" t="s">
        <v>3983</v>
      </c>
      <c r="D761" s="3237" t="s">
        <v>4459</v>
      </c>
      <c r="E761" s="3237" t="s">
        <v>4460</v>
      </c>
      <c r="F761" s="3237" t="s">
        <v>4474</v>
      </c>
      <c r="G761" s="3237" t="s">
        <v>3660</v>
      </c>
      <c r="H761" s="3237" t="s">
        <v>3219</v>
      </c>
      <c r="I761" s="3236" t="s">
        <v>4462</v>
      </c>
      <c r="J761" s="3236">
        <v>29.09</v>
      </c>
    </row>
    <row r="762" spans="1:10" ht="11.25" customHeight="1">
      <c r="A762" s="3363" t="s">
        <v>5129</v>
      </c>
      <c r="B762" s="3237" t="s">
        <v>4473</v>
      </c>
      <c r="C762" s="3237" t="s">
        <v>3984</v>
      </c>
      <c r="D762" s="3237" t="s">
        <v>4459</v>
      </c>
      <c r="E762" s="3237" t="s">
        <v>4460</v>
      </c>
      <c r="F762" s="3237" t="s">
        <v>4474</v>
      </c>
      <c r="G762" s="3237" t="s">
        <v>3660</v>
      </c>
      <c r="H762" s="3237" t="s">
        <v>3219</v>
      </c>
      <c r="I762" s="3236" t="s">
        <v>4462</v>
      </c>
      <c r="J762" s="3236">
        <v>29.09</v>
      </c>
    </row>
    <row r="763" spans="1:10" ht="11.25" customHeight="1">
      <c r="A763" s="3363" t="s">
        <v>5130</v>
      </c>
      <c r="B763" s="3237" t="s">
        <v>4473</v>
      </c>
      <c r="C763" s="3237" t="s">
        <v>3985</v>
      </c>
      <c r="D763" s="3237" t="s">
        <v>4459</v>
      </c>
      <c r="E763" s="3237" t="s">
        <v>4460</v>
      </c>
      <c r="F763" s="3237" t="s">
        <v>4474</v>
      </c>
      <c r="G763" s="3237" t="s">
        <v>3660</v>
      </c>
      <c r="H763" s="3237" t="s">
        <v>3219</v>
      </c>
      <c r="I763" s="3236" t="s">
        <v>4462</v>
      </c>
      <c r="J763" s="3236">
        <v>29.09</v>
      </c>
    </row>
    <row r="764" spans="1:10" ht="11.25" customHeight="1">
      <c r="A764" s="3363" t="s">
        <v>5131</v>
      </c>
      <c r="B764" s="3237" t="s">
        <v>4473</v>
      </c>
      <c r="C764" s="3237" t="s">
        <v>3986</v>
      </c>
      <c r="D764" s="3237" t="s">
        <v>4459</v>
      </c>
      <c r="E764" s="3237" t="s">
        <v>4460</v>
      </c>
      <c r="F764" s="3237" t="s">
        <v>4474</v>
      </c>
      <c r="G764" s="3237" t="s">
        <v>3660</v>
      </c>
      <c r="H764" s="3237" t="s">
        <v>3219</v>
      </c>
      <c r="I764" s="3236" t="s">
        <v>4462</v>
      </c>
      <c r="J764" s="3236">
        <v>29.09</v>
      </c>
    </row>
    <row r="765" spans="1:10" ht="11.25" customHeight="1">
      <c r="A765" s="3363" t="s">
        <v>5132</v>
      </c>
      <c r="B765" s="3237" t="s">
        <v>4473</v>
      </c>
      <c r="C765" s="3237" t="s">
        <v>3987</v>
      </c>
      <c r="D765" s="3237" t="s">
        <v>4459</v>
      </c>
      <c r="E765" s="3237" t="s">
        <v>4460</v>
      </c>
      <c r="F765" s="3237" t="s">
        <v>4474</v>
      </c>
      <c r="G765" s="3237" t="s">
        <v>3660</v>
      </c>
      <c r="H765" s="3237" t="s">
        <v>3219</v>
      </c>
      <c r="I765" s="3236" t="s">
        <v>4462</v>
      </c>
      <c r="J765" s="3236">
        <v>29.09</v>
      </c>
    </row>
    <row r="766" spans="1:10" ht="11.25" customHeight="1">
      <c r="A766" s="3363" t="s">
        <v>5133</v>
      </c>
      <c r="B766" s="3237" t="s">
        <v>4473</v>
      </c>
      <c r="C766" s="3237" t="s">
        <v>3988</v>
      </c>
      <c r="D766" s="3237" t="s">
        <v>4459</v>
      </c>
      <c r="E766" s="3237" t="s">
        <v>4460</v>
      </c>
      <c r="F766" s="3237" t="s">
        <v>4474</v>
      </c>
      <c r="G766" s="3237" t="s">
        <v>3660</v>
      </c>
      <c r="H766" s="3237" t="s">
        <v>3219</v>
      </c>
      <c r="I766" s="3236" t="s">
        <v>4462</v>
      </c>
      <c r="J766" s="3236">
        <v>29.09</v>
      </c>
    </row>
    <row r="767" spans="1:10" ht="11.25" customHeight="1">
      <c r="A767" s="3363" t="s">
        <v>5134</v>
      </c>
      <c r="B767" s="3237" t="s">
        <v>4473</v>
      </c>
      <c r="C767" s="3237" t="s">
        <v>3989</v>
      </c>
      <c r="D767" s="3237" t="s">
        <v>4459</v>
      </c>
      <c r="E767" s="3237" t="s">
        <v>4460</v>
      </c>
      <c r="F767" s="3237" t="s">
        <v>4474</v>
      </c>
      <c r="G767" s="3237" t="s">
        <v>3660</v>
      </c>
      <c r="H767" s="3237" t="s">
        <v>3219</v>
      </c>
      <c r="I767" s="3236" t="s">
        <v>4462</v>
      </c>
      <c r="J767" s="3236">
        <v>29.09</v>
      </c>
    </row>
    <row r="768" spans="1:10" ht="11.25" customHeight="1">
      <c r="A768" s="3363" t="s">
        <v>5135</v>
      </c>
      <c r="B768" s="3237" t="s">
        <v>4473</v>
      </c>
      <c r="C768" s="3237" t="s">
        <v>3990</v>
      </c>
      <c r="D768" s="3237" t="s">
        <v>4459</v>
      </c>
      <c r="E768" s="3237" t="s">
        <v>4460</v>
      </c>
      <c r="F768" s="3237" t="s">
        <v>4474</v>
      </c>
      <c r="G768" s="3237" t="s">
        <v>3660</v>
      </c>
      <c r="H768" s="3237" t="s">
        <v>3219</v>
      </c>
      <c r="I768" s="3236" t="s">
        <v>4462</v>
      </c>
      <c r="J768" s="3236">
        <v>29.09</v>
      </c>
    </row>
    <row r="769" spans="1:10" ht="11.25" customHeight="1">
      <c r="A769" s="3363" t="s">
        <v>5136</v>
      </c>
      <c r="B769" s="3237" t="s">
        <v>4473</v>
      </c>
      <c r="C769" s="3237" t="s">
        <v>3991</v>
      </c>
      <c r="D769" s="3237" t="s">
        <v>4459</v>
      </c>
      <c r="E769" s="3237" t="s">
        <v>4460</v>
      </c>
      <c r="F769" s="3237" t="s">
        <v>4474</v>
      </c>
      <c r="G769" s="3237" t="s">
        <v>3660</v>
      </c>
      <c r="H769" s="3237" t="s">
        <v>3219</v>
      </c>
      <c r="I769" s="3236" t="s">
        <v>4462</v>
      </c>
      <c r="J769" s="3236">
        <v>29.09</v>
      </c>
    </row>
    <row r="770" spans="1:10" ht="11.25" customHeight="1">
      <c r="A770" s="3363" t="s">
        <v>5137</v>
      </c>
      <c r="B770" s="3237" t="s">
        <v>4473</v>
      </c>
      <c r="C770" s="3237" t="s">
        <v>3992</v>
      </c>
      <c r="D770" s="3237" t="s">
        <v>4459</v>
      </c>
      <c r="E770" s="3237" t="s">
        <v>4460</v>
      </c>
      <c r="F770" s="3237" t="s">
        <v>4474</v>
      </c>
      <c r="G770" s="3237" t="s">
        <v>3660</v>
      </c>
      <c r="H770" s="3237" t="s">
        <v>3219</v>
      </c>
      <c r="I770" s="3236" t="s">
        <v>4462</v>
      </c>
      <c r="J770" s="3236">
        <v>29.09</v>
      </c>
    </row>
    <row r="771" spans="1:10" ht="11.25" customHeight="1">
      <c r="A771" s="3363" t="s">
        <v>5138</v>
      </c>
      <c r="B771" s="3237" t="s">
        <v>4473</v>
      </c>
      <c r="C771" s="3237" t="s">
        <v>3993</v>
      </c>
      <c r="D771" s="3237" t="s">
        <v>4459</v>
      </c>
      <c r="E771" s="3237" t="s">
        <v>4460</v>
      </c>
      <c r="F771" s="3237" t="s">
        <v>4474</v>
      </c>
      <c r="G771" s="3237" t="s">
        <v>3660</v>
      </c>
      <c r="H771" s="3237" t="s">
        <v>3219</v>
      </c>
      <c r="I771" s="3236" t="s">
        <v>4462</v>
      </c>
      <c r="J771" s="3236">
        <v>29.09</v>
      </c>
    </row>
    <row r="772" spans="1:10" ht="11.25" customHeight="1">
      <c r="A772" s="3363" t="s">
        <v>5139</v>
      </c>
      <c r="B772" s="3237" t="s">
        <v>4473</v>
      </c>
      <c r="C772" s="3237" t="s">
        <v>3994</v>
      </c>
      <c r="D772" s="3237" t="s">
        <v>4459</v>
      </c>
      <c r="E772" s="3237" t="s">
        <v>4460</v>
      </c>
      <c r="F772" s="3237" t="s">
        <v>4474</v>
      </c>
      <c r="G772" s="3237" t="s">
        <v>3660</v>
      </c>
      <c r="H772" s="3237" t="s">
        <v>3219</v>
      </c>
      <c r="I772" s="3236" t="s">
        <v>4462</v>
      </c>
      <c r="J772" s="3236">
        <v>29.09</v>
      </c>
    </row>
    <row r="773" spans="1:10" ht="11.25" customHeight="1">
      <c r="A773" s="3363" t="s">
        <v>5140</v>
      </c>
      <c r="B773" s="3237" t="s">
        <v>4473</v>
      </c>
      <c r="C773" s="3237" t="s">
        <v>3995</v>
      </c>
      <c r="D773" s="3237" t="s">
        <v>4459</v>
      </c>
      <c r="E773" s="3237" t="s">
        <v>4460</v>
      </c>
      <c r="F773" s="3237" t="s">
        <v>4474</v>
      </c>
      <c r="G773" s="3237" t="s">
        <v>3660</v>
      </c>
      <c r="H773" s="3237" t="s">
        <v>3219</v>
      </c>
      <c r="I773" s="3236" t="s">
        <v>4462</v>
      </c>
      <c r="J773" s="3236">
        <v>29.09</v>
      </c>
    </row>
    <row r="774" spans="1:10" ht="11.25" customHeight="1">
      <c r="A774" s="3363" t="s">
        <v>5141</v>
      </c>
      <c r="B774" s="3237" t="s">
        <v>4473</v>
      </c>
      <c r="C774" s="3237" t="s">
        <v>3996</v>
      </c>
      <c r="D774" s="3237" t="s">
        <v>4459</v>
      </c>
      <c r="E774" s="3237" t="s">
        <v>4460</v>
      </c>
      <c r="F774" s="3237" t="s">
        <v>4474</v>
      </c>
      <c r="G774" s="3237" t="s">
        <v>3660</v>
      </c>
      <c r="H774" s="3237" t="s">
        <v>3219</v>
      </c>
      <c r="I774" s="3236" t="s">
        <v>4462</v>
      </c>
      <c r="J774" s="3236">
        <v>29.09</v>
      </c>
    </row>
    <row r="775" spans="1:10" ht="11.25" customHeight="1">
      <c r="A775" s="3363" t="s">
        <v>5142</v>
      </c>
      <c r="B775" s="3237" t="s">
        <v>4473</v>
      </c>
      <c r="C775" s="3237" t="s">
        <v>3997</v>
      </c>
      <c r="D775" s="3237" t="s">
        <v>4459</v>
      </c>
      <c r="E775" s="3237" t="s">
        <v>4460</v>
      </c>
      <c r="F775" s="3237" t="s">
        <v>4474</v>
      </c>
      <c r="G775" s="3237" t="s">
        <v>3660</v>
      </c>
      <c r="H775" s="3237" t="s">
        <v>3219</v>
      </c>
      <c r="I775" s="3236" t="s">
        <v>4462</v>
      </c>
      <c r="J775" s="3236">
        <v>29.09</v>
      </c>
    </row>
    <row r="776" spans="1:10" ht="11.25" customHeight="1">
      <c r="A776" s="3363" t="s">
        <v>5143</v>
      </c>
      <c r="B776" s="3237" t="s">
        <v>4473</v>
      </c>
      <c r="C776" s="3237" t="s">
        <v>3998</v>
      </c>
      <c r="D776" s="3237" t="s">
        <v>4459</v>
      </c>
      <c r="E776" s="3237" t="s">
        <v>4460</v>
      </c>
      <c r="F776" s="3237" t="s">
        <v>4474</v>
      </c>
      <c r="G776" s="3237" t="s">
        <v>3660</v>
      </c>
      <c r="H776" s="3237" t="s">
        <v>3219</v>
      </c>
      <c r="I776" s="3236" t="s">
        <v>4462</v>
      </c>
      <c r="J776" s="3236">
        <v>29.09</v>
      </c>
    </row>
    <row r="777" spans="1:10" ht="11.25" customHeight="1">
      <c r="A777" s="3363" t="s">
        <v>5144</v>
      </c>
      <c r="B777" s="3237" t="s">
        <v>4473</v>
      </c>
      <c r="C777" s="3237" t="s">
        <v>3999</v>
      </c>
      <c r="D777" s="3237" t="s">
        <v>4459</v>
      </c>
      <c r="E777" s="3237" t="s">
        <v>4460</v>
      </c>
      <c r="F777" s="3237" t="s">
        <v>4474</v>
      </c>
      <c r="G777" s="3237" t="s">
        <v>3660</v>
      </c>
      <c r="H777" s="3237" t="s">
        <v>3219</v>
      </c>
      <c r="I777" s="3236" t="s">
        <v>4462</v>
      </c>
      <c r="J777" s="3236">
        <v>29.09</v>
      </c>
    </row>
    <row r="778" spans="1:10" ht="11.25" customHeight="1">
      <c r="A778" s="3363" t="s">
        <v>5145</v>
      </c>
      <c r="B778" s="3237" t="s">
        <v>4473</v>
      </c>
      <c r="C778" s="3237" t="s">
        <v>4000</v>
      </c>
      <c r="D778" s="3237" t="s">
        <v>4459</v>
      </c>
      <c r="E778" s="3237" t="s">
        <v>4460</v>
      </c>
      <c r="F778" s="3237" t="s">
        <v>4474</v>
      </c>
      <c r="G778" s="3237" t="s">
        <v>3660</v>
      </c>
      <c r="H778" s="3237" t="s">
        <v>3219</v>
      </c>
      <c r="I778" s="3236" t="s">
        <v>4462</v>
      </c>
      <c r="J778" s="3236">
        <v>29.09</v>
      </c>
    </row>
    <row r="779" spans="1:10" ht="11.25" customHeight="1">
      <c r="A779" s="3363" t="s">
        <v>5146</v>
      </c>
      <c r="B779" s="3237" t="s">
        <v>4473</v>
      </c>
      <c r="C779" s="3237" t="s">
        <v>4001</v>
      </c>
      <c r="D779" s="3237" t="s">
        <v>4459</v>
      </c>
      <c r="E779" s="3237" t="s">
        <v>4460</v>
      </c>
      <c r="F779" s="3237" t="s">
        <v>4474</v>
      </c>
      <c r="G779" s="3237" t="s">
        <v>3660</v>
      </c>
      <c r="H779" s="3237" t="s">
        <v>3219</v>
      </c>
      <c r="I779" s="3236" t="s">
        <v>4462</v>
      </c>
      <c r="J779" s="3236">
        <v>29.09</v>
      </c>
    </row>
    <row r="780" spans="1:10" ht="11.25" customHeight="1">
      <c r="A780" s="3363" t="s">
        <v>5147</v>
      </c>
      <c r="B780" s="3237" t="s">
        <v>4473</v>
      </c>
      <c r="C780" s="3237" t="s">
        <v>4002</v>
      </c>
      <c r="D780" s="3237" t="s">
        <v>4459</v>
      </c>
      <c r="E780" s="3237" t="s">
        <v>4460</v>
      </c>
      <c r="F780" s="3237" t="s">
        <v>4474</v>
      </c>
      <c r="G780" s="3237" t="s">
        <v>3660</v>
      </c>
      <c r="H780" s="3237" t="s">
        <v>3219</v>
      </c>
      <c r="I780" s="3236" t="s">
        <v>4462</v>
      </c>
      <c r="J780" s="3236">
        <v>29.09</v>
      </c>
    </row>
    <row r="781" spans="1:10" ht="11.25" customHeight="1">
      <c r="A781" s="3363" t="s">
        <v>5148</v>
      </c>
      <c r="B781" s="3237" t="s">
        <v>4473</v>
      </c>
      <c r="C781" s="3237" t="s">
        <v>4003</v>
      </c>
      <c r="D781" s="3237" t="s">
        <v>4459</v>
      </c>
      <c r="E781" s="3237" t="s">
        <v>4460</v>
      </c>
      <c r="F781" s="3237" t="s">
        <v>4474</v>
      </c>
      <c r="G781" s="3237" t="s">
        <v>3660</v>
      </c>
      <c r="H781" s="3237" t="s">
        <v>3219</v>
      </c>
      <c r="I781" s="3236" t="s">
        <v>4462</v>
      </c>
      <c r="J781" s="3236">
        <v>29.09</v>
      </c>
    </row>
    <row r="782" spans="1:10" ht="11.25" customHeight="1">
      <c r="A782" s="3363" t="s">
        <v>5149</v>
      </c>
      <c r="B782" s="3237" t="s">
        <v>4473</v>
      </c>
      <c r="C782" s="3237" t="s">
        <v>4004</v>
      </c>
      <c r="D782" s="3237" t="s">
        <v>4459</v>
      </c>
      <c r="E782" s="3237" t="s">
        <v>4460</v>
      </c>
      <c r="F782" s="3237" t="s">
        <v>4474</v>
      </c>
      <c r="G782" s="3237" t="s">
        <v>3660</v>
      </c>
      <c r="H782" s="3237" t="s">
        <v>3219</v>
      </c>
      <c r="I782" s="3236" t="s">
        <v>4462</v>
      </c>
      <c r="J782" s="3236">
        <v>29.09</v>
      </c>
    </row>
    <row r="783" spans="1:10" ht="11.25" customHeight="1">
      <c r="A783" s="3363" t="s">
        <v>5150</v>
      </c>
      <c r="B783" s="3237" t="s">
        <v>4473</v>
      </c>
      <c r="C783" s="3237" t="s">
        <v>4005</v>
      </c>
      <c r="D783" s="3237" t="s">
        <v>4459</v>
      </c>
      <c r="E783" s="3237" t="s">
        <v>4460</v>
      </c>
      <c r="F783" s="3237" t="s">
        <v>4474</v>
      </c>
      <c r="G783" s="3237" t="s">
        <v>3660</v>
      </c>
      <c r="H783" s="3237" t="s">
        <v>3219</v>
      </c>
      <c r="I783" s="3236" t="s">
        <v>4462</v>
      </c>
      <c r="J783" s="3236">
        <v>29.09</v>
      </c>
    </row>
    <row r="784" spans="1:10" ht="11.25" customHeight="1">
      <c r="A784" s="3363" t="s">
        <v>5151</v>
      </c>
      <c r="B784" s="3237" t="s">
        <v>4473</v>
      </c>
      <c r="C784" s="3237" t="s">
        <v>4006</v>
      </c>
      <c r="D784" s="3237" t="s">
        <v>4459</v>
      </c>
      <c r="E784" s="3237" t="s">
        <v>4460</v>
      </c>
      <c r="F784" s="3237" t="s">
        <v>4474</v>
      </c>
      <c r="G784" s="3237" t="s">
        <v>3660</v>
      </c>
      <c r="H784" s="3237" t="s">
        <v>3219</v>
      </c>
      <c r="I784" s="3236" t="s">
        <v>4462</v>
      </c>
      <c r="J784" s="3236">
        <v>29.09</v>
      </c>
    </row>
    <row r="785" spans="1:10" ht="11.25" customHeight="1">
      <c r="A785" s="3363" t="s">
        <v>5152</v>
      </c>
      <c r="B785" s="3237" t="s">
        <v>4473</v>
      </c>
      <c r="C785" s="3237" t="s">
        <v>4007</v>
      </c>
      <c r="D785" s="3237" t="s">
        <v>4459</v>
      </c>
      <c r="E785" s="3237" t="s">
        <v>4460</v>
      </c>
      <c r="F785" s="3237" t="s">
        <v>4474</v>
      </c>
      <c r="G785" s="3237" t="s">
        <v>3660</v>
      </c>
      <c r="H785" s="3237" t="s">
        <v>3219</v>
      </c>
      <c r="I785" s="3236" t="s">
        <v>4462</v>
      </c>
      <c r="J785" s="3236">
        <v>29.09</v>
      </c>
    </row>
    <row r="786" spans="1:10" ht="11.25" customHeight="1">
      <c r="A786" s="3363" t="s">
        <v>5153</v>
      </c>
      <c r="B786" s="3237" t="s">
        <v>4473</v>
      </c>
      <c r="C786" s="3237" t="s">
        <v>4008</v>
      </c>
      <c r="D786" s="3237" t="s">
        <v>4459</v>
      </c>
      <c r="E786" s="3237" t="s">
        <v>4460</v>
      </c>
      <c r="F786" s="3237" t="s">
        <v>4474</v>
      </c>
      <c r="G786" s="3237" t="s">
        <v>3660</v>
      </c>
      <c r="H786" s="3237" t="s">
        <v>3219</v>
      </c>
      <c r="I786" s="3236" t="s">
        <v>4462</v>
      </c>
      <c r="J786" s="3236">
        <v>29.09</v>
      </c>
    </row>
    <row r="787" spans="1:10" ht="11.25" customHeight="1">
      <c r="A787" s="3363" t="s">
        <v>5154</v>
      </c>
      <c r="B787" s="3237" t="s">
        <v>4473</v>
      </c>
      <c r="C787" s="3237" t="s">
        <v>4009</v>
      </c>
      <c r="D787" s="3237" t="s">
        <v>4459</v>
      </c>
      <c r="E787" s="3237" t="s">
        <v>4460</v>
      </c>
      <c r="F787" s="3237" t="s">
        <v>4474</v>
      </c>
      <c r="G787" s="3237" t="s">
        <v>3660</v>
      </c>
      <c r="H787" s="3237" t="s">
        <v>3219</v>
      </c>
      <c r="I787" s="3236" t="s">
        <v>4462</v>
      </c>
      <c r="J787" s="3236">
        <v>29.09</v>
      </c>
    </row>
    <row r="788" spans="1:10" ht="11.25" customHeight="1">
      <c r="A788" s="3363" t="s">
        <v>5155</v>
      </c>
      <c r="B788" s="3237" t="s">
        <v>4473</v>
      </c>
      <c r="C788" s="3237" t="s">
        <v>4010</v>
      </c>
      <c r="D788" s="3237" t="s">
        <v>4459</v>
      </c>
      <c r="E788" s="3237" t="s">
        <v>4460</v>
      </c>
      <c r="F788" s="3237" t="s">
        <v>4474</v>
      </c>
      <c r="G788" s="3237" t="s">
        <v>3660</v>
      </c>
      <c r="H788" s="3237" t="s">
        <v>3219</v>
      </c>
      <c r="I788" s="3236" t="s">
        <v>4462</v>
      </c>
      <c r="J788" s="3236">
        <v>29.09</v>
      </c>
    </row>
    <row r="789" spans="1:10" ht="11.25" customHeight="1">
      <c r="A789" s="3363" t="s">
        <v>5156</v>
      </c>
      <c r="B789" s="3237" t="s">
        <v>4473</v>
      </c>
      <c r="C789" s="3237" t="s">
        <v>4011</v>
      </c>
      <c r="D789" s="3237" t="s">
        <v>4459</v>
      </c>
      <c r="E789" s="3237" t="s">
        <v>4460</v>
      </c>
      <c r="F789" s="3237" t="s">
        <v>4474</v>
      </c>
      <c r="G789" s="3237" t="s">
        <v>3660</v>
      </c>
      <c r="H789" s="3237" t="s">
        <v>3219</v>
      </c>
      <c r="I789" s="3236" t="s">
        <v>4462</v>
      </c>
      <c r="J789" s="3236">
        <v>29.09</v>
      </c>
    </row>
    <row r="790" spans="1:10" ht="11.25" customHeight="1">
      <c r="A790" s="3363" t="s">
        <v>5157</v>
      </c>
      <c r="B790" s="3237" t="s">
        <v>4473</v>
      </c>
      <c r="C790" s="3237" t="s">
        <v>4012</v>
      </c>
      <c r="D790" s="3237" t="s">
        <v>4459</v>
      </c>
      <c r="E790" s="3237" t="s">
        <v>4460</v>
      </c>
      <c r="F790" s="3237" t="s">
        <v>4474</v>
      </c>
      <c r="G790" s="3237" t="s">
        <v>3660</v>
      </c>
      <c r="H790" s="3237" t="s">
        <v>3219</v>
      </c>
      <c r="I790" s="3236" t="s">
        <v>4462</v>
      </c>
      <c r="J790" s="3236">
        <v>29.09</v>
      </c>
    </row>
    <row r="791" spans="1:10" ht="11.25" customHeight="1">
      <c r="A791" s="3363" t="s">
        <v>5158</v>
      </c>
      <c r="B791" s="3237" t="s">
        <v>4473</v>
      </c>
      <c r="C791" s="3237" t="s">
        <v>4013</v>
      </c>
      <c r="D791" s="3237" t="s">
        <v>4459</v>
      </c>
      <c r="E791" s="3237" t="s">
        <v>4460</v>
      </c>
      <c r="F791" s="3237" t="s">
        <v>4474</v>
      </c>
      <c r="G791" s="3237" t="s">
        <v>3660</v>
      </c>
      <c r="H791" s="3237" t="s">
        <v>3219</v>
      </c>
      <c r="I791" s="3236" t="s">
        <v>4462</v>
      </c>
      <c r="J791" s="3236">
        <v>29.09</v>
      </c>
    </row>
    <row r="792" spans="1:10" ht="11.25" customHeight="1">
      <c r="A792" s="3363" t="s">
        <v>5159</v>
      </c>
      <c r="B792" s="3237" t="s">
        <v>4473</v>
      </c>
      <c r="C792" s="3237" t="s">
        <v>4014</v>
      </c>
      <c r="D792" s="3237" t="s">
        <v>4459</v>
      </c>
      <c r="E792" s="3237" t="s">
        <v>4460</v>
      </c>
      <c r="F792" s="3237" t="s">
        <v>4474</v>
      </c>
      <c r="G792" s="3237" t="s">
        <v>3660</v>
      </c>
      <c r="H792" s="3237" t="s">
        <v>3219</v>
      </c>
      <c r="I792" s="3236" t="s">
        <v>4462</v>
      </c>
      <c r="J792" s="3236">
        <v>29.09</v>
      </c>
    </row>
    <row r="793" spans="1:10" ht="11.25" customHeight="1">
      <c r="A793" s="3363" t="s">
        <v>5160</v>
      </c>
      <c r="B793" s="3237" t="s">
        <v>4473</v>
      </c>
      <c r="C793" s="3237" t="s">
        <v>4015</v>
      </c>
      <c r="D793" s="3237" t="s">
        <v>4459</v>
      </c>
      <c r="E793" s="3237" t="s">
        <v>4460</v>
      </c>
      <c r="F793" s="3237" t="s">
        <v>4474</v>
      </c>
      <c r="G793" s="3237" t="s">
        <v>3660</v>
      </c>
      <c r="H793" s="3237" t="s">
        <v>3219</v>
      </c>
      <c r="I793" s="3236" t="s">
        <v>4462</v>
      </c>
      <c r="J793" s="3236">
        <v>29.09</v>
      </c>
    </row>
    <row r="794" spans="1:10" ht="11.25" customHeight="1">
      <c r="A794" s="3363" t="s">
        <v>5161</v>
      </c>
      <c r="B794" s="3237" t="s">
        <v>4473</v>
      </c>
      <c r="C794" s="3237" t="s">
        <v>4016</v>
      </c>
      <c r="D794" s="3237" t="s">
        <v>4459</v>
      </c>
      <c r="E794" s="3237" t="s">
        <v>4460</v>
      </c>
      <c r="F794" s="3237" t="s">
        <v>4474</v>
      </c>
      <c r="G794" s="3237" t="s">
        <v>3660</v>
      </c>
      <c r="H794" s="3237" t="s">
        <v>3219</v>
      </c>
      <c r="I794" s="3236" t="s">
        <v>4462</v>
      </c>
      <c r="J794" s="3236">
        <v>29.09</v>
      </c>
    </row>
    <row r="795" spans="1:10" ht="11.25" customHeight="1">
      <c r="A795" s="3363" t="s">
        <v>5162</v>
      </c>
      <c r="B795" s="3237" t="s">
        <v>4473</v>
      </c>
      <c r="C795" s="3237" t="s">
        <v>4017</v>
      </c>
      <c r="D795" s="3237" t="s">
        <v>4459</v>
      </c>
      <c r="E795" s="3237" t="s">
        <v>4460</v>
      </c>
      <c r="F795" s="3237" t="s">
        <v>4474</v>
      </c>
      <c r="G795" s="3237" t="s">
        <v>3660</v>
      </c>
      <c r="H795" s="3237" t="s">
        <v>3219</v>
      </c>
      <c r="I795" s="3236" t="s">
        <v>4462</v>
      </c>
      <c r="J795" s="3236">
        <v>29.09</v>
      </c>
    </row>
    <row r="796" spans="1:10" ht="11.25" customHeight="1">
      <c r="A796" s="3363" t="s">
        <v>5163</v>
      </c>
      <c r="B796" s="3237" t="s">
        <v>4473</v>
      </c>
      <c r="C796" s="3237" t="s">
        <v>4018</v>
      </c>
      <c r="D796" s="3237" t="s">
        <v>4459</v>
      </c>
      <c r="E796" s="3237" t="s">
        <v>4460</v>
      </c>
      <c r="F796" s="3237" t="s">
        <v>4474</v>
      </c>
      <c r="G796" s="3237" t="s">
        <v>3660</v>
      </c>
      <c r="H796" s="3237" t="s">
        <v>3219</v>
      </c>
      <c r="I796" s="3236" t="s">
        <v>4462</v>
      </c>
      <c r="J796" s="3236">
        <v>29.09</v>
      </c>
    </row>
    <row r="797" spans="1:10" ht="11.25" customHeight="1">
      <c r="A797" s="3363" t="s">
        <v>5164</v>
      </c>
      <c r="B797" s="3237" t="s">
        <v>4473</v>
      </c>
      <c r="C797" s="3237" t="s">
        <v>4019</v>
      </c>
      <c r="D797" s="3237" t="s">
        <v>4459</v>
      </c>
      <c r="E797" s="3237" t="s">
        <v>4460</v>
      </c>
      <c r="F797" s="3237" t="s">
        <v>4474</v>
      </c>
      <c r="G797" s="3237" t="s">
        <v>3660</v>
      </c>
      <c r="H797" s="3237" t="s">
        <v>3219</v>
      </c>
      <c r="I797" s="3236" t="s">
        <v>4462</v>
      </c>
      <c r="J797" s="3236">
        <v>29.09</v>
      </c>
    </row>
    <row r="798" spans="1:10" ht="11.25" customHeight="1">
      <c r="A798" s="3363" t="s">
        <v>5165</v>
      </c>
      <c r="B798" s="3237" t="s">
        <v>4473</v>
      </c>
      <c r="C798" s="3237" t="s">
        <v>4020</v>
      </c>
      <c r="D798" s="3237" t="s">
        <v>4459</v>
      </c>
      <c r="E798" s="3237" t="s">
        <v>4460</v>
      </c>
      <c r="F798" s="3237" t="s">
        <v>4474</v>
      </c>
      <c r="G798" s="3237" t="s">
        <v>3660</v>
      </c>
      <c r="H798" s="3237" t="s">
        <v>3219</v>
      </c>
      <c r="I798" s="3236" t="s">
        <v>4462</v>
      </c>
      <c r="J798" s="3236">
        <v>29.09</v>
      </c>
    </row>
    <row r="799" spans="1:10" ht="11.25" customHeight="1">
      <c r="A799" s="3363" t="s">
        <v>5166</v>
      </c>
      <c r="B799" s="3237" t="s">
        <v>4473</v>
      </c>
      <c r="C799" s="3237" t="s">
        <v>4021</v>
      </c>
      <c r="D799" s="3237" t="s">
        <v>4459</v>
      </c>
      <c r="E799" s="3237" t="s">
        <v>4460</v>
      </c>
      <c r="F799" s="3237" t="s">
        <v>4474</v>
      </c>
      <c r="G799" s="3237" t="s">
        <v>3660</v>
      </c>
      <c r="H799" s="3237" t="s">
        <v>3219</v>
      </c>
      <c r="I799" s="3236" t="s">
        <v>4462</v>
      </c>
      <c r="J799" s="3236">
        <v>29.09</v>
      </c>
    </row>
    <row r="800" spans="1:10" ht="11.25" customHeight="1">
      <c r="A800" s="3363" t="s">
        <v>5167</v>
      </c>
      <c r="B800" s="3237" t="s">
        <v>4473</v>
      </c>
      <c r="C800" s="3237" t="s">
        <v>4022</v>
      </c>
      <c r="D800" s="3237" t="s">
        <v>4459</v>
      </c>
      <c r="E800" s="3237" t="s">
        <v>4460</v>
      </c>
      <c r="F800" s="3237" t="s">
        <v>4474</v>
      </c>
      <c r="G800" s="3237" t="s">
        <v>3660</v>
      </c>
      <c r="H800" s="3237" t="s">
        <v>3219</v>
      </c>
      <c r="I800" s="3236" t="s">
        <v>4462</v>
      </c>
      <c r="J800" s="3236">
        <v>29.09</v>
      </c>
    </row>
    <row r="801" spans="1:10" ht="11.25" customHeight="1">
      <c r="A801" s="3363" t="s">
        <v>5168</v>
      </c>
      <c r="B801" s="3237" t="s">
        <v>4473</v>
      </c>
      <c r="C801" s="3237" t="s">
        <v>4023</v>
      </c>
      <c r="D801" s="3237" t="s">
        <v>4459</v>
      </c>
      <c r="E801" s="3237" t="s">
        <v>4460</v>
      </c>
      <c r="F801" s="3237" t="s">
        <v>4474</v>
      </c>
      <c r="G801" s="3237" t="s">
        <v>3660</v>
      </c>
      <c r="H801" s="3237" t="s">
        <v>3219</v>
      </c>
      <c r="I801" s="3236" t="s">
        <v>4462</v>
      </c>
      <c r="J801" s="3236">
        <v>29.09</v>
      </c>
    </row>
    <row r="802" spans="1:10" ht="11.25" customHeight="1">
      <c r="A802" s="3363" t="s">
        <v>5169</v>
      </c>
      <c r="B802" s="3237" t="s">
        <v>4473</v>
      </c>
      <c r="C802" s="3237" t="s">
        <v>4024</v>
      </c>
      <c r="D802" s="3237" t="s">
        <v>4459</v>
      </c>
      <c r="E802" s="3237" t="s">
        <v>4460</v>
      </c>
      <c r="F802" s="3237" t="s">
        <v>4474</v>
      </c>
      <c r="G802" s="3237" t="s">
        <v>3660</v>
      </c>
      <c r="H802" s="3237" t="s">
        <v>3219</v>
      </c>
      <c r="I802" s="3236" t="s">
        <v>4462</v>
      </c>
      <c r="J802" s="3236">
        <v>29.09</v>
      </c>
    </row>
    <row r="803" spans="1:10" ht="11.25" customHeight="1">
      <c r="A803" s="3363" t="s">
        <v>5170</v>
      </c>
      <c r="B803" s="3237" t="s">
        <v>4473</v>
      </c>
      <c r="C803" s="3237" t="s">
        <v>4025</v>
      </c>
      <c r="D803" s="3237" t="s">
        <v>4459</v>
      </c>
      <c r="E803" s="3237" t="s">
        <v>4460</v>
      </c>
      <c r="F803" s="3237" t="s">
        <v>4474</v>
      </c>
      <c r="G803" s="3237" t="s">
        <v>3660</v>
      </c>
      <c r="H803" s="3237" t="s">
        <v>3219</v>
      </c>
      <c r="I803" s="3236" t="s">
        <v>4462</v>
      </c>
      <c r="J803" s="3236">
        <v>29.09</v>
      </c>
    </row>
    <row r="804" spans="1:10" ht="11.25" customHeight="1">
      <c r="A804" s="3363" t="s">
        <v>5171</v>
      </c>
      <c r="B804" s="3237" t="s">
        <v>4473</v>
      </c>
      <c r="C804" s="3237" t="s">
        <v>4026</v>
      </c>
      <c r="D804" s="3237" t="s">
        <v>4459</v>
      </c>
      <c r="E804" s="3237" t="s">
        <v>4460</v>
      </c>
      <c r="F804" s="3237" t="s">
        <v>4474</v>
      </c>
      <c r="G804" s="3237" t="s">
        <v>3660</v>
      </c>
      <c r="H804" s="3237" t="s">
        <v>3219</v>
      </c>
      <c r="I804" s="3236" t="s">
        <v>4462</v>
      </c>
      <c r="J804" s="3236">
        <v>29.09</v>
      </c>
    </row>
    <row r="805" spans="1:10" ht="11.25" customHeight="1">
      <c r="A805" s="3363" t="s">
        <v>5172</v>
      </c>
      <c r="B805" s="3237" t="s">
        <v>4473</v>
      </c>
      <c r="C805" s="3237" t="s">
        <v>4027</v>
      </c>
      <c r="D805" s="3237" t="s">
        <v>4459</v>
      </c>
      <c r="E805" s="3237" t="s">
        <v>4460</v>
      </c>
      <c r="F805" s="3237" t="s">
        <v>4474</v>
      </c>
      <c r="G805" s="3237" t="s">
        <v>3660</v>
      </c>
      <c r="H805" s="3237" t="s">
        <v>3219</v>
      </c>
      <c r="I805" s="3236" t="s">
        <v>4462</v>
      </c>
      <c r="J805" s="3236">
        <v>29.09</v>
      </c>
    </row>
    <row r="806" spans="1:10" ht="11.25" customHeight="1">
      <c r="A806" s="3363" t="s">
        <v>5173</v>
      </c>
      <c r="B806" s="3237" t="s">
        <v>4473</v>
      </c>
      <c r="C806" s="3237" t="s">
        <v>4028</v>
      </c>
      <c r="D806" s="3237" t="s">
        <v>4459</v>
      </c>
      <c r="E806" s="3237" t="s">
        <v>4460</v>
      </c>
      <c r="F806" s="3237" t="s">
        <v>4474</v>
      </c>
      <c r="G806" s="3237" t="s">
        <v>3660</v>
      </c>
      <c r="H806" s="3237" t="s">
        <v>3219</v>
      </c>
      <c r="I806" s="3236" t="s">
        <v>4462</v>
      </c>
      <c r="J806" s="3236">
        <v>29.09</v>
      </c>
    </row>
    <row r="807" spans="1:10" ht="11.25" customHeight="1">
      <c r="A807" s="3363" t="s">
        <v>5174</v>
      </c>
      <c r="B807" s="3237" t="s">
        <v>4473</v>
      </c>
      <c r="C807" s="3237" t="s">
        <v>4029</v>
      </c>
      <c r="D807" s="3237" t="s">
        <v>4459</v>
      </c>
      <c r="E807" s="3237" t="s">
        <v>4460</v>
      </c>
      <c r="F807" s="3237" t="s">
        <v>4474</v>
      </c>
      <c r="G807" s="3237" t="s">
        <v>3660</v>
      </c>
      <c r="H807" s="3237" t="s">
        <v>3219</v>
      </c>
      <c r="I807" s="3236" t="s">
        <v>4462</v>
      </c>
      <c r="J807" s="3236">
        <v>29.09</v>
      </c>
    </row>
    <row r="808" spans="1:10" ht="11.25" customHeight="1">
      <c r="A808" s="3363" t="s">
        <v>5175</v>
      </c>
      <c r="B808" s="3237" t="s">
        <v>4473</v>
      </c>
      <c r="C808" s="3237" t="s">
        <v>4030</v>
      </c>
      <c r="D808" s="3237" t="s">
        <v>4459</v>
      </c>
      <c r="E808" s="3237" t="s">
        <v>4460</v>
      </c>
      <c r="F808" s="3237" t="s">
        <v>4474</v>
      </c>
      <c r="G808" s="3237" t="s">
        <v>3660</v>
      </c>
      <c r="H808" s="3237" t="s">
        <v>3219</v>
      </c>
      <c r="I808" s="3236" t="s">
        <v>4462</v>
      </c>
      <c r="J808" s="3236">
        <v>29.09</v>
      </c>
    </row>
    <row r="809" spans="1:10" ht="11.25" customHeight="1">
      <c r="A809" s="3363" t="s">
        <v>5176</v>
      </c>
      <c r="B809" s="3237" t="s">
        <v>4473</v>
      </c>
      <c r="C809" s="3237" t="s">
        <v>4031</v>
      </c>
      <c r="D809" s="3237" t="s">
        <v>4459</v>
      </c>
      <c r="E809" s="3237" t="s">
        <v>4460</v>
      </c>
      <c r="F809" s="3237" t="s">
        <v>4474</v>
      </c>
      <c r="G809" s="3237" t="s">
        <v>3660</v>
      </c>
      <c r="H809" s="3237" t="s">
        <v>3219</v>
      </c>
      <c r="I809" s="3236" t="s">
        <v>4462</v>
      </c>
      <c r="J809" s="3236">
        <v>29.09</v>
      </c>
    </row>
    <row r="810" spans="1:10" ht="11.25" customHeight="1">
      <c r="A810" s="3363" t="s">
        <v>5177</v>
      </c>
      <c r="B810" s="3237" t="s">
        <v>4473</v>
      </c>
      <c r="C810" s="3237" t="s">
        <v>4032</v>
      </c>
      <c r="D810" s="3237" t="s">
        <v>4459</v>
      </c>
      <c r="E810" s="3237" t="s">
        <v>4460</v>
      </c>
      <c r="F810" s="3237" t="s">
        <v>4474</v>
      </c>
      <c r="G810" s="3237" t="s">
        <v>3660</v>
      </c>
      <c r="H810" s="3237" t="s">
        <v>3219</v>
      </c>
      <c r="I810" s="3236" t="s">
        <v>4462</v>
      </c>
      <c r="J810" s="3236">
        <v>29.09</v>
      </c>
    </row>
    <row r="811" spans="1:10" ht="11.25" customHeight="1">
      <c r="A811" s="3363" t="s">
        <v>5178</v>
      </c>
      <c r="B811" s="3237" t="s">
        <v>4473</v>
      </c>
      <c r="C811" s="3237" t="s">
        <v>4033</v>
      </c>
      <c r="D811" s="3237" t="s">
        <v>4459</v>
      </c>
      <c r="E811" s="3237" t="s">
        <v>4460</v>
      </c>
      <c r="F811" s="3237" t="s">
        <v>4474</v>
      </c>
      <c r="G811" s="3237" t="s">
        <v>3660</v>
      </c>
      <c r="H811" s="3237" t="s">
        <v>3219</v>
      </c>
      <c r="I811" s="3236" t="s">
        <v>4462</v>
      </c>
      <c r="J811" s="3236">
        <v>29.09</v>
      </c>
    </row>
    <row r="812" spans="1:10" ht="11.25" customHeight="1">
      <c r="A812" s="3363" t="s">
        <v>5179</v>
      </c>
      <c r="B812" s="3237" t="s">
        <v>4473</v>
      </c>
      <c r="C812" s="3237" t="s">
        <v>4034</v>
      </c>
      <c r="D812" s="3237" t="s">
        <v>4459</v>
      </c>
      <c r="E812" s="3237" t="s">
        <v>4460</v>
      </c>
      <c r="F812" s="3237" t="s">
        <v>4474</v>
      </c>
      <c r="G812" s="3237" t="s">
        <v>3660</v>
      </c>
      <c r="H812" s="3237" t="s">
        <v>3219</v>
      </c>
      <c r="I812" s="3236" t="s">
        <v>4462</v>
      </c>
      <c r="J812" s="3236">
        <v>29.09</v>
      </c>
    </row>
    <row r="813" spans="1:10" ht="11.25" customHeight="1">
      <c r="A813" s="3363" t="s">
        <v>5180</v>
      </c>
      <c r="B813" s="3237" t="s">
        <v>4473</v>
      </c>
      <c r="C813" s="3237" t="s">
        <v>4035</v>
      </c>
      <c r="D813" s="3237" t="s">
        <v>4459</v>
      </c>
      <c r="E813" s="3237" t="s">
        <v>4460</v>
      </c>
      <c r="F813" s="3237" t="s">
        <v>4474</v>
      </c>
      <c r="G813" s="3237" t="s">
        <v>3660</v>
      </c>
      <c r="H813" s="3237" t="s">
        <v>3219</v>
      </c>
      <c r="I813" s="3236" t="s">
        <v>4462</v>
      </c>
      <c r="J813" s="3236">
        <v>29.09</v>
      </c>
    </row>
    <row r="814" spans="1:10" ht="11.25" customHeight="1">
      <c r="A814" s="3363" t="s">
        <v>5181</v>
      </c>
      <c r="B814" s="3237" t="s">
        <v>4473</v>
      </c>
      <c r="C814" s="3237" t="s">
        <v>4036</v>
      </c>
      <c r="D814" s="3237" t="s">
        <v>4459</v>
      </c>
      <c r="E814" s="3237" t="s">
        <v>4460</v>
      </c>
      <c r="F814" s="3237" t="s">
        <v>4474</v>
      </c>
      <c r="G814" s="3237" t="s">
        <v>3660</v>
      </c>
      <c r="H814" s="3237" t="s">
        <v>3219</v>
      </c>
      <c r="I814" s="3236" t="s">
        <v>4462</v>
      </c>
      <c r="J814" s="3236">
        <v>29.09</v>
      </c>
    </row>
    <row r="815" spans="1:10" ht="11.25" customHeight="1">
      <c r="A815" s="3363" t="s">
        <v>5182</v>
      </c>
      <c r="B815" s="3237" t="s">
        <v>4473</v>
      </c>
      <c r="C815" s="3237" t="s">
        <v>4037</v>
      </c>
      <c r="D815" s="3237" t="s">
        <v>4459</v>
      </c>
      <c r="E815" s="3237" t="s">
        <v>4460</v>
      </c>
      <c r="F815" s="3237" t="s">
        <v>4474</v>
      </c>
      <c r="G815" s="3237" t="s">
        <v>3660</v>
      </c>
      <c r="H815" s="3237" t="s">
        <v>3219</v>
      </c>
      <c r="I815" s="3236" t="s">
        <v>4462</v>
      </c>
      <c r="J815" s="3236">
        <v>29.09</v>
      </c>
    </row>
    <row r="816" spans="1:10" ht="11.25" customHeight="1">
      <c r="A816" s="3363" t="s">
        <v>5183</v>
      </c>
      <c r="B816" s="3237" t="s">
        <v>4473</v>
      </c>
      <c r="C816" s="3237" t="s">
        <v>4038</v>
      </c>
      <c r="D816" s="3237" t="s">
        <v>4459</v>
      </c>
      <c r="E816" s="3237" t="s">
        <v>4460</v>
      </c>
      <c r="F816" s="3237" t="s">
        <v>4474</v>
      </c>
      <c r="G816" s="3237" t="s">
        <v>3660</v>
      </c>
      <c r="H816" s="3237" t="s">
        <v>3219</v>
      </c>
      <c r="I816" s="3236" t="s">
        <v>4462</v>
      </c>
      <c r="J816" s="3236">
        <v>29.09</v>
      </c>
    </row>
    <row r="817" spans="1:10" ht="11.25" customHeight="1">
      <c r="A817" s="3363" t="s">
        <v>5184</v>
      </c>
      <c r="B817" s="3237" t="s">
        <v>4473</v>
      </c>
      <c r="C817" s="3237" t="s">
        <v>4039</v>
      </c>
      <c r="D817" s="3237" t="s">
        <v>4459</v>
      </c>
      <c r="E817" s="3237" t="s">
        <v>4460</v>
      </c>
      <c r="F817" s="3237" t="s">
        <v>4474</v>
      </c>
      <c r="G817" s="3237" t="s">
        <v>3660</v>
      </c>
      <c r="H817" s="3237" t="s">
        <v>3219</v>
      </c>
      <c r="I817" s="3236" t="s">
        <v>4462</v>
      </c>
      <c r="J817" s="3236">
        <v>29.09</v>
      </c>
    </row>
    <row r="818" spans="1:10" ht="11.25" customHeight="1">
      <c r="A818" s="3363" t="s">
        <v>5185</v>
      </c>
      <c r="B818" s="3237" t="s">
        <v>4473</v>
      </c>
      <c r="C818" s="3237" t="s">
        <v>4040</v>
      </c>
      <c r="D818" s="3237" t="s">
        <v>4459</v>
      </c>
      <c r="E818" s="3237" t="s">
        <v>4460</v>
      </c>
      <c r="F818" s="3237" t="s">
        <v>4474</v>
      </c>
      <c r="G818" s="3237" t="s">
        <v>3660</v>
      </c>
      <c r="H818" s="3237" t="s">
        <v>3219</v>
      </c>
      <c r="I818" s="3236" t="s">
        <v>4462</v>
      </c>
      <c r="J818" s="3236">
        <v>29.09</v>
      </c>
    </row>
    <row r="819" spans="1:10" ht="11.25" customHeight="1">
      <c r="A819" s="3363" t="s">
        <v>5186</v>
      </c>
      <c r="B819" s="3237" t="s">
        <v>4473</v>
      </c>
      <c r="C819" s="3237" t="s">
        <v>4041</v>
      </c>
      <c r="D819" s="3237" t="s">
        <v>4459</v>
      </c>
      <c r="E819" s="3237" t="s">
        <v>4460</v>
      </c>
      <c r="F819" s="3237" t="s">
        <v>4474</v>
      </c>
      <c r="G819" s="3237" t="s">
        <v>3660</v>
      </c>
      <c r="H819" s="3237" t="s">
        <v>3219</v>
      </c>
      <c r="I819" s="3236" t="s">
        <v>4462</v>
      </c>
      <c r="J819" s="3236">
        <v>29.09</v>
      </c>
    </row>
    <row r="820" spans="1:10" ht="11.25" customHeight="1">
      <c r="A820" s="3363" t="s">
        <v>5187</v>
      </c>
      <c r="B820" s="3237" t="s">
        <v>4473</v>
      </c>
      <c r="C820" s="3237" t="s">
        <v>4042</v>
      </c>
      <c r="D820" s="3237" t="s">
        <v>4459</v>
      </c>
      <c r="E820" s="3237" t="s">
        <v>4460</v>
      </c>
      <c r="F820" s="3237" t="s">
        <v>4474</v>
      </c>
      <c r="G820" s="3237" t="s">
        <v>3660</v>
      </c>
      <c r="H820" s="3237" t="s">
        <v>3219</v>
      </c>
      <c r="I820" s="3236" t="s">
        <v>4462</v>
      </c>
      <c r="J820" s="3236">
        <v>29.09</v>
      </c>
    </row>
    <row r="821" spans="1:10" ht="11.25" customHeight="1">
      <c r="A821" s="3363" t="s">
        <v>5188</v>
      </c>
      <c r="B821" s="3237" t="s">
        <v>4473</v>
      </c>
      <c r="C821" s="3237" t="s">
        <v>4043</v>
      </c>
      <c r="D821" s="3237" t="s">
        <v>4459</v>
      </c>
      <c r="E821" s="3237" t="s">
        <v>4460</v>
      </c>
      <c r="F821" s="3237" t="s">
        <v>4474</v>
      </c>
      <c r="G821" s="3237" t="s">
        <v>3660</v>
      </c>
      <c r="H821" s="3237" t="s">
        <v>3219</v>
      </c>
      <c r="I821" s="3236" t="s">
        <v>4462</v>
      </c>
      <c r="J821" s="3236">
        <v>29.09</v>
      </c>
    </row>
    <row r="822" spans="1:10" ht="11.25" customHeight="1">
      <c r="A822" s="3363" t="s">
        <v>5189</v>
      </c>
      <c r="B822" s="3237" t="s">
        <v>4473</v>
      </c>
      <c r="C822" s="3237" t="s">
        <v>4044</v>
      </c>
      <c r="D822" s="3237" t="s">
        <v>4459</v>
      </c>
      <c r="E822" s="3237" t="s">
        <v>4460</v>
      </c>
      <c r="F822" s="3237" t="s">
        <v>4474</v>
      </c>
      <c r="G822" s="3237" t="s">
        <v>3660</v>
      </c>
      <c r="H822" s="3237" t="s">
        <v>3219</v>
      </c>
      <c r="I822" s="3236" t="s">
        <v>4462</v>
      </c>
      <c r="J822" s="3236">
        <v>29.09</v>
      </c>
    </row>
    <row r="823" spans="1:10" ht="11.25" customHeight="1">
      <c r="A823" s="3363" t="s">
        <v>5190</v>
      </c>
      <c r="B823" s="3237" t="s">
        <v>4473</v>
      </c>
      <c r="C823" s="3237" t="s">
        <v>4045</v>
      </c>
      <c r="D823" s="3237" t="s">
        <v>4459</v>
      </c>
      <c r="E823" s="3237" t="s">
        <v>4460</v>
      </c>
      <c r="F823" s="3237" t="s">
        <v>4474</v>
      </c>
      <c r="G823" s="3237" t="s">
        <v>3660</v>
      </c>
      <c r="H823" s="3237" t="s">
        <v>3219</v>
      </c>
      <c r="I823" s="3236" t="s">
        <v>4462</v>
      </c>
      <c r="J823" s="3236">
        <v>29.09</v>
      </c>
    </row>
    <row r="824" spans="1:10" ht="11.25" customHeight="1">
      <c r="A824" s="3363" t="s">
        <v>5191</v>
      </c>
      <c r="B824" s="3237" t="s">
        <v>4473</v>
      </c>
      <c r="C824" s="3237" t="s">
        <v>4046</v>
      </c>
      <c r="D824" s="3237" t="s">
        <v>4459</v>
      </c>
      <c r="E824" s="3237" t="s">
        <v>4460</v>
      </c>
      <c r="F824" s="3237" t="s">
        <v>4474</v>
      </c>
      <c r="G824" s="3237" t="s">
        <v>3660</v>
      </c>
      <c r="H824" s="3237" t="s">
        <v>3219</v>
      </c>
      <c r="I824" s="3236" t="s">
        <v>4462</v>
      </c>
      <c r="J824" s="3236">
        <v>29.09</v>
      </c>
    </row>
    <row r="825" spans="1:10" ht="11.25" customHeight="1">
      <c r="A825" s="3363" t="s">
        <v>5192</v>
      </c>
      <c r="B825" s="3237" t="s">
        <v>4473</v>
      </c>
      <c r="C825" s="3237" t="s">
        <v>4047</v>
      </c>
      <c r="D825" s="3237" t="s">
        <v>4459</v>
      </c>
      <c r="E825" s="3237" t="s">
        <v>4460</v>
      </c>
      <c r="F825" s="3237" t="s">
        <v>4474</v>
      </c>
      <c r="G825" s="3237" t="s">
        <v>3660</v>
      </c>
      <c r="H825" s="3237" t="s">
        <v>3219</v>
      </c>
      <c r="I825" s="3236" t="s">
        <v>4462</v>
      </c>
      <c r="J825" s="3236">
        <v>29.09</v>
      </c>
    </row>
    <row r="826" spans="1:10" ht="11.25" customHeight="1">
      <c r="A826" s="3363" t="s">
        <v>5193</v>
      </c>
      <c r="B826" s="3237" t="s">
        <v>4473</v>
      </c>
      <c r="C826" s="3237" t="s">
        <v>4048</v>
      </c>
      <c r="D826" s="3237" t="s">
        <v>4459</v>
      </c>
      <c r="E826" s="3237" t="s">
        <v>4460</v>
      </c>
      <c r="F826" s="3237" t="s">
        <v>4474</v>
      </c>
      <c r="G826" s="3237" t="s">
        <v>3660</v>
      </c>
      <c r="H826" s="3237" t="s">
        <v>3219</v>
      </c>
      <c r="I826" s="3236" t="s">
        <v>4462</v>
      </c>
      <c r="J826" s="3236">
        <v>29.09</v>
      </c>
    </row>
    <row r="827" spans="1:10" ht="11.25" customHeight="1">
      <c r="A827" s="3363" t="s">
        <v>5194</v>
      </c>
      <c r="B827" s="3237" t="s">
        <v>4473</v>
      </c>
      <c r="C827" s="3237" t="s">
        <v>4049</v>
      </c>
      <c r="D827" s="3237" t="s">
        <v>4459</v>
      </c>
      <c r="E827" s="3237" t="s">
        <v>4460</v>
      </c>
      <c r="F827" s="3237" t="s">
        <v>4474</v>
      </c>
      <c r="G827" s="3237" t="s">
        <v>3660</v>
      </c>
      <c r="H827" s="3237" t="s">
        <v>3219</v>
      </c>
      <c r="I827" s="3236" t="s">
        <v>4462</v>
      </c>
      <c r="J827" s="3236">
        <v>29.09</v>
      </c>
    </row>
    <row r="828" spans="1:10" ht="11.25" customHeight="1">
      <c r="A828" s="3363" t="s">
        <v>5195</v>
      </c>
      <c r="B828" s="3237" t="s">
        <v>4473</v>
      </c>
      <c r="C828" s="3237" t="s">
        <v>4050</v>
      </c>
      <c r="D828" s="3237" t="s">
        <v>4459</v>
      </c>
      <c r="E828" s="3237" t="s">
        <v>4460</v>
      </c>
      <c r="F828" s="3237" t="s">
        <v>4474</v>
      </c>
      <c r="G828" s="3237" t="s">
        <v>3660</v>
      </c>
      <c r="H828" s="3237" t="s">
        <v>3219</v>
      </c>
      <c r="I828" s="3236" t="s">
        <v>4462</v>
      </c>
      <c r="J828" s="3236">
        <v>29.09</v>
      </c>
    </row>
    <row r="829" spans="1:10" ht="11.25" customHeight="1">
      <c r="A829" s="3363" t="s">
        <v>5196</v>
      </c>
      <c r="B829" s="3237" t="s">
        <v>4473</v>
      </c>
      <c r="C829" s="3237" t="s">
        <v>4051</v>
      </c>
      <c r="D829" s="3237" t="s">
        <v>4459</v>
      </c>
      <c r="E829" s="3237" t="s">
        <v>4460</v>
      </c>
      <c r="F829" s="3237" t="s">
        <v>4474</v>
      </c>
      <c r="G829" s="3237" t="s">
        <v>3660</v>
      </c>
      <c r="H829" s="3237" t="s">
        <v>3219</v>
      </c>
      <c r="I829" s="3236" t="s">
        <v>4462</v>
      </c>
      <c r="J829" s="3236">
        <v>29.09</v>
      </c>
    </row>
    <row r="830" spans="1:10" ht="11.25" customHeight="1">
      <c r="A830" s="3363" t="s">
        <v>5197</v>
      </c>
      <c r="B830" s="3237" t="s">
        <v>4473</v>
      </c>
      <c r="C830" s="3237" t="s">
        <v>4052</v>
      </c>
      <c r="D830" s="3237" t="s">
        <v>4459</v>
      </c>
      <c r="E830" s="3237" t="s">
        <v>4460</v>
      </c>
      <c r="F830" s="3237" t="s">
        <v>4474</v>
      </c>
      <c r="G830" s="3237" t="s">
        <v>3660</v>
      </c>
      <c r="H830" s="3237" t="s">
        <v>3219</v>
      </c>
      <c r="I830" s="3236" t="s">
        <v>4462</v>
      </c>
      <c r="J830" s="3236">
        <v>29.09</v>
      </c>
    </row>
    <row r="831" spans="1:10" ht="11.25" customHeight="1">
      <c r="A831" s="3363" t="s">
        <v>5198</v>
      </c>
      <c r="B831" s="3237" t="s">
        <v>4473</v>
      </c>
      <c r="C831" s="3237" t="s">
        <v>4053</v>
      </c>
      <c r="D831" s="3237" t="s">
        <v>4459</v>
      </c>
      <c r="E831" s="3237" t="s">
        <v>4460</v>
      </c>
      <c r="F831" s="3237" t="s">
        <v>4474</v>
      </c>
      <c r="G831" s="3237" t="s">
        <v>3660</v>
      </c>
      <c r="H831" s="3237" t="s">
        <v>3219</v>
      </c>
      <c r="I831" s="3236" t="s">
        <v>4462</v>
      </c>
      <c r="J831" s="3236">
        <v>29.09</v>
      </c>
    </row>
    <row r="832" spans="1:10" ht="11.25" customHeight="1">
      <c r="A832" s="3363" t="s">
        <v>5199</v>
      </c>
      <c r="B832" s="3237" t="s">
        <v>4473</v>
      </c>
      <c r="C832" s="3237" t="s">
        <v>4054</v>
      </c>
      <c r="D832" s="3237" t="s">
        <v>4459</v>
      </c>
      <c r="E832" s="3237" t="s">
        <v>4460</v>
      </c>
      <c r="F832" s="3237" t="s">
        <v>4474</v>
      </c>
      <c r="G832" s="3237" t="s">
        <v>3660</v>
      </c>
      <c r="H832" s="3237" t="s">
        <v>3219</v>
      </c>
      <c r="I832" s="3236" t="s">
        <v>4462</v>
      </c>
      <c r="J832" s="3236">
        <v>29.09</v>
      </c>
    </row>
    <row r="833" spans="1:10" ht="11.25" customHeight="1">
      <c r="A833" s="3363" t="s">
        <v>5200</v>
      </c>
      <c r="B833" s="3237" t="s">
        <v>4473</v>
      </c>
      <c r="C833" s="3237" t="s">
        <v>4055</v>
      </c>
      <c r="D833" s="3237" t="s">
        <v>4459</v>
      </c>
      <c r="E833" s="3237" t="s">
        <v>4460</v>
      </c>
      <c r="F833" s="3237" t="s">
        <v>4474</v>
      </c>
      <c r="G833" s="3237" t="s">
        <v>3660</v>
      </c>
      <c r="H833" s="3237" t="s">
        <v>3219</v>
      </c>
      <c r="I833" s="3236" t="s">
        <v>4462</v>
      </c>
      <c r="J833" s="3236">
        <v>29.09</v>
      </c>
    </row>
    <row r="834" spans="1:10" ht="11.25" customHeight="1">
      <c r="A834" s="3363" t="s">
        <v>5201</v>
      </c>
      <c r="B834" s="3237" t="s">
        <v>4473</v>
      </c>
      <c r="C834" s="3237" t="s">
        <v>4056</v>
      </c>
      <c r="D834" s="3237" t="s">
        <v>4459</v>
      </c>
      <c r="E834" s="3237" t="s">
        <v>4460</v>
      </c>
      <c r="F834" s="3237" t="s">
        <v>4474</v>
      </c>
      <c r="G834" s="3237" t="s">
        <v>3660</v>
      </c>
      <c r="H834" s="3237" t="s">
        <v>3219</v>
      </c>
      <c r="I834" s="3236" t="s">
        <v>4462</v>
      </c>
      <c r="J834" s="3236">
        <v>29.09</v>
      </c>
    </row>
    <row r="835" spans="1:10" ht="11.25" customHeight="1">
      <c r="A835" s="3363" t="s">
        <v>5202</v>
      </c>
      <c r="B835" s="3237" t="s">
        <v>4473</v>
      </c>
      <c r="C835" s="3237" t="s">
        <v>4057</v>
      </c>
      <c r="D835" s="3237" t="s">
        <v>4459</v>
      </c>
      <c r="E835" s="3237" t="s">
        <v>4460</v>
      </c>
      <c r="F835" s="3237" t="s">
        <v>4474</v>
      </c>
      <c r="G835" s="3237" t="s">
        <v>3660</v>
      </c>
      <c r="H835" s="3237" t="s">
        <v>3219</v>
      </c>
      <c r="I835" s="3236" t="s">
        <v>4462</v>
      </c>
      <c r="J835" s="3236">
        <v>29.09</v>
      </c>
    </row>
    <row r="836" spans="1:10" ht="11.25" customHeight="1">
      <c r="A836" s="3363" t="s">
        <v>5203</v>
      </c>
      <c r="B836" s="3237" t="s">
        <v>4473</v>
      </c>
      <c r="C836" s="3237" t="s">
        <v>4058</v>
      </c>
      <c r="D836" s="3237" t="s">
        <v>4459</v>
      </c>
      <c r="E836" s="3237" t="s">
        <v>4460</v>
      </c>
      <c r="F836" s="3237" t="s">
        <v>4474</v>
      </c>
      <c r="G836" s="3237" t="s">
        <v>3660</v>
      </c>
      <c r="H836" s="3237" t="s">
        <v>3219</v>
      </c>
      <c r="I836" s="3236" t="s">
        <v>4462</v>
      </c>
      <c r="J836" s="3236">
        <v>29.09</v>
      </c>
    </row>
    <row r="837" spans="1:10" ht="11.25" customHeight="1">
      <c r="A837" s="3363" t="s">
        <v>5204</v>
      </c>
      <c r="B837" s="3237" t="s">
        <v>4473</v>
      </c>
      <c r="C837" s="3237" t="s">
        <v>4059</v>
      </c>
      <c r="D837" s="3237" t="s">
        <v>4459</v>
      </c>
      <c r="E837" s="3237" t="s">
        <v>4460</v>
      </c>
      <c r="F837" s="3237" t="s">
        <v>4474</v>
      </c>
      <c r="G837" s="3237" t="s">
        <v>3660</v>
      </c>
      <c r="H837" s="3237" t="s">
        <v>3219</v>
      </c>
      <c r="I837" s="3236" t="s">
        <v>4462</v>
      </c>
      <c r="J837" s="3236">
        <v>29.09</v>
      </c>
    </row>
    <row r="838" spans="1:10" ht="11.25" customHeight="1">
      <c r="A838" s="3363" t="s">
        <v>5205</v>
      </c>
      <c r="B838" s="3237" t="s">
        <v>4473</v>
      </c>
      <c r="C838" s="3237" t="s">
        <v>4060</v>
      </c>
      <c r="D838" s="3237" t="s">
        <v>4459</v>
      </c>
      <c r="E838" s="3237" t="s">
        <v>4460</v>
      </c>
      <c r="F838" s="3237" t="s">
        <v>4474</v>
      </c>
      <c r="G838" s="3237" t="s">
        <v>3660</v>
      </c>
      <c r="H838" s="3237" t="s">
        <v>3219</v>
      </c>
      <c r="I838" s="3236" t="s">
        <v>4462</v>
      </c>
      <c r="J838" s="3236">
        <v>29.09</v>
      </c>
    </row>
    <row r="839" spans="1:10" ht="11.25" customHeight="1">
      <c r="A839" s="3363" t="s">
        <v>5206</v>
      </c>
      <c r="B839" s="3237" t="s">
        <v>4473</v>
      </c>
      <c r="C839" s="3237" t="s">
        <v>4061</v>
      </c>
      <c r="D839" s="3237" t="s">
        <v>4459</v>
      </c>
      <c r="E839" s="3237" t="s">
        <v>4460</v>
      </c>
      <c r="F839" s="3237" t="s">
        <v>4474</v>
      </c>
      <c r="G839" s="3237" t="s">
        <v>3660</v>
      </c>
      <c r="H839" s="3237" t="s">
        <v>3219</v>
      </c>
      <c r="I839" s="3236" t="s">
        <v>4462</v>
      </c>
      <c r="J839" s="3236">
        <v>29.09</v>
      </c>
    </row>
    <row r="840" spans="1:10" ht="11.25" customHeight="1">
      <c r="A840" s="3363" t="s">
        <v>5207</v>
      </c>
      <c r="B840" s="3237" t="s">
        <v>4473</v>
      </c>
      <c r="C840" s="3237" t="s">
        <v>4062</v>
      </c>
      <c r="D840" s="3237" t="s">
        <v>4459</v>
      </c>
      <c r="E840" s="3237" t="s">
        <v>4460</v>
      </c>
      <c r="F840" s="3237" t="s">
        <v>4474</v>
      </c>
      <c r="G840" s="3237" t="s">
        <v>3660</v>
      </c>
      <c r="H840" s="3237" t="s">
        <v>3219</v>
      </c>
      <c r="I840" s="3236" t="s">
        <v>4462</v>
      </c>
      <c r="J840" s="3236">
        <v>29.09</v>
      </c>
    </row>
    <row r="841" spans="1:10" ht="11.25" customHeight="1">
      <c r="A841" s="3363" t="s">
        <v>5208</v>
      </c>
      <c r="B841" s="3237" t="s">
        <v>4473</v>
      </c>
      <c r="C841" s="3237" t="s">
        <v>4063</v>
      </c>
      <c r="D841" s="3237" t="s">
        <v>4459</v>
      </c>
      <c r="E841" s="3237" t="s">
        <v>4460</v>
      </c>
      <c r="F841" s="3237" t="s">
        <v>4474</v>
      </c>
      <c r="G841" s="3237" t="s">
        <v>3660</v>
      </c>
      <c r="H841" s="3237" t="s">
        <v>3219</v>
      </c>
      <c r="I841" s="3236" t="s">
        <v>4462</v>
      </c>
      <c r="J841" s="3236">
        <v>29.09</v>
      </c>
    </row>
    <row r="842" spans="1:10" ht="11.25" customHeight="1">
      <c r="A842" s="3363" t="s">
        <v>5209</v>
      </c>
      <c r="B842" s="3237" t="s">
        <v>4473</v>
      </c>
      <c r="C842" s="3237" t="s">
        <v>4064</v>
      </c>
      <c r="D842" s="3237" t="s">
        <v>4459</v>
      </c>
      <c r="E842" s="3237" t="s">
        <v>4460</v>
      </c>
      <c r="F842" s="3237" t="s">
        <v>4474</v>
      </c>
      <c r="G842" s="3237" t="s">
        <v>3660</v>
      </c>
      <c r="H842" s="3237" t="s">
        <v>3219</v>
      </c>
      <c r="I842" s="3236" t="s">
        <v>4462</v>
      </c>
      <c r="J842" s="3236">
        <v>29.09</v>
      </c>
    </row>
    <row r="843" spans="1:10" ht="11.25" customHeight="1">
      <c r="A843" s="3363" t="s">
        <v>5210</v>
      </c>
      <c r="B843" s="3237" t="s">
        <v>4473</v>
      </c>
      <c r="C843" s="3237" t="s">
        <v>4065</v>
      </c>
      <c r="D843" s="3237" t="s">
        <v>4459</v>
      </c>
      <c r="E843" s="3237" t="s">
        <v>4460</v>
      </c>
      <c r="F843" s="3237" t="s">
        <v>4474</v>
      </c>
      <c r="G843" s="3237" t="s">
        <v>3660</v>
      </c>
      <c r="H843" s="3237" t="s">
        <v>3219</v>
      </c>
      <c r="I843" s="3236" t="s">
        <v>4462</v>
      </c>
      <c r="J843" s="3236">
        <v>29.09</v>
      </c>
    </row>
    <row r="844" spans="1:10" ht="11.25" customHeight="1">
      <c r="A844" s="3363" t="s">
        <v>5211</v>
      </c>
      <c r="B844" s="3237" t="s">
        <v>4473</v>
      </c>
      <c r="C844" s="3237" t="s">
        <v>4066</v>
      </c>
      <c r="D844" s="3237" t="s">
        <v>4459</v>
      </c>
      <c r="E844" s="3237" t="s">
        <v>4460</v>
      </c>
      <c r="F844" s="3237" t="s">
        <v>4474</v>
      </c>
      <c r="G844" s="3237" t="s">
        <v>3660</v>
      </c>
      <c r="H844" s="3237" t="s">
        <v>3219</v>
      </c>
      <c r="I844" s="3236" t="s">
        <v>4462</v>
      </c>
      <c r="J844" s="3236">
        <v>29.09</v>
      </c>
    </row>
    <row r="845" spans="1:10" ht="11.25" customHeight="1">
      <c r="A845" s="3363" t="s">
        <v>5212</v>
      </c>
      <c r="B845" s="3237" t="s">
        <v>4473</v>
      </c>
      <c r="C845" s="3237" t="s">
        <v>4067</v>
      </c>
      <c r="D845" s="3237" t="s">
        <v>4459</v>
      </c>
      <c r="E845" s="3237" t="s">
        <v>4460</v>
      </c>
      <c r="F845" s="3237" t="s">
        <v>4474</v>
      </c>
      <c r="G845" s="3237" t="s">
        <v>3660</v>
      </c>
      <c r="H845" s="3237" t="s">
        <v>3219</v>
      </c>
      <c r="I845" s="3236" t="s">
        <v>4462</v>
      </c>
      <c r="J845" s="3236">
        <v>29.09</v>
      </c>
    </row>
    <row r="846" spans="1:10" ht="11.25" customHeight="1">
      <c r="A846" s="3363" t="s">
        <v>5213</v>
      </c>
      <c r="B846" s="3237" t="s">
        <v>4473</v>
      </c>
      <c r="C846" s="3237" t="s">
        <v>4068</v>
      </c>
      <c r="D846" s="3237" t="s">
        <v>4459</v>
      </c>
      <c r="E846" s="3237" t="s">
        <v>4460</v>
      </c>
      <c r="F846" s="3237" t="s">
        <v>4474</v>
      </c>
      <c r="G846" s="3237" t="s">
        <v>3660</v>
      </c>
      <c r="H846" s="3237" t="s">
        <v>3219</v>
      </c>
      <c r="I846" s="3236" t="s">
        <v>4462</v>
      </c>
      <c r="J846" s="3236">
        <v>29.09</v>
      </c>
    </row>
    <row r="847" spans="1:10" ht="11.25" customHeight="1">
      <c r="A847" s="3363" t="s">
        <v>5214</v>
      </c>
      <c r="B847" s="3237" t="s">
        <v>4473</v>
      </c>
      <c r="C847" s="3237" t="s">
        <v>4069</v>
      </c>
      <c r="D847" s="3237" t="s">
        <v>4459</v>
      </c>
      <c r="E847" s="3237" t="s">
        <v>4460</v>
      </c>
      <c r="F847" s="3237" t="s">
        <v>4474</v>
      </c>
      <c r="G847" s="3237" t="s">
        <v>3660</v>
      </c>
      <c r="H847" s="3237" t="s">
        <v>3219</v>
      </c>
      <c r="I847" s="3236" t="s">
        <v>4462</v>
      </c>
      <c r="J847" s="3236">
        <v>29.09</v>
      </c>
    </row>
    <row r="848" spans="1:10" ht="11.25" customHeight="1">
      <c r="A848" s="3363" t="s">
        <v>5215</v>
      </c>
      <c r="B848" s="3237" t="s">
        <v>4473</v>
      </c>
      <c r="C848" s="3237" t="s">
        <v>4070</v>
      </c>
      <c r="D848" s="3237" t="s">
        <v>4459</v>
      </c>
      <c r="E848" s="3237" t="s">
        <v>4460</v>
      </c>
      <c r="F848" s="3237" t="s">
        <v>4474</v>
      </c>
      <c r="G848" s="3237" t="s">
        <v>3660</v>
      </c>
      <c r="H848" s="3237" t="s">
        <v>3219</v>
      </c>
      <c r="I848" s="3236" t="s">
        <v>4462</v>
      </c>
      <c r="J848" s="3236">
        <v>29.09</v>
      </c>
    </row>
    <row r="849" spans="1:10" ht="11.25" customHeight="1">
      <c r="A849" s="3363" t="s">
        <v>5216</v>
      </c>
      <c r="B849" s="3237" t="s">
        <v>4473</v>
      </c>
      <c r="C849" s="3237" t="s">
        <v>4071</v>
      </c>
      <c r="D849" s="3237" t="s">
        <v>4459</v>
      </c>
      <c r="E849" s="3237" t="s">
        <v>4460</v>
      </c>
      <c r="F849" s="3237" t="s">
        <v>4474</v>
      </c>
      <c r="G849" s="3237" t="s">
        <v>3660</v>
      </c>
      <c r="H849" s="3237" t="s">
        <v>3219</v>
      </c>
      <c r="I849" s="3236" t="s">
        <v>4462</v>
      </c>
      <c r="J849" s="3236">
        <v>29.09</v>
      </c>
    </row>
    <row r="850" spans="1:10" ht="11.25" customHeight="1">
      <c r="A850" s="3363" t="s">
        <v>5217</v>
      </c>
      <c r="B850" s="3237" t="s">
        <v>4473</v>
      </c>
      <c r="C850" s="3237" t="s">
        <v>4072</v>
      </c>
      <c r="D850" s="3237" t="s">
        <v>4459</v>
      </c>
      <c r="E850" s="3237" t="s">
        <v>4460</v>
      </c>
      <c r="F850" s="3237" t="s">
        <v>4474</v>
      </c>
      <c r="G850" s="3237" t="s">
        <v>3660</v>
      </c>
      <c r="H850" s="3237" t="s">
        <v>3219</v>
      </c>
      <c r="I850" s="3236" t="s">
        <v>4462</v>
      </c>
      <c r="J850" s="3236">
        <v>29.09</v>
      </c>
    </row>
    <row r="851" spans="1:10" ht="11.25" customHeight="1">
      <c r="A851" s="3363" t="s">
        <v>5218</v>
      </c>
      <c r="B851" s="3237" t="s">
        <v>4473</v>
      </c>
      <c r="C851" s="3237" t="s">
        <v>4073</v>
      </c>
      <c r="D851" s="3237" t="s">
        <v>4459</v>
      </c>
      <c r="E851" s="3237" t="s">
        <v>4460</v>
      </c>
      <c r="F851" s="3237" t="s">
        <v>4474</v>
      </c>
      <c r="G851" s="3237" t="s">
        <v>3660</v>
      </c>
      <c r="H851" s="3237" t="s">
        <v>3219</v>
      </c>
      <c r="I851" s="3236" t="s">
        <v>4462</v>
      </c>
      <c r="J851" s="3236">
        <v>29.09</v>
      </c>
    </row>
    <row r="852" spans="1:10" ht="11.25" customHeight="1">
      <c r="A852" s="3363" t="s">
        <v>5219</v>
      </c>
      <c r="B852" s="3237" t="s">
        <v>4473</v>
      </c>
      <c r="C852" s="3237" t="s">
        <v>4074</v>
      </c>
      <c r="D852" s="3237" t="s">
        <v>4459</v>
      </c>
      <c r="E852" s="3237" t="s">
        <v>4460</v>
      </c>
      <c r="F852" s="3237" t="s">
        <v>4474</v>
      </c>
      <c r="G852" s="3237" t="s">
        <v>3660</v>
      </c>
      <c r="H852" s="3237" t="s">
        <v>3219</v>
      </c>
      <c r="I852" s="3236" t="s">
        <v>4462</v>
      </c>
      <c r="J852" s="3236">
        <v>29.09</v>
      </c>
    </row>
    <row r="853" spans="1:10" ht="11.25" customHeight="1">
      <c r="A853" s="3363" t="s">
        <v>5220</v>
      </c>
      <c r="B853" s="3237" t="s">
        <v>4473</v>
      </c>
      <c r="C853" s="3237" t="s">
        <v>4075</v>
      </c>
      <c r="D853" s="3237" t="s">
        <v>4459</v>
      </c>
      <c r="E853" s="3237" t="s">
        <v>4460</v>
      </c>
      <c r="F853" s="3237" t="s">
        <v>4474</v>
      </c>
      <c r="G853" s="3237" t="s">
        <v>3660</v>
      </c>
      <c r="H853" s="3237" t="s">
        <v>3219</v>
      </c>
      <c r="I853" s="3236" t="s">
        <v>4462</v>
      </c>
      <c r="J853" s="3236">
        <v>29.09</v>
      </c>
    </row>
    <row r="854" spans="1:10" ht="11.25" customHeight="1">
      <c r="A854" s="3363" t="s">
        <v>5221</v>
      </c>
      <c r="B854" s="3237" t="s">
        <v>4473</v>
      </c>
      <c r="C854" s="3237" t="s">
        <v>4076</v>
      </c>
      <c r="D854" s="3237" t="s">
        <v>4459</v>
      </c>
      <c r="E854" s="3237" t="s">
        <v>4460</v>
      </c>
      <c r="F854" s="3237" t="s">
        <v>4474</v>
      </c>
      <c r="G854" s="3237" t="s">
        <v>3660</v>
      </c>
      <c r="H854" s="3237" t="s">
        <v>3219</v>
      </c>
      <c r="I854" s="3236" t="s">
        <v>4462</v>
      </c>
      <c r="J854" s="3236">
        <v>29.09</v>
      </c>
    </row>
    <row r="855" spans="1:10" ht="11.25" customHeight="1">
      <c r="A855" s="3363" t="s">
        <v>5222</v>
      </c>
      <c r="B855" s="3237" t="s">
        <v>4473</v>
      </c>
      <c r="C855" s="3237" t="s">
        <v>4077</v>
      </c>
      <c r="D855" s="3237" t="s">
        <v>4459</v>
      </c>
      <c r="E855" s="3237" t="s">
        <v>4460</v>
      </c>
      <c r="F855" s="3237" t="s">
        <v>4474</v>
      </c>
      <c r="G855" s="3237" t="s">
        <v>3660</v>
      </c>
      <c r="H855" s="3237" t="s">
        <v>3219</v>
      </c>
      <c r="I855" s="3236" t="s">
        <v>4462</v>
      </c>
      <c r="J855" s="3236">
        <v>29.09</v>
      </c>
    </row>
    <row r="856" spans="1:10" ht="11.25" customHeight="1">
      <c r="A856" s="3363" t="s">
        <v>5223</v>
      </c>
      <c r="B856" s="3237" t="s">
        <v>4473</v>
      </c>
      <c r="C856" s="3237" t="s">
        <v>4078</v>
      </c>
      <c r="D856" s="3237" t="s">
        <v>4459</v>
      </c>
      <c r="E856" s="3237" t="s">
        <v>4460</v>
      </c>
      <c r="F856" s="3237" t="s">
        <v>4474</v>
      </c>
      <c r="G856" s="3237" t="s">
        <v>3660</v>
      </c>
      <c r="H856" s="3237" t="s">
        <v>3219</v>
      </c>
      <c r="I856" s="3236" t="s">
        <v>4462</v>
      </c>
      <c r="J856" s="3236">
        <v>29.09</v>
      </c>
    </row>
    <row r="857" spans="1:10" ht="11.25" customHeight="1">
      <c r="A857" s="3363" t="s">
        <v>5224</v>
      </c>
      <c r="B857" s="3237" t="s">
        <v>4473</v>
      </c>
      <c r="C857" s="3237" t="s">
        <v>4079</v>
      </c>
      <c r="D857" s="3237" t="s">
        <v>4459</v>
      </c>
      <c r="E857" s="3237" t="s">
        <v>4460</v>
      </c>
      <c r="F857" s="3237" t="s">
        <v>4474</v>
      </c>
      <c r="G857" s="3237" t="s">
        <v>3660</v>
      </c>
      <c r="H857" s="3237" t="s">
        <v>3219</v>
      </c>
      <c r="I857" s="3236" t="s">
        <v>4462</v>
      </c>
      <c r="J857" s="3236">
        <v>29.09</v>
      </c>
    </row>
    <row r="858" spans="1:10" ht="11.25" customHeight="1">
      <c r="A858" s="3363" t="s">
        <v>5225</v>
      </c>
      <c r="B858" s="3237" t="s">
        <v>4473</v>
      </c>
      <c r="C858" s="3237" t="s">
        <v>4080</v>
      </c>
      <c r="D858" s="3237" t="s">
        <v>4459</v>
      </c>
      <c r="E858" s="3237" t="s">
        <v>4460</v>
      </c>
      <c r="F858" s="3237" t="s">
        <v>4474</v>
      </c>
      <c r="G858" s="3237" t="s">
        <v>3660</v>
      </c>
      <c r="H858" s="3237" t="s">
        <v>3219</v>
      </c>
      <c r="I858" s="3236" t="s">
        <v>4462</v>
      </c>
      <c r="J858" s="3236">
        <v>29.09</v>
      </c>
    </row>
    <row r="859" spans="1:10" ht="11.25" customHeight="1">
      <c r="A859" s="3363" t="s">
        <v>5226</v>
      </c>
      <c r="B859" s="3237" t="s">
        <v>4473</v>
      </c>
      <c r="C859" s="3237" t="s">
        <v>4081</v>
      </c>
      <c r="D859" s="3237" t="s">
        <v>4459</v>
      </c>
      <c r="E859" s="3237" t="s">
        <v>4460</v>
      </c>
      <c r="F859" s="3237" t="s">
        <v>4474</v>
      </c>
      <c r="G859" s="3237" t="s">
        <v>3660</v>
      </c>
      <c r="H859" s="3237" t="s">
        <v>3219</v>
      </c>
      <c r="I859" s="3236" t="s">
        <v>4462</v>
      </c>
      <c r="J859" s="3236">
        <v>29.09</v>
      </c>
    </row>
    <row r="860" spans="1:10" ht="11.25" customHeight="1">
      <c r="A860" s="3363" t="s">
        <v>5227</v>
      </c>
      <c r="B860" s="3237" t="s">
        <v>4473</v>
      </c>
      <c r="C860" s="3237" t="s">
        <v>4082</v>
      </c>
      <c r="D860" s="3237" t="s">
        <v>4459</v>
      </c>
      <c r="E860" s="3237" t="s">
        <v>4460</v>
      </c>
      <c r="F860" s="3237" t="s">
        <v>4474</v>
      </c>
      <c r="G860" s="3237" t="s">
        <v>3660</v>
      </c>
      <c r="H860" s="3237" t="s">
        <v>3219</v>
      </c>
      <c r="I860" s="3236" t="s">
        <v>4462</v>
      </c>
      <c r="J860" s="3236">
        <v>29.09</v>
      </c>
    </row>
    <row r="861" spans="1:10" ht="11.25" customHeight="1">
      <c r="A861" s="3363" t="s">
        <v>5228</v>
      </c>
      <c r="B861" s="3237" t="s">
        <v>4473</v>
      </c>
      <c r="C861" s="3237" t="s">
        <v>4083</v>
      </c>
      <c r="D861" s="3237" t="s">
        <v>4459</v>
      </c>
      <c r="E861" s="3237" t="s">
        <v>4460</v>
      </c>
      <c r="F861" s="3237" t="s">
        <v>4474</v>
      </c>
      <c r="G861" s="3237" t="s">
        <v>3660</v>
      </c>
      <c r="H861" s="3237" t="s">
        <v>3219</v>
      </c>
      <c r="I861" s="3236" t="s">
        <v>4462</v>
      </c>
      <c r="J861" s="3236">
        <v>29.09</v>
      </c>
    </row>
    <row r="862" spans="1:10" ht="11.25" customHeight="1">
      <c r="A862" s="3363" t="s">
        <v>5229</v>
      </c>
      <c r="B862" s="3237" t="s">
        <v>4473</v>
      </c>
      <c r="C862" s="3237" t="s">
        <v>4084</v>
      </c>
      <c r="D862" s="3237" t="s">
        <v>4459</v>
      </c>
      <c r="E862" s="3237" t="s">
        <v>4460</v>
      </c>
      <c r="F862" s="3237" t="s">
        <v>4474</v>
      </c>
      <c r="G862" s="3237" t="s">
        <v>3660</v>
      </c>
      <c r="H862" s="3237" t="s">
        <v>3219</v>
      </c>
      <c r="I862" s="3236" t="s">
        <v>4462</v>
      </c>
      <c r="J862" s="3236">
        <v>29.09</v>
      </c>
    </row>
    <row r="863" spans="1:10" ht="11.25" customHeight="1">
      <c r="A863" s="3363" t="s">
        <v>5230</v>
      </c>
      <c r="B863" s="3237" t="s">
        <v>4473</v>
      </c>
      <c r="C863" s="3237" t="s">
        <v>4085</v>
      </c>
      <c r="D863" s="3237" t="s">
        <v>4459</v>
      </c>
      <c r="E863" s="3237" t="s">
        <v>4460</v>
      </c>
      <c r="F863" s="3237" t="s">
        <v>4474</v>
      </c>
      <c r="G863" s="3237" t="s">
        <v>3660</v>
      </c>
      <c r="H863" s="3237" t="s">
        <v>3219</v>
      </c>
      <c r="I863" s="3236" t="s">
        <v>4462</v>
      </c>
      <c r="J863" s="3236">
        <v>29.09</v>
      </c>
    </row>
    <row r="864" spans="1:10" ht="11.25" customHeight="1">
      <c r="A864" s="3363" t="s">
        <v>5231</v>
      </c>
      <c r="B864" s="3237" t="s">
        <v>4473</v>
      </c>
      <c r="C864" s="3237" t="s">
        <v>4086</v>
      </c>
      <c r="D864" s="3237" t="s">
        <v>4459</v>
      </c>
      <c r="E864" s="3237" t="s">
        <v>4460</v>
      </c>
      <c r="F864" s="3237" t="s">
        <v>4474</v>
      </c>
      <c r="G864" s="3237" t="s">
        <v>3660</v>
      </c>
      <c r="H864" s="3237" t="s">
        <v>3219</v>
      </c>
      <c r="I864" s="3236" t="s">
        <v>4462</v>
      </c>
      <c r="J864" s="3236">
        <v>29.09</v>
      </c>
    </row>
    <row r="865" spans="1:10" ht="11.25" customHeight="1">
      <c r="A865" s="3363" t="s">
        <v>5232</v>
      </c>
      <c r="B865" s="3237" t="s">
        <v>4473</v>
      </c>
      <c r="C865" s="3237" t="s">
        <v>4087</v>
      </c>
      <c r="D865" s="3237" t="s">
        <v>4459</v>
      </c>
      <c r="E865" s="3237" t="s">
        <v>4460</v>
      </c>
      <c r="F865" s="3237" t="s">
        <v>4474</v>
      </c>
      <c r="G865" s="3237" t="s">
        <v>3660</v>
      </c>
      <c r="H865" s="3237" t="s">
        <v>3219</v>
      </c>
      <c r="I865" s="3236" t="s">
        <v>4462</v>
      </c>
      <c r="J865" s="3236">
        <v>29.09</v>
      </c>
    </row>
    <row r="866" spans="1:10" ht="11.25" customHeight="1">
      <c r="A866" s="3363" t="s">
        <v>5233</v>
      </c>
      <c r="B866" s="3237" t="s">
        <v>4473</v>
      </c>
      <c r="C866" s="3237" t="s">
        <v>4088</v>
      </c>
      <c r="D866" s="3237" t="s">
        <v>4459</v>
      </c>
      <c r="E866" s="3237" t="s">
        <v>4460</v>
      </c>
      <c r="F866" s="3237" t="s">
        <v>4474</v>
      </c>
      <c r="G866" s="3237" t="s">
        <v>3660</v>
      </c>
      <c r="H866" s="3237" t="s">
        <v>3219</v>
      </c>
      <c r="I866" s="3236" t="s">
        <v>4462</v>
      </c>
      <c r="J866" s="3236">
        <v>29.09</v>
      </c>
    </row>
    <row r="867" spans="1:10" ht="11.25" customHeight="1">
      <c r="A867" s="3363" t="s">
        <v>5234</v>
      </c>
      <c r="B867" s="3237" t="s">
        <v>4473</v>
      </c>
      <c r="C867" s="3237" t="s">
        <v>4089</v>
      </c>
      <c r="D867" s="3237" t="s">
        <v>4459</v>
      </c>
      <c r="E867" s="3237" t="s">
        <v>4460</v>
      </c>
      <c r="F867" s="3237" t="s">
        <v>4474</v>
      </c>
      <c r="G867" s="3237" t="s">
        <v>3660</v>
      </c>
      <c r="H867" s="3237" t="s">
        <v>3219</v>
      </c>
      <c r="I867" s="3236" t="s">
        <v>4462</v>
      </c>
      <c r="J867" s="3236">
        <v>29.09</v>
      </c>
    </row>
    <row r="868" spans="1:10" ht="11.25" customHeight="1">
      <c r="A868" s="3363" t="s">
        <v>5235</v>
      </c>
      <c r="B868" s="3237" t="s">
        <v>4473</v>
      </c>
      <c r="C868" s="3237" t="s">
        <v>4090</v>
      </c>
      <c r="D868" s="3237" t="s">
        <v>4459</v>
      </c>
      <c r="E868" s="3237" t="s">
        <v>4460</v>
      </c>
      <c r="F868" s="3237" t="s">
        <v>4474</v>
      </c>
      <c r="G868" s="3237" t="s">
        <v>3660</v>
      </c>
      <c r="H868" s="3237" t="s">
        <v>3219</v>
      </c>
      <c r="I868" s="3236" t="s">
        <v>4462</v>
      </c>
      <c r="J868" s="3236">
        <v>29.09</v>
      </c>
    </row>
    <row r="869" spans="1:10" ht="11.25" customHeight="1">
      <c r="A869" s="3363" t="s">
        <v>5236</v>
      </c>
      <c r="B869" s="3237" t="s">
        <v>4473</v>
      </c>
      <c r="C869" s="3237" t="s">
        <v>4091</v>
      </c>
      <c r="D869" s="3237" t="s">
        <v>4459</v>
      </c>
      <c r="E869" s="3237" t="s">
        <v>4460</v>
      </c>
      <c r="F869" s="3237" t="s">
        <v>4474</v>
      </c>
      <c r="G869" s="3237" t="s">
        <v>3660</v>
      </c>
      <c r="H869" s="3237" t="s">
        <v>3219</v>
      </c>
      <c r="I869" s="3236" t="s">
        <v>4462</v>
      </c>
      <c r="J869" s="3236">
        <v>29.09</v>
      </c>
    </row>
    <row r="870" spans="1:10" ht="11.25" customHeight="1">
      <c r="A870" s="3363" t="s">
        <v>5237</v>
      </c>
      <c r="B870" s="3237" t="s">
        <v>4473</v>
      </c>
      <c r="C870" s="3237" t="s">
        <v>4092</v>
      </c>
      <c r="D870" s="3237" t="s">
        <v>4459</v>
      </c>
      <c r="E870" s="3237" t="s">
        <v>4460</v>
      </c>
      <c r="F870" s="3237" t="s">
        <v>4474</v>
      </c>
      <c r="G870" s="3237" t="s">
        <v>3660</v>
      </c>
      <c r="H870" s="3237" t="s">
        <v>3219</v>
      </c>
      <c r="I870" s="3236" t="s">
        <v>4462</v>
      </c>
      <c r="J870" s="3236">
        <v>29.09</v>
      </c>
    </row>
    <row r="871" spans="1:10" ht="11.25" customHeight="1">
      <c r="A871" s="3363" t="s">
        <v>5238</v>
      </c>
      <c r="B871" s="3237" t="s">
        <v>4473</v>
      </c>
      <c r="C871" s="3237" t="s">
        <v>4093</v>
      </c>
      <c r="D871" s="3237" t="s">
        <v>4459</v>
      </c>
      <c r="E871" s="3237" t="s">
        <v>4460</v>
      </c>
      <c r="F871" s="3237" t="s">
        <v>4474</v>
      </c>
      <c r="G871" s="3237" t="s">
        <v>3660</v>
      </c>
      <c r="H871" s="3237" t="s">
        <v>3219</v>
      </c>
      <c r="I871" s="3236" t="s">
        <v>4462</v>
      </c>
      <c r="J871" s="3236">
        <v>29.09</v>
      </c>
    </row>
    <row r="872" spans="1:10" ht="11.25" customHeight="1">
      <c r="A872" s="3363" t="s">
        <v>5239</v>
      </c>
      <c r="B872" s="3237" t="s">
        <v>4473</v>
      </c>
      <c r="C872" s="3237" t="s">
        <v>4094</v>
      </c>
      <c r="D872" s="3237" t="s">
        <v>4459</v>
      </c>
      <c r="E872" s="3237" t="s">
        <v>4460</v>
      </c>
      <c r="F872" s="3237" t="s">
        <v>4474</v>
      </c>
      <c r="G872" s="3237" t="s">
        <v>3660</v>
      </c>
      <c r="H872" s="3237" t="s">
        <v>3219</v>
      </c>
      <c r="I872" s="3236" t="s">
        <v>4462</v>
      </c>
      <c r="J872" s="3236">
        <v>29.09</v>
      </c>
    </row>
    <row r="873" spans="1:10" ht="11.25" customHeight="1">
      <c r="A873" s="3363" t="s">
        <v>5240</v>
      </c>
      <c r="B873" s="3237" t="s">
        <v>4473</v>
      </c>
      <c r="C873" s="3237" t="s">
        <v>4095</v>
      </c>
      <c r="D873" s="3237" t="s">
        <v>4459</v>
      </c>
      <c r="E873" s="3237" t="s">
        <v>4460</v>
      </c>
      <c r="F873" s="3237" t="s">
        <v>4474</v>
      </c>
      <c r="G873" s="3237" t="s">
        <v>3660</v>
      </c>
      <c r="H873" s="3237" t="s">
        <v>3219</v>
      </c>
      <c r="I873" s="3236" t="s">
        <v>4462</v>
      </c>
      <c r="J873" s="3236">
        <v>29.09</v>
      </c>
    </row>
    <row r="874" spans="1:10" ht="11.25" customHeight="1">
      <c r="A874" s="3363" t="s">
        <v>5241</v>
      </c>
      <c r="B874" s="3237" t="s">
        <v>4473</v>
      </c>
      <c r="C874" s="3237" t="s">
        <v>4096</v>
      </c>
      <c r="D874" s="3237" t="s">
        <v>4459</v>
      </c>
      <c r="E874" s="3237" t="s">
        <v>4460</v>
      </c>
      <c r="F874" s="3237" t="s">
        <v>4474</v>
      </c>
      <c r="G874" s="3237" t="s">
        <v>3660</v>
      </c>
      <c r="H874" s="3237" t="s">
        <v>3219</v>
      </c>
      <c r="I874" s="3236" t="s">
        <v>4462</v>
      </c>
      <c r="J874" s="3236">
        <v>29.09</v>
      </c>
    </row>
    <row r="875" spans="1:10" ht="11.25" customHeight="1">
      <c r="A875" s="3363" t="s">
        <v>5242</v>
      </c>
      <c r="B875" s="3237" t="s">
        <v>4473</v>
      </c>
      <c r="C875" s="3237" t="s">
        <v>4097</v>
      </c>
      <c r="D875" s="3237" t="s">
        <v>4459</v>
      </c>
      <c r="E875" s="3237" t="s">
        <v>4460</v>
      </c>
      <c r="F875" s="3237" t="s">
        <v>4474</v>
      </c>
      <c r="G875" s="3237" t="s">
        <v>3660</v>
      </c>
      <c r="H875" s="3237" t="s">
        <v>3219</v>
      </c>
      <c r="I875" s="3236" t="s">
        <v>4462</v>
      </c>
      <c r="J875" s="3236">
        <v>29.09</v>
      </c>
    </row>
    <row r="876" spans="1:10" ht="11.25" customHeight="1">
      <c r="A876" s="3363" t="s">
        <v>5243</v>
      </c>
      <c r="B876" s="3237" t="s">
        <v>4473</v>
      </c>
      <c r="C876" s="3237" t="s">
        <v>4098</v>
      </c>
      <c r="D876" s="3237" t="s">
        <v>4459</v>
      </c>
      <c r="E876" s="3237" t="s">
        <v>4460</v>
      </c>
      <c r="F876" s="3237" t="s">
        <v>4474</v>
      </c>
      <c r="G876" s="3237" t="s">
        <v>3660</v>
      </c>
      <c r="H876" s="3237" t="s">
        <v>3219</v>
      </c>
      <c r="I876" s="3236" t="s">
        <v>4462</v>
      </c>
      <c r="J876" s="3236">
        <v>29.09</v>
      </c>
    </row>
    <row r="877" spans="1:10" ht="11.25" customHeight="1">
      <c r="A877" s="3363" t="s">
        <v>5244</v>
      </c>
      <c r="B877" s="3237" t="s">
        <v>4473</v>
      </c>
      <c r="C877" s="3237" t="s">
        <v>4099</v>
      </c>
      <c r="D877" s="3237" t="s">
        <v>4459</v>
      </c>
      <c r="E877" s="3237" t="s">
        <v>4460</v>
      </c>
      <c r="F877" s="3237" t="s">
        <v>4474</v>
      </c>
      <c r="G877" s="3237" t="s">
        <v>3660</v>
      </c>
      <c r="H877" s="3237" t="s">
        <v>3219</v>
      </c>
      <c r="I877" s="3236" t="s">
        <v>4462</v>
      </c>
      <c r="J877" s="3236">
        <v>29.09</v>
      </c>
    </row>
    <row r="878" spans="1:10" ht="11.25" customHeight="1">
      <c r="A878" s="3363" t="s">
        <v>5245</v>
      </c>
      <c r="B878" s="3237" t="s">
        <v>4473</v>
      </c>
      <c r="C878" s="3237" t="s">
        <v>4100</v>
      </c>
      <c r="D878" s="3237" t="s">
        <v>4459</v>
      </c>
      <c r="E878" s="3237" t="s">
        <v>4460</v>
      </c>
      <c r="F878" s="3237" t="s">
        <v>4474</v>
      </c>
      <c r="G878" s="3237" t="s">
        <v>3660</v>
      </c>
      <c r="H878" s="3237" t="s">
        <v>3219</v>
      </c>
      <c r="I878" s="3236" t="s">
        <v>4462</v>
      </c>
      <c r="J878" s="3236">
        <v>29.09</v>
      </c>
    </row>
    <row r="879" spans="1:10" ht="11.25" customHeight="1">
      <c r="A879" s="3363" t="s">
        <v>5246</v>
      </c>
      <c r="B879" s="3237" t="s">
        <v>4473</v>
      </c>
      <c r="C879" s="3237" t="s">
        <v>4101</v>
      </c>
      <c r="D879" s="3237" t="s">
        <v>4459</v>
      </c>
      <c r="E879" s="3237" t="s">
        <v>4460</v>
      </c>
      <c r="F879" s="3237" t="s">
        <v>4474</v>
      </c>
      <c r="G879" s="3237" t="s">
        <v>3660</v>
      </c>
      <c r="H879" s="3237" t="s">
        <v>3219</v>
      </c>
      <c r="I879" s="3236" t="s">
        <v>4462</v>
      </c>
      <c r="J879" s="3236">
        <v>29.09</v>
      </c>
    </row>
    <row r="880" spans="1:10" ht="11.25" customHeight="1">
      <c r="A880" s="3363" t="s">
        <v>5247</v>
      </c>
      <c r="B880" s="3237" t="s">
        <v>4473</v>
      </c>
      <c r="C880" s="3237" t="s">
        <v>4102</v>
      </c>
      <c r="D880" s="3237" t="s">
        <v>4459</v>
      </c>
      <c r="E880" s="3237" t="s">
        <v>4460</v>
      </c>
      <c r="F880" s="3237" t="s">
        <v>4474</v>
      </c>
      <c r="G880" s="3237" t="s">
        <v>3660</v>
      </c>
      <c r="H880" s="3237" t="s">
        <v>3219</v>
      </c>
      <c r="I880" s="3236" t="s">
        <v>4462</v>
      </c>
      <c r="J880" s="3236">
        <v>29.09</v>
      </c>
    </row>
    <row r="881" spans="1:10" ht="11.25" customHeight="1">
      <c r="A881" s="3363" t="s">
        <v>5248</v>
      </c>
      <c r="B881" s="3237" t="s">
        <v>4473</v>
      </c>
      <c r="C881" s="3237" t="s">
        <v>4103</v>
      </c>
      <c r="D881" s="3237" t="s">
        <v>4459</v>
      </c>
      <c r="E881" s="3237" t="s">
        <v>4460</v>
      </c>
      <c r="F881" s="3237" t="s">
        <v>4474</v>
      </c>
      <c r="G881" s="3237" t="s">
        <v>3660</v>
      </c>
      <c r="H881" s="3237" t="s">
        <v>3219</v>
      </c>
      <c r="I881" s="3236" t="s">
        <v>4462</v>
      </c>
      <c r="J881" s="3236">
        <v>29.09</v>
      </c>
    </row>
    <row r="882" spans="1:10" ht="11.25" customHeight="1">
      <c r="A882" s="3363" t="s">
        <v>5249</v>
      </c>
      <c r="B882" s="3237" t="s">
        <v>4473</v>
      </c>
      <c r="C882" s="3237" t="s">
        <v>4104</v>
      </c>
      <c r="D882" s="3237" t="s">
        <v>4459</v>
      </c>
      <c r="E882" s="3237" t="s">
        <v>4460</v>
      </c>
      <c r="F882" s="3237" t="s">
        <v>4474</v>
      </c>
      <c r="G882" s="3237" t="s">
        <v>3660</v>
      </c>
      <c r="H882" s="3237" t="s">
        <v>3219</v>
      </c>
      <c r="I882" s="3236" t="s">
        <v>4462</v>
      </c>
      <c r="J882" s="3236">
        <v>29.09</v>
      </c>
    </row>
    <row r="883" spans="1:10" ht="11.25" customHeight="1">
      <c r="A883" s="3363" t="s">
        <v>5250</v>
      </c>
      <c r="B883" s="3237" t="s">
        <v>4473</v>
      </c>
      <c r="C883" s="3237" t="s">
        <v>4105</v>
      </c>
      <c r="D883" s="3237" t="s">
        <v>4459</v>
      </c>
      <c r="E883" s="3237" t="s">
        <v>4460</v>
      </c>
      <c r="F883" s="3237" t="s">
        <v>4474</v>
      </c>
      <c r="G883" s="3237" t="s">
        <v>3660</v>
      </c>
      <c r="H883" s="3237" t="s">
        <v>3219</v>
      </c>
      <c r="I883" s="3236" t="s">
        <v>4462</v>
      </c>
      <c r="J883" s="3236">
        <v>29.09</v>
      </c>
    </row>
    <row r="884" spans="1:10" ht="11.25" customHeight="1">
      <c r="A884" s="3363" t="s">
        <v>5251</v>
      </c>
      <c r="B884" s="3237" t="s">
        <v>4473</v>
      </c>
      <c r="C884" s="3237" t="s">
        <v>4106</v>
      </c>
      <c r="D884" s="3237" t="s">
        <v>4459</v>
      </c>
      <c r="E884" s="3237" t="s">
        <v>4460</v>
      </c>
      <c r="F884" s="3237" t="s">
        <v>4474</v>
      </c>
      <c r="G884" s="3237" t="s">
        <v>3660</v>
      </c>
      <c r="H884" s="3237" t="s">
        <v>3219</v>
      </c>
      <c r="I884" s="3236" t="s">
        <v>4462</v>
      </c>
      <c r="J884" s="3236">
        <v>29.09</v>
      </c>
    </row>
    <row r="885" spans="1:10" ht="11.25" customHeight="1">
      <c r="A885" s="3363" t="s">
        <v>5252</v>
      </c>
      <c r="B885" s="3237" t="s">
        <v>4473</v>
      </c>
      <c r="C885" s="3237" t="s">
        <v>4107</v>
      </c>
      <c r="D885" s="3237" t="s">
        <v>4459</v>
      </c>
      <c r="E885" s="3237" t="s">
        <v>4460</v>
      </c>
      <c r="F885" s="3237" t="s">
        <v>4474</v>
      </c>
      <c r="G885" s="3237" t="s">
        <v>3660</v>
      </c>
      <c r="H885" s="3237" t="s">
        <v>3219</v>
      </c>
      <c r="I885" s="3236" t="s">
        <v>4462</v>
      </c>
      <c r="J885" s="3236">
        <v>29.09</v>
      </c>
    </row>
    <row r="886" spans="1:10" ht="11.25" customHeight="1">
      <c r="A886" s="3363" t="s">
        <v>5253</v>
      </c>
      <c r="B886" s="3237" t="s">
        <v>4473</v>
      </c>
      <c r="C886" s="3237" t="s">
        <v>4108</v>
      </c>
      <c r="D886" s="3237" t="s">
        <v>4459</v>
      </c>
      <c r="E886" s="3237" t="s">
        <v>4460</v>
      </c>
      <c r="F886" s="3237" t="s">
        <v>4474</v>
      </c>
      <c r="G886" s="3237" t="s">
        <v>3660</v>
      </c>
      <c r="H886" s="3237" t="s">
        <v>3219</v>
      </c>
      <c r="I886" s="3236" t="s">
        <v>4462</v>
      </c>
      <c r="J886" s="3236">
        <v>29.09</v>
      </c>
    </row>
    <row r="887" spans="1:10" ht="11.25" customHeight="1">
      <c r="A887" s="3363" t="s">
        <v>5254</v>
      </c>
      <c r="B887" s="3237" t="s">
        <v>4473</v>
      </c>
      <c r="C887" s="3237" t="s">
        <v>4109</v>
      </c>
      <c r="D887" s="3237" t="s">
        <v>4459</v>
      </c>
      <c r="E887" s="3237" t="s">
        <v>4460</v>
      </c>
      <c r="F887" s="3237" t="s">
        <v>4474</v>
      </c>
      <c r="G887" s="3237" t="s">
        <v>3660</v>
      </c>
      <c r="H887" s="3237" t="s">
        <v>3219</v>
      </c>
      <c r="I887" s="3236" t="s">
        <v>4462</v>
      </c>
      <c r="J887" s="3236">
        <v>29.09</v>
      </c>
    </row>
    <row r="888" spans="1:10" ht="11.25" customHeight="1">
      <c r="A888" s="3363" t="s">
        <v>5255</v>
      </c>
      <c r="B888" s="3237" t="s">
        <v>4473</v>
      </c>
      <c r="C888" s="3237" t="s">
        <v>4110</v>
      </c>
      <c r="D888" s="3237" t="s">
        <v>4459</v>
      </c>
      <c r="E888" s="3237" t="s">
        <v>4460</v>
      </c>
      <c r="F888" s="3237" t="s">
        <v>4474</v>
      </c>
      <c r="G888" s="3237" t="s">
        <v>3660</v>
      </c>
      <c r="H888" s="3237" t="s">
        <v>3219</v>
      </c>
      <c r="I888" s="3236" t="s">
        <v>4462</v>
      </c>
      <c r="J888" s="3236">
        <v>29.09</v>
      </c>
    </row>
    <row r="889" spans="1:10" ht="11.25" customHeight="1">
      <c r="A889" s="3363" t="s">
        <v>5256</v>
      </c>
      <c r="B889" s="3237" t="s">
        <v>4473</v>
      </c>
      <c r="C889" s="3237" t="s">
        <v>4111</v>
      </c>
      <c r="D889" s="3237" t="s">
        <v>4459</v>
      </c>
      <c r="E889" s="3237" t="s">
        <v>4460</v>
      </c>
      <c r="F889" s="3237" t="s">
        <v>4474</v>
      </c>
      <c r="G889" s="3237" t="s">
        <v>3660</v>
      </c>
      <c r="H889" s="3237" t="s">
        <v>3219</v>
      </c>
      <c r="I889" s="3236" t="s">
        <v>4462</v>
      </c>
      <c r="J889" s="3236">
        <v>29.09</v>
      </c>
    </row>
    <row r="890" spans="1:10" ht="11.25" customHeight="1">
      <c r="A890" s="3363" t="s">
        <v>5257</v>
      </c>
      <c r="B890" s="3237" t="s">
        <v>4473</v>
      </c>
      <c r="C890" s="3237" t="s">
        <v>4112</v>
      </c>
      <c r="D890" s="3237" t="s">
        <v>4459</v>
      </c>
      <c r="E890" s="3237" t="s">
        <v>4460</v>
      </c>
      <c r="F890" s="3237" t="s">
        <v>4474</v>
      </c>
      <c r="G890" s="3237" t="s">
        <v>3660</v>
      </c>
      <c r="H890" s="3237" t="s">
        <v>3219</v>
      </c>
      <c r="I890" s="3236" t="s">
        <v>4462</v>
      </c>
      <c r="J890" s="3236">
        <v>29.09</v>
      </c>
    </row>
    <row r="891" spans="1:10" ht="11.25" customHeight="1">
      <c r="A891" s="3363" t="s">
        <v>5258</v>
      </c>
      <c r="B891" s="3237" t="s">
        <v>4473</v>
      </c>
      <c r="C891" s="3237" t="s">
        <v>4113</v>
      </c>
      <c r="D891" s="3237" t="s">
        <v>4459</v>
      </c>
      <c r="E891" s="3237" t="s">
        <v>4460</v>
      </c>
      <c r="F891" s="3237" t="s">
        <v>4474</v>
      </c>
      <c r="G891" s="3237" t="s">
        <v>3660</v>
      </c>
      <c r="H891" s="3237" t="s">
        <v>3219</v>
      </c>
      <c r="I891" s="3236" t="s">
        <v>4462</v>
      </c>
      <c r="J891" s="3236">
        <v>29.09</v>
      </c>
    </row>
    <row r="892" spans="1:10" ht="11.25" customHeight="1">
      <c r="A892" s="3363" t="s">
        <v>5259</v>
      </c>
      <c r="B892" s="3237" t="s">
        <v>4473</v>
      </c>
      <c r="C892" s="3237" t="s">
        <v>4114</v>
      </c>
      <c r="D892" s="3237" t="s">
        <v>4459</v>
      </c>
      <c r="E892" s="3237" t="s">
        <v>4460</v>
      </c>
      <c r="F892" s="3237" t="s">
        <v>4474</v>
      </c>
      <c r="G892" s="3237" t="s">
        <v>3660</v>
      </c>
      <c r="H892" s="3237" t="s">
        <v>3219</v>
      </c>
      <c r="I892" s="3236" t="s">
        <v>4462</v>
      </c>
      <c r="J892" s="3236">
        <v>29.09</v>
      </c>
    </row>
    <row r="893" spans="1:10" ht="11.25" customHeight="1">
      <c r="A893" s="3363" t="s">
        <v>5260</v>
      </c>
      <c r="B893" s="3237" t="s">
        <v>4473</v>
      </c>
      <c r="C893" s="3237" t="s">
        <v>4115</v>
      </c>
      <c r="D893" s="3237" t="s">
        <v>4459</v>
      </c>
      <c r="E893" s="3237" t="s">
        <v>4460</v>
      </c>
      <c r="F893" s="3237" t="s">
        <v>4474</v>
      </c>
      <c r="G893" s="3237" t="s">
        <v>3660</v>
      </c>
      <c r="H893" s="3237" t="s">
        <v>3219</v>
      </c>
      <c r="I893" s="3236" t="s">
        <v>4462</v>
      </c>
      <c r="J893" s="3236">
        <v>29.09</v>
      </c>
    </row>
    <row r="894" spans="1:10" ht="11.25" customHeight="1">
      <c r="A894" s="3363" t="s">
        <v>5261</v>
      </c>
      <c r="B894" s="3237" t="s">
        <v>4473</v>
      </c>
      <c r="C894" s="3237" t="s">
        <v>4116</v>
      </c>
      <c r="D894" s="3237" t="s">
        <v>4459</v>
      </c>
      <c r="E894" s="3237" t="s">
        <v>4460</v>
      </c>
      <c r="F894" s="3237" t="s">
        <v>4474</v>
      </c>
      <c r="G894" s="3237" t="s">
        <v>3660</v>
      </c>
      <c r="H894" s="3237" t="s">
        <v>3219</v>
      </c>
      <c r="I894" s="3236" t="s">
        <v>4462</v>
      </c>
      <c r="J894" s="3236">
        <v>29.09</v>
      </c>
    </row>
    <row r="895" spans="1:10" ht="11.25" customHeight="1">
      <c r="A895" s="3363" t="s">
        <v>5262</v>
      </c>
      <c r="B895" s="3237" t="s">
        <v>4473</v>
      </c>
      <c r="C895" s="3237" t="s">
        <v>4117</v>
      </c>
      <c r="D895" s="3237" t="s">
        <v>4459</v>
      </c>
      <c r="E895" s="3237" t="s">
        <v>4460</v>
      </c>
      <c r="F895" s="3237" t="s">
        <v>4474</v>
      </c>
      <c r="G895" s="3237" t="s">
        <v>3660</v>
      </c>
      <c r="H895" s="3237" t="s">
        <v>3219</v>
      </c>
      <c r="I895" s="3236" t="s">
        <v>4462</v>
      </c>
      <c r="J895" s="3236">
        <v>29.09</v>
      </c>
    </row>
    <row r="896" spans="1:10" ht="11.25" customHeight="1">
      <c r="A896" s="3363" t="s">
        <v>5263</v>
      </c>
      <c r="B896" s="3237" t="s">
        <v>4473</v>
      </c>
      <c r="C896" s="3237" t="s">
        <v>4118</v>
      </c>
      <c r="D896" s="3237" t="s">
        <v>4459</v>
      </c>
      <c r="E896" s="3237" t="s">
        <v>4460</v>
      </c>
      <c r="F896" s="3237" t="s">
        <v>4474</v>
      </c>
      <c r="G896" s="3237" t="s">
        <v>3660</v>
      </c>
      <c r="H896" s="3237" t="s">
        <v>3219</v>
      </c>
      <c r="I896" s="3236" t="s">
        <v>4462</v>
      </c>
      <c r="J896" s="3236">
        <v>29.09</v>
      </c>
    </row>
    <row r="897" spans="1:10" ht="11.25" customHeight="1">
      <c r="A897" s="3363" t="s">
        <v>5264</v>
      </c>
      <c r="B897" s="3237" t="s">
        <v>4473</v>
      </c>
      <c r="C897" s="3237" t="s">
        <v>4119</v>
      </c>
      <c r="D897" s="3237" t="s">
        <v>4459</v>
      </c>
      <c r="E897" s="3237" t="s">
        <v>4460</v>
      </c>
      <c r="F897" s="3237" t="s">
        <v>4474</v>
      </c>
      <c r="G897" s="3237" t="s">
        <v>3660</v>
      </c>
      <c r="H897" s="3237" t="s">
        <v>3219</v>
      </c>
      <c r="I897" s="3236" t="s">
        <v>4462</v>
      </c>
      <c r="J897" s="3236">
        <v>29.09</v>
      </c>
    </row>
    <row r="898" spans="1:10" ht="11.25" customHeight="1">
      <c r="A898" s="3363" t="s">
        <v>5265</v>
      </c>
      <c r="B898" s="3237" t="s">
        <v>4473</v>
      </c>
      <c r="C898" s="3237" t="s">
        <v>4120</v>
      </c>
      <c r="D898" s="3237" t="s">
        <v>4459</v>
      </c>
      <c r="E898" s="3237" t="s">
        <v>4460</v>
      </c>
      <c r="F898" s="3237" t="s">
        <v>4474</v>
      </c>
      <c r="G898" s="3237" t="s">
        <v>3660</v>
      </c>
      <c r="H898" s="3237" t="s">
        <v>3219</v>
      </c>
      <c r="I898" s="3236" t="s">
        <v>4462</v>
      </c>
      <c r="J898" s="3236">
        <v>29.09</v>
      </c>
    </row>
    <row r="899" spans="1:10" ht="11.25" customHeight="1">
      <c r="A899" s="3363" t="s">
        <v>5266</v>
      </c>
      <c r="B899" s="3237" t="s">
        <v>4473</v>
      </c>
      <c r="C899" s="3237" t="s">
        <v>4121</v>
      </c>
      <c r="D899" s="3237" t="s">
        <v>4459</v>
      </c>
      <c r="E899" s="3237" t="s">
        <v>4460</v>
      </c>
      <c r="F899" s="3237" t="s">
        <v>4474</v>
      </c>
      <c r="G899" s="3237" t="s">
        <v>3660</v>
      </c>
      <c r="H899" s="3237" t="s">
        <v>3219</v>
      </c>
      <c r="I899" s="3236" t="s">
        <v>4462</v>
      </c>
      <c r="J899" s="3236">
        <v>29.09</v>
      </c>
    </row>
    <row r="900" spans="1:10" ht="11.25" customHeight="1">
      <c r="A900" s="3363" t="s">
        <v>5267</v>
      </c>
      <c r="B900" s="3237" t="s">
        <v>4473</v>
      </c>
      <c r="C900" s="3237" t="s">
        <v>4122</v>
      </c>
      <c r="D900" s="3237" t="s">
        <v>4459</v>
      </c>
      <c r="E900" s="3237" t="s">
        <v>4460</v>
      </c>
      <c r="F900" s="3237" t="s">
        <v>4474</v>
      </c>
      <c r="G900" s="3237" t="s">
        <v>3660</v>
      </c>
      <c r="H900" s="3237" t="s">
        <v>3219</v>
      </c>
      <c r="I900" s="3236" t="s">
        <v>4462</v>
      </c>
      <c r="J900" s="3236">
        <v>29.09</v>
      </c>
    </row>
    <row r="901" spans="1:10" ht="11.25" customHeight="1">
      <c r="A901" s="3363" t="s">
        <v>5268</v>
      </c>
      <c r="B901" s="3237" t="s">
        <v>4473</v>
      </c>
      <c r="C901" s="3237" t="s">
        <v>4123</v>
      </c>
      <c r="D901" s="3237" t="s">
        <v>4459</v>
      </c>
      <c r="E901" s="3237" t="s">
        <v>4460</v>
      </c>
      <c r="F901" s="3237" t="s">
        <v>4474</v>
      </c>
      <c r="G901" s="3237" t="s">
        <v>3660</v>
      </c>
      <c r="H901" s="3237" t="s">
        <v>3219</v>
      </c>
      <c r="I901" s="3236" t="s">
        <v>4462</v>
      </c>
      <c r="J901" s="3236">
        <v>29.09</v>
      </c>
    </row>
    <row r="902" spans="1:10" ht="11.25" customHeight="1">
      <c r="A902" s="3363" t="s">
        <v>5269</v>
      </c>
      <c r="B902" s="3237" t="s">
        <v>4473</v>
      </c>
      <c r="C902" s="3237" t="s">
        <v>4124</v>
      </c>
      <c r="D902" s="3237" t="s">
        <v>4459</v>
      </c>
      <c r="E902" s="3237" t="s">
        <v>4460</v>
      </c>
      <c r="F902" s="3237" t="s">
        <v>4474</v>
      </c>
      <c r="G902" s="3237" t="s">
        <v>3660</v>
      </c>
      <c r="H902" s="3237" t="s">
        <v>3219</v>
      </c>
      <c r="I902" s="3236" t="s">
        <v>4462</v>
      </c>
      <c r="J902" s="3236">
        <v>29.09</v>
      </c>
    </row>
    <row r="903" spans="1:10" ht="11.25" customHeight="1">
      <c r="A903" s="3363" t="s">
        <v>5270</v>
      </c>
      <c r="B903" s="3237" t="s">
        <v>4473</v>
      </c>
      <c r="C903" s="3237" t="s">
        <v>4125</v>
      </c>
      <c r="D903" s="3237" t="s">
        <v>4459</v>
      </c>
      <c r="E903" s="3237" t="s">
        <v>4460</v>
      </c>
      <c r="F903" s="3237" t="s">
        <v>4474</v>
      </c>
      <c r="G903" s="3237" t="s">
        <v>3660</v>
      </c>
      <c r="H903" s="3237" t="s">
        <v>3219</v>
      </c>
      <c r="I903" s="3236" t="s">
        <v>4462</v>
      </c>
      <c r="J903" s="3236">
        <v>29.09</v>
      </c>
    </row>
    <row r="904" spans="1:10" ht="11.25" customHeight="1">
      <c r="A904" s="3363" t="s">
        <v>5271</v>
      </c>
      <c r="B904" s="3237" t="s">
        <v>4473</v>
      </c>
      <c r="C904" s="3237" t="s">
        <v>4126</v>
      </c>
      <c r="D904" s="3237" t="s">
        <v>4459</v>
      </c>
      <c r="E904" s="3237" t="s">
        <v>4460</v>
      </c>
      <c r="F904" s="3237" t="s">
        <v>4474</v>
      </c>
      <c r="G904" s="3237" t="s">
        <v>3660</v>
      </c>
      <c r="H904" s="3237" t="s">
        <v>3219</v>
      </c>
      <c r="I904" s="3236" t="s">
        <v>4462</v>
      </c>
      <c r="J904" s="3236">
        <v>29.09</v>
      </c>
    </row>
    <row r="905" spans="1:10" ht="11.25" customHeight="1">
      <c r="A905" s="3363" t="s">
        <v>5272</v>
      </c>
      <c r="B905" s="3237" t="s">
        <v>4473</v>
      </c>
      <c r="C905" s="3237" t="s">
        <v>4127</v>
      </c>
      <c r="D905" s="3237" t="s">
        <v>4459</v>
      </c>
      <c r="E905" s="3237" t="s">
        <v>4460</v>
      </c>
      <c r="F905" s="3237" t="s">
        <v>4474</v>
      </c>
      <c r="G905" s="3237" t="s">
        <v>3660</v>
      </c>
      <c r="H905" s="3237" t="s">
        <v>3219</v>
      </c>
      <c r="I905" s="3236" t="s">
        <v>4462</v>
      </c>
      <c r="J905" s="3236">
        <v>29.09</v>
      </c>
    </row>
    <row r="906" spans="1:10" ht="11.25" customHeight="1">
      <c r="A906" s="3363" t="s">
        <v>5273</v>
      </c>
      <c r="B906" s="3237" t="s">
        <v>4473</v>
      </c>
      <c r="C906" s="3237" t="s">
        <v>4128</v>
      </c>
      <c r="D906" s="3237" t="s">
        <v>4459</v>
      </c>
      <c r="E906" s="3237" t="s">
        <v>4460</v>
      </c>
      <c r="F906" s="3237" t="s">
        <v>4474</v>
      </c>
      <c r="G906" s="3237" t="s">
        <v>3660</v>
      </c>
      <c r="H906" s="3237" t="s">
        <v>3219</v>
      </c>
      <c r="I906" s="3236" t="s">
        <v>4462</v>
      </c>
      <c r="J906" s="3236">
        <v>29.09</v>
      </c>
    </row>
    <row r="907" spans="1:10" ht="11.25" customHeight="1">
      <c r="A907" s="3363" t="s">
        <v>5274</v>
      </c>
      <c r="B907" s="3237" t="s">
        <v>4473</v>
      </c>
      <c r="C907" s="3237" t="s">
        <v>4129</v>
      </c>
      <c r="D907" s="3237" t="s">
        <v>4459</v>
      </c>
      <c r="E907" s="3237" t="s">
        <v>4460</v>
      </c>
      <c r="F907" s="3237" t="s">
        <v>4474</v>
      </c>
      <c r="G907" s="3237" t="s">
        <v>3660</v>
      </c>
      <c r="H907" s="3237" t="s">
        <v>3219</v>
      </c>
      <c r="I907" s="3236" t="s">
        <v>4462</v>
      </c>
      <c r="J907" s="3236">
        <v>29.09</v>
      </c>
    </row>
    <row r="908" spans="1:10" ht="11.25" customHeight="1">
      <c r="A908" s="3363" t="s">
        <v>5275</v>
      </c>
      <c r="B908" s="3237" t="s">
        <v>4473</v>
      </c>
      <c r="C908" s="3237" t="s">
        <v>4130</v>
      </c>
      <c r="D908" s="3237" t="s">
        <v>4459</v>
      </c>
      <c r="E908" s="3237" t="s">
        <v>4460</v>
      </c>
      <c r="F908" s="3237" t="s">
        <v>4474</v>
      </c>
      <c r="G908" s="3237" t="s">
        <v>3660</v>
      </c>
      <c r="H908" s="3237" t="s">
        <v>3219</v>
      </c>
      <c r="I908" s="3236" t="s">
        <v>4462</v>
      </c>
      <c r="J908" s="3236">
        <v>29.09</v>
      </c>
    </row>
    <row r="909" spans="1:10" ht="11.25" customHeight="1">
      <c r="A909" s="3363" t="s">
        <v>5276</v>
      </c>
      <c r="B909" s="3237" t="s">
        <v>4473</v>
      </c>
      <c r="C909" s="3237" t="s">
        <v>4131</v>
      </c>
      <c r="D909" s="3237" t="s">
        <v>4459</v>
      </c>
      <c r="E909" s="3237" t="s">
        <v>4460</v>
      </c>
      <c r="F909" s="3237" t="s">
        <v>4474</v>
      </c>
      <c r="G909" s="3237" t="s">
        <v>3660</v>
      </c>
      <c r="H909" s="3237" t="s">
        <v>3219</v>
      </c>
      <c r="I909" s="3236" t="s">
        <v>4462</v>
      </c>
      <c r="J909" s="3236">
        <v>29.09</v>
      </c>
    </row>
    <row r="910" spans="1:10" ht="11.25" customHeight="1">
      <c r="A910" s="3363" t="s">
        <v>5277</v>
      </c>
      <c r="B910" s="3237" t="s">
        <v>4473</v>
      </c>
      <c r="C910" s="3237" t="s">
        <v>4132</v>
      </c>
      <c r="D910" s="3237" t="s">
        <v>4459</v>
      </c>
      <c r="E910" s="3237" t="s">
        <v>4460</v>
      </c>
      <c r="F910" s="3237" t="s">
        <v>4474</v>
      </c>
      <c r="G910" s="3237" t="s">
        <v>3660</v>
      </c>
      <c r="H910" s="3237" t="s">
        <v>3219</v>
      </c>
      <c r="I910" s="3236" t="s">
        <v>4462</v>
      </c>
      <c r="J910" s="3236">
        <v>29.09</v>
      </c>
    </row>
    <row r="911" spans="1:10" ht="11.25" customHeight="1">
      <c r="A911" s="3363" t="s">
        <v>5278</v>
      </c>
      <c r="B911" s="3237" t="s">
        <v>4473</v>
      </c>
      <c r="C911" s="3237" t="s">
        <v>4133</v>
      </c>
      <c r="D911" s="3237" t="s">
        <v>4459</v>
      </c>
      <c r="E911" s="3237" t="s">
        <v>4460</v>
      </c>
      <c r="F911" s="3237" t="s">
        <v>4474</v>
      </c>
      <c r="G911" s="3237" t="s">
        <v>3660</v>
      </c>
      <c r="H911" s="3237" t="s">
        <v>3219</v>
      </c>
      <c r="I911" s="3236" t="s">
        <v>4462</v>
      </c>
      <c r="J911" s="3236">
        <v>29.09</v>
      </c>
    </row>
    <row r="912" spans="1:10" ht="11.25" customHeight="1">
      <c r="A912" s="3363" t="s">
        <v>5279</v>
      </c>
      <c r="B912" s="3237" t="s">
        <v>4473</v>
      </c>
      <c r="C912" s="3237" t="s">
        <v>4134</v>
      </c>
      <c r="D912" s="3237" t="s">
        <v>4459</v>
      </c>
      <c r="E912" s="3237" t="s">
        <v>4460</v>
      </c>
      <c r="F912" s="3237" t="s">
        <v>4474</v>
      </c>
      <c r="G912" s="3237" t="s">
        <v>3660</v>
      </c>
      <c r="H912" s="3237" t="s">
        <v>3219</v>
      </c>
      <c r="I912" s="3236" t="s">
        <v>4462</v>
      </c>
      <c r="J912" s="3236">
        <v>29.09</v>
      </c>
    </row>
    <row r="913" spans="1:10" ht="11.25" customHeight="1">
      <c r="A913" s="3363" t="s">
        <v>5280</v>
      </c>
      <c r="B913" s="3237" t="s">
        <v>4473</v>
      </c>
      <c r="C913" s="3237" t="s">
        <v>4135</v>
      </c>
      <c r="D913" s="3237" t="s">
        <v>4459</v>
      </c>
      <c r="E913" s="3237" t="s">
        <v>4460</v>
      </c>
      <c r="F913" s="3237" t="s">
        <v>4474</v>
      </c>
      <c r="G913" s="3237" t="s">
        <v>3660</v>
      </c>
      <c r="H913" s="3237" t="s">
        <v>3219</v>
      </c>
      <c r="I913" s="3236" t="s">
        <v>4462</v>
      </c>
      <c r="J913" s="3236">
        <v>29.09</v>
      </c>
    </row>
    <row r="914" spans="1:10" ht="11.25" customHeight="1">
      <c r="A914" s="3363" t="s">
        <v>5281</v>
      </c>
      <c r="B914" s="3237" t="s">
        <v>4473</v>
      </c>
      <c r="C914" s="3237" t="s">
        <v>4136</v>
      </c>
      <c r="D914" s="3237" t="s">
        <v>4459</v>
      </c>
      <c r="E914" s="3237" t="s">
        <v>4460</v>
      </c>
      <c r="F914" s="3237" t="s">
        <v>4474</v>
      </c>
      <c r="G914" s="3237" t="s">
        <v>3660</v>
      </c>
      <c r="H914" s="3237" t="s">
        <v>3219</v>
      </c>
      <c r="I914" s="3236" t="s">
        <v>4462</v>
      </c>
      <c r="J914" s="3236">
        <v>29.09</v>
      </c>
    </row>
    <row r="915" spans="1:10" ht="11.25" customHeight="1">
      <c r="A915" s="3363" t="s">
        <v>5282</v>
      </c>
      <c r="B915" s="3237" t="s">
        <v>4473</v>
      </c>
      <c r="C915" s="3237" t="s">
        <v>4137</v>
      </c>
      <c r="D915" s="3237" t="s">
        <v>4459</v>
      </c>
      <c r="E915" s="3237" t="s">
        <v>4460</v>
      </c>
      <c r="F915" s="3237" t="s">
        <v>4474</v>
      </c>
      <c r="G915" s="3237" t="s">
        <v>3660</v>
      </c>
      <c r="H915" s="3237" t="s">
        <v>3219</v>
      </c>
      <c r="I915" s="3236" t="s">
        <v>4462</v>
      </c>
      <c r="J915" s="3236">
        <v>29.09</v>
      </c>
    </row>
    <row r="916" spans="1:10" ht="11.25" customHeight="1">
      <c r="A916" s="3363" t="s">
        <v>5283</v>
      </c>
      <c r="B916" s="3237" t="s">
        <v>4473</v>
      </c>
      <c r="C916" s="3237" t="s">
        <v>4138</v>
      </c>
      <c r="D916" s="3237" t="s">
        <v>4459</v>
      </c>
      <c r="E916" s="3237" t="s">
        <v>4460</v>
      </c>
      <c r="F916" s="3237" t="s">
        <v>4474</v>
      </c>
      <c r="G916" s="3237" t="s">
        <v>3660</v>
      </c>
      <c r="H916" s="3237" t="s">
        <v>3219</v>
      </c>
      <c r="I916" s="3236" t="s">
        <v>4462</v>
      </c>
      <c r="J916" s="3236">
        <v>29.09</v>
      </c>
    </row>
    <row r="917" spans="1:10" ht="11.25" customHeight="1">
      <c r="A917" s="3363" t="s">
        <v>5284</v>
      </c>
      <c r="B917" s="3237" t="s">
        <v>4473</v>
      </c>
      <c r="C917" s="3237" t="s">
        <v>4139</v>
      </c>
      <c r="D917" s="3237" t="s">
        <v>4459</v>
      </c>
      <c r="E917" s="3237" t="s">
        <v>4460</v>
      </c>
      <c r="F917" s="3237" t="s">
        <v>4474</v>
      </c>
      <c r="G917" s="3237" t="s">
        <v>3660</v>
      </c>
      <c r="H917" s="3237" t="s">
        <v>3219</v>
      </c>
      <c r="I917" s="3236" t="s">
        <v>4462</v>
      </c>
      <c r="J917" s="3236">
        <v>29.09</v>
      </c>
    </row>
    <row r="918" spans="1:10" ht="11.25" customHeight="1">
      <c r="A918" s="3363" t="s">
        <v>5285</v>
      </c>
      <c r="B918" s="3237" t="s">
        <v>4473</v>
      </c>
      <c r="C918" s="3237" t="s">
        <v>4140</v>
      </c>
      <c r="D918" s="3237" t="s">
        <v>4459</v>
      </c>
      <c r="E918" s="3237" t="s">
        <v>4460</v>
      </c>
      <c r="F918" s="3237" t="s">
        <v>4474</v>
      </c>
      <c r="G918" s="3237" t="s">
        <v>3660</v>
      </c>
      <c r="H918" s="3237" t="s">
        <v>3219</v>
      </c>
      <c r="I918" s="3236" t="s">
        <v>4462</v>
      </c>
      <c r="J918" s="3236">
        <v>29.09</v>
      </c>
    </row>
    <row r="919" spans="1:10" ht="11.25" customHeight="1">
      <c r="A919" s="3363" t="s">
        <v>5286</v>
      </c>
      <c r="B919" s="3237" t="s">
        <v>4473</v>
      </c>
      <c r="C919" s="3237" t="s">
        <v>4141</v>
      </c>
      <c r="D919" s="3237" t="s">
        <v>4459</v>
      </c>
      <c r="E919" s="3237" t="s">
        <v>4460</v>
      </c>
      <c r="F919" s="3237" t="s">
        <v>4474</v>
      </c>
      <c r="G919" s="3237" t="s">
        <v>3660</v>
      </c>
      <c r="H919" s="3237" t="s">
        <v>3219</v>
      </c>
      <c r="I919" s="3236" t="s">
        <v>4462</v>
      </c>
      <c r="J919" s="3236">
        <v>29.09</v>
      </c>
    </row>
    <row r="920" spans="1:10" ht="11.25" customHeight="1">
      <c r="A920" s="3363" t="s">
        <v>5287</v>
      </c>
      <c r="B920" s="3237" t="s">
        <v>4473</v>
      </c>
      <c r="C920" s="3237" t="s">
        <v>4142</v>
      </c>
      <c r="D920" s="3237" t="s">
        <v>4459</v>
      </c>
      <c r="E920" s="3237" t="s">
        <v>4460</v>
      </c>
      <c r="F920" s="3237" t="s">
        <v>4474</v>
      </c>
      <c r="G920" s="3237" t="s">
        <v>3660</v>
      </c>
      <c r="H920" s="3237" t="s">
        <v>3219</v>
      </c>
      <c r="I920" s="3236" t="s">
        <v>4462</v>
      </c>
      <c r="J920" s="3236">
        <v>29.09</v>
      </c>
    </row>
    <row r="921" spans="1:10" ht="11.25" customHeight="1">
      <c r="A921" s="3363" t="s">
        <v>5288</v>
      </c>
      <c r="B921" s="3237" t="s">
        <v>4473</v>
      </c>
      <c r="C921" s="3237" t="s">
        <v>4143</v>
      </c>
      <c r="D921" s="3237" t="s">
        <v>4459</v>
      </c>
      <c r="E921" s="3237" t="s">
        <v>4460</v>
      </c>
      <c r="F921" s="3237" t="s">
        <v>4474</v>
      </c>
      <c r="G921" s="3237" t="s">
        <v>3660</v>
      </c>
      <c r="H921" s="3237" t="s">
        <v>3219</v>
      </c>
      <c r="I921" s="3236" t="s">
        <v>4462</v>
      </c>
      <c r="J921" s="3236">
        <v>29.09</v>
      </c>
    </row>
    <row r="922" spans="1:10" ht="11.25" customHeight="1">
      <c r="A922" s="3363" t="s">
        <v>5289</v>
      </c>
      <c r="B922" s="3237" t="s">
        <v>4473</v>
      </c>
      <c r="C922" s="3237" t="s">
        <v>4144</v>
      </c>
      <c r="D922" s="3237" t="s">
        <v>4459</v>
      </c>
      <c r="E922" s="3237" t="s">
        <v>4460</v>
      </c>
      <c r="F922" s="3237" t="s">
        <v>4474</v>
      </c>
      <c r="G922" s="3237" t="s">
        <v>3660</v>
      </c>
      <c r="H922" s="3237" t="s">
        <v>3219</v>
      </c>
      <c r="I922" s="3236" t="s">
        <v>4462</v>
      </c>
      <c r="J922" s="3236">
        <v>29.09</v>
      </c>
    </row>
    <row r="923" spans="1:10" ht="11.25" customHeight="1">
      <c r="A923" s="3363" t="s">
        <v>5290</v>
      </c>
      <c r="B923" s="3237" t="s">
        <v>4473</v>
      </c>
      <c r="C923" s="3237" t="s">
        <v>4145</v>
      </c>
      <c r="D923" s="3237" t="s">
        <v>4459</v>
      </c>
      <c r="E923" s="3237" t="s">
        <v>4460</v>
      </c>
      <c r="F923" s="3237" t="s">
        <v>4474</v>
      </c>
      <c r="G923" s="3237" t="s">
        <v>3660</v>
      </c>
      <c r="H923" s="3237" t="s">
        <v>3219</v>
      </c>
      <c r="I923" s="3236" t="s">
        <v>4462</v>
      </c>
      <c r="J923" s="3236">
        <v>29.09</v>
      </c>
    </row>
    <row r="924" spans="1:10" ht="11.25" customHeight="1">
      <c r="A924" s="3363" t="s">
        <v>5291</v>
      </c>
      <c r="B924" s="3237" t="s">
        <v>4473</v>
      </c>
      <c r="C924" s="3237" t="s">
        <v>4146</v>
      </c>
      <c r="D924" s="3237" t="s">
        <v>4459</v>
      </c>
      <c r="E924" s="3237" t="s">
        <v>4460</v>
      </c>
      <c r="F924" s="3237" t="s">
        <v>4474</v>
      </c>
      <c r="G924" s="3237" t="s">
        <v>3660</v>
      </c>
      <c r="H924" s="3237" t="s">
        <v>3219</v>
      </c>
      <c r="I924" s="3236" t="s">
        <v>4462</v>
      </c>
      <c r="J924" s="3236">
        <v>29.09</v>
      </c>
    </row>
    <row r="925" spans="1:10" ht="11.25" customHeight="1">
      <c r="A925" s="3363" t="s">
        <v>5292</v>
      </c>
      <c r="B925" s="3237" t="s">
        <v>4473</v>
      </c>
      <c r="C925" s="3237" t="s">
        <v>4147</v>
      </c>
      <c r="D925" s="3237" t="s">
        <v>4459</v>
      </c>
      <c r="E925" s="3237" t="s">
        <v>4460</v>
      </c>
      <c r="F925" s="3237" t="s">
        <v>4474</v>
      </c>
      <c r="G925" s="3237" t="s">
        <v>3660</v>
      </c>
      <c r="H925" s="3237" t="s">
        <v>3219</v>
      </c>
      <c r="I925" s="3236" t="s">
        <v>4462</v>
      </c>
      <c r="J925" s="3236">
        <v>29.09</v>
      </c>
    </row>
    <row r="926" spans="1:10" ht="11.25" customHeight="1">
      <c r="A926" s="3363" t="s">
        <v>5293</v>
      </c>
      <c r="B926" s="3237" t="s">
        <v>4473</v>
      </c>
      <c r="C926" s="3237" t="s">
        <v>4148</v>
      </c>
      <c r="D926" s="3237" t="s">
        <v>4459</v>
      </c>
      <c r="E926" s="3237" t="s">
        <v>4460</v>
      </c>
      <c r="F926" s="3237" t="s">
        <v>4474</v>
      </c>
      <c r="G926" s="3237" t="s">
        <v>3660</v>
      </c>
      <c r="H926" s="3237" t="s">
        <v>3219</v>
      </c>
      <c r="I926" s="3236" t="s">
        <v>4462</v>
      </c>
      <c r="J926" s="3236">
        <v>29.09</v>
      </c>
    </row>
    <row r="927" spans="1:10" ht="11.25" customHeight="1">
      <c r="A927" s="3363" t="s">
        <v>5294</v>
      </c>
      <c r="B927" s="3237" t="s">
        <v>4473</v>
      </c>
      <c r="C927" s="3237" t="s">
        <v>4149</v>
      </c>
      <c r="D927" s="3237" t="s">
        <v>4459</v>
      </c>
      <c r="E927" s="3237" t="s">
        <v>4460</v>
      </c>
      <c r="F927" s="3237" t="s">
        <v>4474</v>
      </c>
      <c r="G927" s="3237" t="s">
        <v>3660</v>
      </c>
      <c r="H927" s="3237" t="s">
        <v>3219</v>
      </c>
      <c r="I927" s="3236" t="s">
        <v>4462</v>
      </c>
      <c r="J927" s="3236">
        <v>29.09</v>
      </c>
    </row>
    <row r="928" spans="1:10" ht="11.25" customHeight="1">
      <c r="A928" s="3363" t="s">
        <v>5295</v>
      </c>
      <c r="B928" s="3237" t="s">
        <v>4473</v>
      </c>
      <c r="C928" s="3237" t="s">
        <v>4150</v>
      </c>
      <c r="D928" s="3237" t="s">
        <v>4459</v>
      </c>
      <c r="E928" s="3237" t="s">
        <v>4460</v>
      </c>
      <c r="F928" s="3237" t="s">
        <v>4474</v>
      </c>
      <c r="G928" s="3237" t="s">
        <v>3660</v>
      </c>
      <c r="H928" s="3237" t="s">
        <v>3219</v>
      </c>
      <c r="I928" s="3236" t="s">
        <v>4462</v>
      </c>
      <c r="J928" s="3236">
        <v>29.09</v>
      </c>
    </row>
    <row r="929" spans="1:10" ht="11.25" customHeight="1">
      <c r="A929" s="3363" t="s">
        <v>5296</v>
      </c>
      <c r="B929" s="3237" t="s">
        <v>4473</v>
      </c>
      <c r="C929" s="3237" t="s">
        <v>4151</v>
      </c>
      <c r="D929" s="3237" t="s">
        <v>4459</v>
      </c>
      <c r="E929" s="3237" t="s">
        <v>4460</v>
      </c>
      <c r="F929" s="3237" t="s">
        <v>4474</v>
      </c>
      <c r="G929" s="3237" t="s">
        <v>3660</v>
      </c>
      <c r="H929" s="3237" t="s">
        <v>3219</v>
      </c>
      <c r="I929" s="3236" t="s">
        <v>4462</v>
      </c>
      <c r="J929" s="3236">
        <v>29.09</v>
      </c>
    </row>
    <row r="930" spans="1:10" ht="11.25" customHeight="1">
      <c r="A930" s="3363" t="s">
        <v>5297</v>
      </c>
      <c r="B930" s="3237" t="s">
        <v>4473</v>
      </c>
      <c r="C930" s="3237" t="s">
        <v>4152</v>
      </c>
      <c r="D930" s="3237" t="s">
        <v>4459</v>
      </c>
      <c r="E930" s="3237" t="s">
        <v>4460</v>
      </c>
      <c r="F930" s="3237" t="s">
        <v>4474</v>
      </c>
      <c r="G930" s="3237" t="s">
        <v>3660</v>
      </c>
      <c r="H930" s="3237" t="s">
        <v>3219</v>
      </c>
      <c r="I930" s="3236" t="s">
        <v>4462</v>
      </c>
      <c r="J930" s="3236">
        <v>29.09</v>
      </c>
    </row>
    <row r="931" spans="1:10" ht="11.25" customHeight="1">
      <c r="A931" s="3363" t="s">
        <v>5298</v>
      </c>
      <c r="B931" s="3237" t="s">
        <v>4473</v>
      </c>
      <c r="C931" s="3237" t="s">
        <v>4153</v>
      </c>
      <c r="D931" s="3237" t="s">
        <v>4459</v>
      </c>
      <c r="E931" s="3237" t="s">
        <v>4460</v>
      </c>
      <c r="F931" s="3237" t="s">
        <v>4474</v>
      </c>
      <c r="G931" s="3237" t="s">
        <v>3660</v>
      </c>
      <c r="H931" s="3237" t="s">
        <v>3219</v>
      </c>
      <c r="I931" s="3236" t="s">
        <v>4462</v>
      </c>
      <c r="J931" s="3236">
        <v>29.09</v>
      </c>
    </row>
    <row r="932" spans="1:10" ht="11.25" customHeight="1">
      <c r="A932" s="3363" t="s">
        <v>5299</v>
      </c>
      <c r="B932" s="3237" t="s">
        <v>4473</v>
      </c>
      <c r="C932" s="3237" t="s">
        <v>4154</v>
      </c>
      <c r="D932" s="3237" t="s">
        <v>4459</v>
      </c>
      <c r="E932" s="3237" t="s">
        <v>4460</v>
      </c>
      <c r="F932" s="3237" t="s">
        <v>4474</v>
      </c>
      <c r="G932" s="3237" t="s">
        <v>3660</v>
      </c>
      <c r="H932" s="3237" t="s">
        <v>3219</v>
      </c>
      <c r="I932" s="3236" t="s">
        <v>4462</v>
      </c>
      <c r="J932" s="3236">
        <v>29.09</v>
      </c>
    </row>
    <row r="933" spans="1:10" ht="11.25" customHeight="1">
      <c r="A933" s="3363" t="s">
        <v>5300</v>
      </c>
      <c r="B933" s="3237" t="s">
        <v>4473</v>
      </c>
      <c r="C933" s="3237" t="s">
        <v>4155</v>
      </c>
      <c r="D933" s="3237" t="s">
        <v>4459</v>
      </c>
      <c r="E933" s="3237" t="s">
        <v>4460</v>
      </c>
      <c r="F933" s="3237" t="s">
        <v>4474</v>
      </c>
      <c r="G933" s="3237" t="s">
        <v>3660</v>
      </c>
      <c r="H933" s="3237" t="s">
        <v>3219</v>
      </c>
      <c r="I933" s="3236" t="s">
        <v>4462</v>
      </c>
      <c r="J933" s="3236">
        <v>29.09</v>
      </c>
    </row>
    <row r="934" spans="1:10" ht="11.25" customHeight="1">
      <c r="A934" s="3363" t="s">
        <v>5301</v>
      </c>
      <c r="B934" s="3237" t="s">
        <v>4473</v>
      </c>
      <c r="C934" s="3237" t="s">
        <v>4156</v>
      </c>
      <c r="D934" s="3237" t="s">
        <v>4459</v>
      </c>
      <c r="E934" s="3237" t="s">
        <v>4460</v>
      </c>
      <c r="F934" s="3237" t="s">
        <v>4474</v>
      </c>
      <c r="G934" s="3237" t="s">
        <v>3660</v>
      </c>
      <c r="H934" s="3237" t="s">
        <v>3219</v>
      </c>
      <c r="I934" s="3236" t="s">
        <v>4462</v>
      </c>
      <c r="J934" s="3236">
        <v>29.09</v>
      </c>
    </row>
    <row r="935" spans="1:10" ht="11.25" customHeight="1">
      <c r="A935" s="3363" t="s">
        <v>5302</v>
      </c>
      <c r="B935" s="3237" t="s">
        <v>4473</v>
      </c>
      <c r="C935" s="3237" t="s">
        <v>4157</v>
      </c>
      <c r="D935" s="3237" t="s">
        <v>4459</v>
      </c>
      <c r="E935" s="3237" t="s">
        <v>4460</v>
      </c>
      <c r="F935" s="3237" t="s">
        <v>4474</v>
      </c>
      <c r="G935" s="3237" t="s">
        <v>3660</v>
      </c>
      <c r="H935" s="3237" t="s">
        <v>3219</v>
      </c>
      <c r="I935" s="3236" t="s">
        <v>4462</v>
      </c>
      <c r="J935" s="3236">
        <v>29.09</v>
      </c>
    </row>
    <row r="936" spans="1:10" ht="11.25" customHeight="1">
      <c r="A936" s="3363" t="s">
        <v>5303</v>
      </c>
      <c r="B936" s="3237" t="s">
        <v>4473</v>
      </c>
      <c r="C936" s="3237" t="s">
        <v>4158</v>
      </c>
      <c r="D936" s="3237" t="s">
        <v>4459</v>
      </c>
      <c r="E936" s="3237" t="s">
        <v>4460</v>
      </c>
      <c r="F936" s="3237" t="s">
        <v>4474</v>
      </c>
      <c r="G936" s="3237" t="s">
        <v>3660</v>
      </c>
      <c r="H936" s="3237" t="s">
        <v>3219</v>
      </c>
      <c r="I936" s="3236" t="s">
        <v>4462</v>
      </c>
      <c r="J936" s="3236">
        <v>29.09</v>
      </c>
    </row>
    <row r="937" spans="1:10" ht="11.25" customHeight="1">
      <c r="A937" s="3363" t="s">
        <v>5304</v>
      </c>
      <c r="B937" s="3237" t="s">
        <v>4473</v>
      </c>
      <c r="C937" s="3237" t="s">
        <v>4159</v>
      </c>
      <c r="D937" s="3237" t="s">
        <v>4459</v>
      </c>
      <c r="E937" s="3237" t="s">
        <v>4460</v>
      </c>
      <c r="F937" s="3237" t="s">
        <v>4474</v>
      </c>
      <c r="G937" s="3237" t="s">
        <v>3660</v>
      </c>
      <c r="H937" s="3237" t="s">
        <v>3219</v>
      </c>
      <c r="I937" s="3236" t="s">
        <v>4462</v>
      </c>
      <c r="J937" s="3236">
        <v>29.09</v>
      </c>
    </row>
    <row r="938" spans="1:10" ht="11.25" customHeight="1">
      <c r="A938" s="3363" t="s">
        <v>5305</v>
      </c>
      <c r="B938" s="3237" t="s">
        <v>4473</v>
      </c>
      <c r="C938" s="3237" t="s">
        <v>4160</v>
      </c>
      <c r="D938" s="3237" t="s">
        <v>4459</v>
      </c>
      <c r="E938" s="3237" t="s">
        <v>4460</v>
      </c>
      <c r="F938" s="3237" t="s">
        <v>4474</v>
      </c>
      <c r="G938" s="3237" t="s">
        <v>3660</v>
      </c>
      <c r="H938" s="3237" t="s">
        <v>3219</v>
      </c>
      <c r="I938" s="3236" t="s">
        <v>4462</v>
      </c>
      <c r="J938" s="3236">
        <v>29.09</v>
      </c>
    </row>
    <row r="939" spans="1:10" ht="11.25" customHeight="1">
      <c r="A939" s="3363" t="s">
        <v>5306</v>
      </c>
      <c r="B939" s="3237" t="s">
        <v>4473</v>
      </c>
      <c r="C939" s="3237" t="s">
        <v>4161</v>
      </c>
      <c r="D939" s="3237" t="s">
        <v>4459</v>
      </c>
      <c r="E939" s="3237" t="s">
        <v>4460</v>
      </c>
      <c r="F939" s="3237" t="s">
        <v>4474</v>
      </c>
      <c r="G939" s="3237" t="s">
        <v>3660</v>
      </c>
      <c r="H939" s="3237" t="s">
        <v>3219</v>
      </c>
      <c r="I939" s="3236" t="s">
        <v>4462</v>
      </c>
      <c r="J939" s="3236">
        <v>29.09</v>
      </c>
    </row>
    <row r="940" spans="1:10" ht="11.25" customHeight="1">
      <c r="A940" s="3363" t="s">
        <v>5307</v>
      </c>
      <c r="B940" s="3237" t="s">
        <v>4473</v>
      </c>
      <c r="C940" s="3237" t="s">
        <v>4162</v>
      </c>
      <c r="D940" s="3237" t="s">
        <v>4459</v>
      </c>
      <c r="E940" s="3237" t="s">
        <v>4460</v>
      </c>
      <c r="F940" s="3237" t="s">
        <v>4474</v>
      </c>
      <c r="G940" s="3237" t="s">
        <v>3660</v>
      </c>
      <c r="H940" s="3237" t="s">
        <v>3219</v>
      </c>
      <c r="I940" s="3236" t="s">
        <v>4462</v>
      </c>
      <c r="J940" s="3236">
        <v>29.09</v>
      </c>
    </row>
    <row r="941" spans="1:10" ht="11.25" customHeight="1">
      <c r="A941" s="3363" t="s">
        <v>5308</v>
      </c>
      <c r="B941" s="3237" t="s">
        <v>4473</v>
      </c>
      <c r="C941" s="3237" t="s">
        <v>4163</v>
      </c>
      <c r="D941" s="3237" t="s">
        <v>4459</v>
      </c>
      <c r="E941" s="3237" t="s">
        <v>4460</v>
      </c>
      <c r="F941" s="3237" t="s">
        <v>4474</v>
      </c>
      <c r="G941" s="3237" t="s">
        <v>3660</v>
      </c>
      <c r="H941" s="3237" t="s">
        <v>3219</v>
      </c>
      <c r="I941" s="3236" t="s">
        <v>4462</v>
      </c>
      <c r="J941" s="3236">
        <v>29.09</v>
      </c>
    </row>
    <row r="942" spans="1:10" ht="11.25" customHeight="1">
      <c r="A942" s="3363" t="s">
        <v>5309</v>
      </c>
      <c r="B942" s="3237" t="s">
        <v>4473</v>
      </c>
      <c r="C942" s="3237" t="s">
        <v>4164</v>
      </c>
      <c r="D942" s="3237" t="s">
        <v>4459</v>
      </c>
      <c r="E942" s="3237" t="s">
        <v>4460</v>
      </c>
      <c r="F942" s="3237" t="s">
        <v>4474</v>
      </c>
      <c r="G942" s="3237" t="s">
        <v>3660</v>
      </c>
      <c r="H942" s="3237" t="s">
        <v>3219</v>
      </c>
      <c r="I942" s="3236" t="s">
        <v>4462</v>
      </c>
      <c r="J942" s="3236">
        <v>29.09</v>
      </c>
    </row>
    <row r="943" spans="1:10" ht="11.25" customHeight="1">
      <c r="A943" s="3363" t="s">
        <v>5310</v>
      </c>
      <c r="B943" s="3237" t="s">
        <v>4473</v>
      </c>
      <c r="C943" s="3237" t="s">
        <v>4165</v>
      </c>
      <c r="D943" s="3237" t="s">
        <v>4459</v>
      </c>
      <c r="E943" s="3237" t="s">
        <v>4460</v>
      </c>
      <c r="F943" s="3237" t="s">
        <v>4474</v>
      </c>
      <c r="G943" s="3237" t="s">
        <v>3660</v>
      </c>
      <c r="H943" s="3237" t="s">
        <v>3219</v>
      </c>
      <c r="I943" s="3236" t="s">
        <v>4462</v>
      </c>
      <c r="J943" s="3236">
        <v>29.09</v>
      </c>
    </row>
    <row r="944" spans="1:10" ht="11.25" customHeight="1">
      <c r="A944" s="3363" t="s">
        <v>5311</v>
      </c>
      <c r="B944" s="3237" t="s">
        <v>4473</v>
      </c>
      <c r="C944" s="3237" t="s">
        <v>4166</v>
      </c>
      <c r="D944" s="3237" t="s">
        <v>4459</v>
      </c>
      <c r="E944" s="3237" t="s">
        <v>4460</v>
      </c>
      <c r="F944" s="3237" t="s">
        <v>4474</v>
      </c>
      <c r="G944" s="3237" t="s">
        <v>3660</v>
      </c>
      <c r="H944" s="3237" t="s">
        <v>3219</v>
      </c>
      <c r="I944" s="3236" t="s">
        <v>4462</v>
      </c>
      <c r="J944" s="3236">
        <v>29.09</v>
      </c>
    </row>
    <row r="945" spans="1:10" ht="11.25" customHeight="1">
      <c r="A945" s="3363" t="s">
        <v>5312</v>
      </c>
      <c r="B945" s="3237" t="s">
        <v>4473</v>
      </c>
      <c r="C945" s="3237" t="s">
        <v>4167</v>
      </c>
      <c r="D945" s="3237" t="s">
        <v>4459</v>
      </c>
      <c r="E945" s="3237" t="s">
        <v>4460</v>
      </c>
      <c r="F945" s="3237" t="s">
        <v>4474</v>
      </c>
      <c r="G945" s="3237" t="s">
        <v>3660</v>
      </c>
      <c r="H945" s="3237" t="s">
        <v>3219</v>
      </c>
      <c r="I945" s="3236" t="s">
        <v>4462</v>
      </c>
      <c r="J945" s="3236">
        <v>29.09</v>
      </c>
    </row>
    <row r="946" spans="1:10" ht="11.25" customHeight="1">
      <c r="A946" s="3363" t="s">
        <v>5313</v>
      </c>
      <c r="B946" s="3237" t="s">
        <v>4473</v>
      </c>
      <c r="C946" s="3237" t="s">
        <v>4168</v>
      </c>
      <c r="D946" s="3237" t="s">
        <v>4459</v>
      </c>
      <c r="E946" s="3237" t="s">
        <v>4460</v>
      </c>
      <c r="F946" s="3237" t="s">
        <v>4474</v>
      </c>
      <c r="G946" s="3237" t="s">
        <v>3660</v>
      </c>
      <c r="H946" s="3237" t="s">
        <v>3219</v>
      </c>
      <c r="I946" s="3236" t="s">
        <v>4462</v>
      </c>
      <c r="J946" s="3236">
        <v>29.09</v>
      </c>
    </row>
    <row r="947" spans="1:10" ht="11.25" customHeight="1">
      <c r="A947" s="3363" t="s">
        <v>5314</v>
      </c>
      <c r="B947" s="3237" t="s">
        <v>4473</v>
      </c>
      <c r="C947" s="3237" t="s">
        <v>4169</v>
      </c>
      <c r="D947" s="3237" t="s">
        <v>4459</v>
      </c>
      <c r="E947" s="3237" t="s">
        <v>4460</v>
      </c>
      <c r="F947" s="3237" t="s">
        <v>4474</v>
      </c>
      <c r="G947" s="3237" t="s">
        <v>3660</v>
      </c>
      <c r="H947" s="3237" t="s">
        <v>3219</v>
      </c>
      <c r="I947" s="3236" t="s">
        <v>4462</v>
      </c>
      <c r="J947" s="3236">
        <v>29.09</v>
      </c>
    </row>
    <row r="948" spans="1:10" ht="11.25" customHeight="1">
      <c r="A948" s="3363" t="s">
        <v>5315</v>
      </c>
      <c r="B948" s="3237" t="s">
        <v>4473</v>
      </c>
      <c r="C948" s="3237" t="s">
        <v>4170</v>
      </c>
      <c r="D948" s="3237" t="s">
        <v>4459</v>
      </c>
      <c r="E948" s="3237" t="s">
        <v>4460</v>
      </c>
      <c r="F948" s="3237" t="s">
        <v>4474</v>
      </c>
      <c r="G948" s="3237" t="s">
        <v>3660</v>
      </c>
      <c r="H948" s="3237" t="s">
        <v>3219</v>
      </c>
      <c r="I948" s="3236" t="s">
        <v>4462</v>
      </c>
      <c r="J948" s="3236">
        <v>29.09</v>
      </c>
    </row>
    <row r="949" spans="1:10" ht="11.25" customHeight="1">
      <c r="A949" s="3363" t="s">
        <v>5316</v>
      </c>
      <c r="B949" s="3237" t="s">
        <v>4473</v>
      </c>
      <c r="C949" s="3237" t="s">
        <v>4171</v>
      </c>
      <c r="D949" s="3237" t="s">
        <v>4459</v>
      </c>
      <c r="E949" s="3237" t="s">
        <v>4460</v>
      </c>
      <c r="F949" s="3237" t="s">
        <v>4474</v>
      </c>
      <c r="G949" s="3237" t="s">
        <v>3660</v>
      </c>
      <c r="H949" s="3237" t="s">
        <v>3219</v>
      </c>
      <c r="I949" s="3236" t="s">
        <v>4462</v>
      </c>
      <c r="J949" s="3236">
        <v>29.09</v>
      </c>
    </row>
    <row r="950" spans="1:10" ht="11.25" customHeight="1">
      <c r="A950" s="3363" t="s">
        <v>5317</v>
      </c>
      <c r="B950" s="3237" t="s">
        <v>4473</v>
      </c>
      <c r="C950" s="3237" t="s">
        <v>4172</v>
      </c>
      <c r="D950" s="3237" t="s">
        <v>4459</v>
      </c>
      <c r="E950" s="3237" t="s">
        <v>4460</v>
      </c>
      <c r="F950" s="3237" t="s">
        <v>4474</v>
      </c>
      <c r="G950" s="3237" t="s">
        <v>3660</v>
      </c>
      <c r="H950" s="3237" t="s">
        <v>3219</v>
      </c>
      <c r="I950" s="3236" t="s">
        <v>4462</v>
      </c>
      <c r="J950" s="3236">
        <v>29.09</v>
      </c>
    </row>
    <row r="951" spans="1:10" ht="11.25" customHeight="1">
      <c r="A951" s="3363" t="s">
        <v>5318</v>
      </c>
      <c r="B951" s="3237" t="s">
        <v>4473</v>
      </c>
      <c r="C951" s="3237" t="s">
        <v>4173</v>
      </c>
      <c r="D951" s="3237" t="s">
        <v>4459</v>
      </c>
      <c r="E951" s="3237" t="s">
        <v>4460</v>
      </c>
      <c r="F951" s="3237" t="s">
        <v>4474</v>
      </c>
      <c r="G951" s="3237" t="s">
        <v>3660</v>
      </c>
      <c r="H951" s="3237" t="s">
        <v>3219</v>
      </c>
      <c r="I951" s="3236" t="s">
        <v>4462</v>
      </c>
      <c r="J951" s="3236">
        <v>29.09</v>
      </c>
    </row>
    <row r="952" spans="1:10" ht="11.25" customHeight="1">
      <c r="A952" s="3363" t="s">
        <v>5319</v>
      </c>
      <c r="B952" s="3237" t="s">
        <v>4473</v>
      </c>
      <c r="C952" s="3237" t="s">
        <v>4174</v>
      </c>
      <c r="D952" s="3237" t="s">
        <v>4459</v>
      </c>
      <c r="E952" s="3237" t="s">
        <v>4460</v>
      </c>
      <c r="F952" s="3237" t="s">
        <v>4474</v>
      </c>
      <c r="G952" s="3237" t="s">
        <v>3660</v>
      </c>
      <c r="H952" s="3237" t="s">
        <v>3219</v>
      </c>
      <c r="I952" s="3236" t="s">
        <v>4462</v>
      </c>
      <c r="J952" s="3236">
        <v>29.09</v>
      </c>
    </row>
    <row r="953" spans="1:10" ht="11.25" customHeight="1">
      <c r="A953" s="3363" t="s">
        <v>5320</v>
      </c>
      <c r="B953" s="3237" t="s">
        <v>4473</v>
      </c>
      <c r="C953" s="3237" t="s">
        <v>4175</v>
      </c>
      <c r="D953" s="3237" t="s">
        <v>4459</v>
      </c>
      <c r="E953" s="3237" t="s">
        <v>4460</v>
      </c>
      <c r="F953" s="3237" t="s">
        <v>4474</v>
      </c>
      <c r="G953" s="3237" t="s">
        <v>3660</v>
      </c>
      <c r="H953" s="3237" t="s">
        <v>3219</v>
      </c>
      <c r="I953" s="3236" t="s">
        <v>4462</v>
      </c>
      <c r="J953" s="3236">
        <v>29.09</v>
      </c>
    </row>
    <row r="954" spans="1:10" ht="11.25" customHeight="1">
      <c r="A954" s="3363" t="s">
        <v>5321</v>
      </c>
      <c r="B954" s="3237" t="s">
        <v>4473</v>
      </c>
      <c r="C954" s="3237" t="s">
        <v>4176</v>
      </c>
      <c r="D954" s="3237" t="s">
        <v>4459</v>
      </c>
      <c r="E954" s="3237" t="s">
        <v>4460</v>
      </c>
      <c r="F954" s="3237" t="s">
        <v>4474</v>
      </c>
      <c r="G954" s="3237" t="s">
        <v>3660</v>
      </c>
      <c r="H954" s="3237" t="s">
        <v>3219</v>
      </c>
      <c r="I954" s="3236" t="s">
        <v>4462</v>
      </c>
      <c r="J954" s="3236">
        <v>29.09</v>
      </c>
    </row>
    <row r="955" spans="1:10" ht="11.25" customHeight="1">
      <c r="A955" s="3363" t="s">
        <v>5322</v>
      </c>
      <c r="B955" s="3237" t="s">
        <v>4473</v>
      </c>
      <c r="C955" s="3237" t="s">
        <v>4177</v>
      </c>
      <c r="D955" s="3237" t="s">
        <v>4459</v>
      </c>
      <c r="E955" s="3237" t="s">
        <v>4460</v>
      </c>
      <c r="F955" s="3237" t="s">
        <v>4474</v>
      </c>
      <c r="G955" s="3237" t="s">
        <v>3660</v>
      </c>
      <c r="H955" s="3237" t="s">
        <v>3219</v>
      </c>
      <c r="I955" s="3236" t="s">
        <v>4462</v>
      </c>
      <c r="J955" s="3236">
        <v>29.09</v>
      </c>
    </row>
    <row r="956" spans="1:10" ht="11.25" customHeight="1">
      <c r="A956" s="3363" t="s">
        <v>5323</v>
      </c>
      <c r="B956" s="3237" t="s">
        <v>4473</v>
      </c>
      <c r="C956" s="3237" t="s">
        <v>4178</v>
      </c>
      <c r="D956" s="3237" t="s">
        <v>4459</v>
      </c>
      <c r="E956" s="3237" t="s">
        <v>4460</v>
      </c>
      <c r="F956" s="3237" t="s">
        <v>4474</v>
      </c>
      <c r="G956" s="3237" t="s">
        <v>3660</v>
      </c>
      <c r="H956" s="3237" t="s">
        <v>3219</v>
      </c>
      <c r="I956" s="3236" t="s">
        <v>4462</v>
      </c>
      <c r="J956" s="3236">
        <v>29.09</v>
      </c>
    </row>
    <row r="957" spans="1:10" ht="11.25" customHeight="1">
      <c r="A957" s="3363" t="s">
        <v>5324</v>
      </c>
      <c r="B957" s="3237" t="s">
        <v>4473</v>
      </c>
      <c r="C957" s="3237" t="s">
        <v>4179</v>
      </c>
      <c r="D957" s="3237" t="s">
        <v>4459</v>
      </c>
      <c r="E957" s="3237" t="s">
        <v>4460</v>
      </c>
      <c r="F957" s="3237" t="s">
        <v>4474</v>
      </c>
      <c r="G957" s="3237" t="s">
        <v>3660</v>
      </c>
      <c r="H957" s="3237" t="s">
        <v>3219</v>
      </c>
      <c r="I957" s="3236" t="s">
        <v>4462</v>
      </c>
      <c r="J957" s="3236">
        <v>29.09</v>
      </c>
    </row>
    <row r="958" spans="1:10" ht="11.25" customHeight="1">
      <c r="A958" s="3363" t="s">
        <v>5325</v>
      </c>
      <c r="B958" s="3237" t="s">
        <v>4473</v>
      </c>
      <c r="C958" s="3237" t="s">
        <v>4180</v>
      </c>
      <c r="D958" s="3237" t="s">
        <v>4459</v>
      </c>
      <c r="E958" s="3237" t="s">
        <v>4460</v>
      </c>
      <c r="F958" s="3237" t="s">
        <v>4474</v>
      </c>
      <c r="G958" s="3237" t="s">
        <v>3660</v>
      </c>
      <c r="H958" s="3237" t="s">
        <v>3219</v>
      </c>
      <c r="I958" s="3236" t="s">
        <v>4462</v>
      </c>
      <c r="J958" s="3236">
        <v>29.09</v>
      </c>
    </row>
    <row r="959" spans="1:10" ht="11.25" customHeight="1">
      <c r="A959" s="3363" t="s">
        <v>5326</v>
      </c>
      <c r="B959" s="3237" t="s">
        <v>4473</v>
      </c>
      <c r="C959" s="3237" t="s">
        <v>4181</v>
      </c>
      <c r="D959" s="3237" t="s">
        <v>4459</v>
      </c>
      <c r="E959" s="3237" t="s">
        <v>4460</v>
      </c>
      <c r="F959" s="3237" t="s">
        <v>4474</v>
      </c>
      <c r="G959" s="3237" t="s">
        <v>3660</v>
      </c>
      <c r="H959" s="3237" t="s">
        <v>3219</v>
      </c>
      <c r="I959" s="3236" t="s">
        <v>4462</v>
      </c>
      <c r="J959" s="3236">
        <v>25.02</v>
      </c>
    </row>
    <row r="960" spans="1:10" ht="11.25" customHeight="1">
      <c r="A960" s="3363" t="s">
        <v>5327</v>
      </c>
      <c r="B960" s="3237" t="s">
        <v>4473</v>
      </c>
      <c r="C960" s="3237" t="s">
        <v>4182</v>
      </c>
      <c r="D960" s="3237" t="s">
        <v>4459</v>
      </c>
      <c r="E960" s="3237" t="s">
        <v>4460</v>
      </c>
      <c r="F960" s="3237" t="s">
        <v>4474</v>
      </c>
      <c r="G960" s="3237" t="s">
        <v>3660</v>
      </c>
      <c r="H960" s="3237" t="s">
        <v>3219</v>
      </c>
      <c r="I960" s="3236" t="s">
        <v>4462</v>
      </c>
      <c r="J960" s="3236">
        <v>25.02</v>
      </c>
    </row>
    <row r="961" spans="1:10" ht="11.25" customHeight="1">
      <c r="A961" s="3363" t="s">
        <v>5328</v>
      </c>
      <c r="B961" s="3237" t="s">
        <v>4473</v>
      </c>
      <c r="C961" s="3237" t="s">
        <v>4183</v>
      </c>
      <c r="D961" s="3237" t="s">
        <v>4459</v>
      </c>
      <c r="E961" s="3237" t="s">
        <v>4460</v>
      </c>
      <c r="F961" s="3237" t="s">
        <v>4474</v>
      </c>
      <c r="G961" s="3237" t="s">
        <v>3660</v>
      </c>
      <c r="H961" s="3237" t="s">
        <v>3219</v>
      </c>
      <c r="I961" s="3236" t="s">
        <v>4462</v>
      </c>
      <c r="J961" s="3236">
        <v>25.02</v>
      </c>
    </row>
    <row r="962" spans="1:10" ht="11.25" customHeight="1">
      <c r="A962" s="3363" t="s">
        <v>5329</v>
      </c>
      <c r="B962" s="3237" t="s">
        <v>4473</v>
      </c>
      <c r="C962" s="3237" t="s">
        <v>4184</v>
      </c>
      <c r="D962" s="3237" t="s">
        <v>4459</v>
      </c>
      <c r="E962" s="3237" t="s">
        <v>4460</v>
      </c>
      <c r="F962" s="3237" t="s">
        <v>4474</v>
      </c>
      <c r="G962" s="3237" t="s">
        <v>3660</v>
      </c>
      <c r="H962" s="3237" t="s">
        <v>3219</v>
      </c>
      <c r="I962" s="3236" t="s">
        <v>4462</v>
      </c>
      <c r="J962" s="3236">
        <v>25.02</v>
      </c>
    </row>
    <row r="963" spans="1:10" ht="11.25" customHeight="1">
      <c r="A963" s="3363" t="s">
        <v>5330</v>
      </c>
      <c r="B963" s="3237" t="s">
        <v>4473</v>
      </c>
      <c r="C963" s="3237" t="s">
        <v>4185</v>
      </c>
      <c r="D963" s="3237" t="s">
        <v>4459</v>
      </c>
      <c r="E963" s="3237" t="s">
        <v>4460</v>
      </c>
      <c r="F963" s="3237" t="s">
        <v>4474</v>
      </c>
      <c r="G963" s="3237" t="s">
        <v>3660</v>
      </c>
      <c r="H963" s="3237" t="s">
        <v>3219</v>
      </c>
      <c r="I963" s="3236" t="s">
        <v>4462</v>
      </c>
      <c r="J963" s="3236">
        <v>25.02</v>
      </c>
    </row>
    <row r="964" spans="1:10" ht="11.25" customHeight="1">
      <c r="A964" s="3363" t="s">
        <v>5331</v>
      </c>
      <c r="B964" s="3237" t="s">
        <v>4473</v>
      </c>
      <c r="C964" s="3237" t="s">
        <v>4186</v>
      </c>
      <c r="D964" s="3237" t="s">
        <v>4459</v>
      </c>
      <c r="E964" s="3237" t="s">
        <v>4460</v>
      </c>
      <c r="F964" s="3237" t="s">
        <v>4474</v>
      </c>
      <c r="G964" s="3237" t="s">
        <v>3660</v>
      </c>
      <c r="H964" s="3237" t="s">
        <v>3219</v>
      </c>
      <c r="I964" s="3236" t="s">
        <v>4462</v>
      </c>
      <c r="J964" s="3236">
        <v>25.02</v>
      </c>
    </row>
    <row r="965" spans="1:10" ht="11.25" customHeight="1">
      <c r="A965" s="3363" t="s">
        <v>5332</v>
      </c>
      <c r="B965" s="3237" t="s">
        <v>4473</v>
      </c>
      <c r="C965" s="3237" t="s">
        <v>4187</v>
      </c>
      <c r="D965" s="3237" t="s">
        <v>4459</v>
      </c>
      <c r="E965" s="3237" t="s">
        <v>4460</v>
      </c>
      <c r="F965" s="3237" t="s">
        <v>4474</v>
      </c>
      <c r="G965" s="3237" t="s">
        <v>3660</v>
      </c>
      <c r="H965" s="3237" t="s">
        <v>3219</v>
      </c>
      <c r="I965" s="3236" t="s">
        <v>4462</v>
      </c>
      <c r="J965" s="3236">
        <v>25.02</v>
      </c>
    </row>
    <row r="966" spans="1:10" ht="11.25" customHeight="1">
      <c r="A966" s="3363" t="s">
        <v>5333</v>
      </c>
      <c r="B966" s="3237" t="s">
        <v>4473</v>
      </c>
      <c r="C966" s="3237" t="s">
        <v>4188</v>
      </c>
      <c r="D966" s="3237" t="s">
        <v>4459</v>
      </c>
      <c r="E966" s="3237" t="s">
        <v>4460</v>
      </c>
      <c r="F966" s="3237" t="s">
        <v>4474</v>
      </c>
      <c r="G966" s="3237" t="s">
        <v>3660</v>
      </c>
      <c r="H966" s="3237" t="s">
        <v>3219</v>
      </c>
      <c r="I966" s="3236" t="s">
        <v>4462</v>
      </c>
      <c r="J966" s="3236">
        <v>25.02</v>
      </c>
    </row>
    <row r="967" spans="1:10" ht="11.25" customHeight="1">
      <c r="A967" s="3363" t="s">
        <v>5334</v>
      </c>
      <c r="B967" s="3237" t="s">
        <v>4473</v>
      </c>
      <c r="C967" s="3237" t="s">
        <v>4189</v>
      </c>
      <c r="D967" s="3237" t="s">
        <v>4459</v>
      </c>
      <c r="E967" s="3237" t="s">
        <v>4460</v>
      </c>
      <c r="F967" s="3237" t="s">
        <v>4474</v>
      </c>
      <c r="G967" s="3237" t="s">
        <v>3660</v>
      </c>
      <c r="H967" s="3237" t="s">
        <v>3219</v>
      </c>
      <c r="I967" s="3236" t="s">
        <v>4462</v>
      </c>
      <c r="J967" s="3236">
        <v>25.02</v>
      </c>
    </row>
    <row r="968" spans="1:10" ht="11.25" customHeight="1">
      <c r="A968" s="3363" t="s">
        <v>5335</v>
      </c>
      <c r="B968" s="3237" t="s">
        <v>4473</v>
      </c>
      <c r="C968" s="3237" t="s">
        <v>4190</v>
      </c>
      <c r="D968" s="3237" t="s">
        <v>4459</v>
      </c>
      <c r="E968" s="3237" t="s">
        <v>4460</v>
      </c>
      <c r="F968" s="3237" t="s">
        <v>4474</v>
      </c>
      <c r="G968" s="3237" t="s">
        <v>3660</v>
      </c>
      <c r="H968" s="3237" t="s">
        <v>3219</v>
      </c>
      <c r="I968" s="3236" t="s">
        <v>4462</v>
      </c>
      <c r="J968" s="3236">
        <v>25.02</v>
      </c>
    </row>
    <row r="969" spans="1:10" ht="11.25" customHeight="1">
      <c r="A969" s="3363" t="s">
        <v>5336</v>
      </c>
      <c r="B969" s="3237" t="s">
        <v>4473</v>
      </c>
      <c r="C969" s="3237" t="s">
        <v>4191</v>
      </c>
      <c r="D969" s="3237" t="s">
        <v>4459</v>
      </c>
      <c r="E969" s="3237" t="s">
        <v>4460</v>
      </c>
      <c r="F969" s="3237" t="s">
        <v>4474</v>
      </c>
      <c r="G969" s="3237" t="s">
        <v>3660</v>
      </c>
      <c r="H969" s="3237" t="s">
        <v>3219</v>
      </c>
      <c r="I969" s="3236" t="s">
        <v>4462</v>
      </c>
      <c r="J969" s="3236">
        <v>25.02</v>
      </c>
    </row>
    <row r="970" spans="1:10" ht="11.25" customHeight="1">
      <c r="A970" s="3363" t="s">
        <v>5337</v>
      </c>
      <c r="B970" s="3237" t="s">
        <v>4473</v>
      </c>
      <c r="C970" s="3237" t="s">
        <v>4192</v>
      </c>
      <c r="D970" s="3237" t="s">
        <v>4459</v>
      </c>
      <c r="E970" s="3237" t="s">
        <v>4460</v>
      </c>
      <c r="F970" s="3237" t="s">
        <v>4474</v>
      </c>
      <c r="G970" s="3237" t="s">
        <v>3660</v>
      </c>
      <c r="H970" s="3237" t="s">
        <v>3219</v>
      </c>
      <c r="I970" s="3236" t="s">
        <v>4462</v>
      </c>
      <c r="J970" s="3236">
        <v>25.02</v>
      </c>
    </row>
    <row r="971" spans="1:10" ht="11.25" customHeight="1">
      <c r="A971" s="3363" t="s">
        <v>5338</v>
      </c>
      <c r="B971" s="3237" t="s">
        <v>4473</v>
      </c>
      <c r="C971" s="3237" t="s">
        <v>4193</v>
      </c>
      <c r="D971" s="3237" t="s">
        <v>4459</v>
      </c>
      <c r="E971" s="3237" t="s">
        <v>4460</v>
      </c>
      <c r="F971" s="3237" t="s">
        <v>4474</v>
      </c>
      <c r="G971" s="3237" t="s">
        <v>3660</v>
      </c>
      <c r="H971" s="3237" t="s">
        <v>3219</v>
      </c>
      <c r="I971" s="3236" t="s">
        <v>4462</v>
      </c>
      <c r="J971" s="3236">
        <v>29.09</v>
      </c>
    </row>
    <row r="972" spans="1:10" ht="11.25" customHeight="1">
      <c r="A972" s="3363" t="s">
        <v>5339</v>
      </c>
      <c r="B972" s="3237" t="s">
        <v>4473</v>
      </c>
      <c r="C972" s="3237" t="s">
        <v>4194</v>
      </c>
      <c r="D972" s="3237" t="s">
        <v>4459</v>
      </c>
      <c r="E972" s="3237" t="s">
        <v>4460</v>
      </c>
      <c r="F972" s="3237" t="s">
        <v>4474</v>
      </c>
      <c r="G972" s="3237" t="s">
        <v>3660</v>
      </c>
      <c r="H972" s="3237" t="s">
        <v>3219</v>
      </c>
      <c r="I972" s="3236" t="s">
        <v>4462</v>
      </c>
      <c r="J972" s="3236">
        <v>29.09</v>
      </c>
    </row>
    <row r="973" spans="1:10" ht="11.25" customHeight="1">
      <c r="A973" s="3363" t="s">
        <v>5340</v>
      </c>
      <c r="B973" s="3237" t="s">
        <v>4473</v>
      </c>
      <c r="C973" s="3237" t="s">
        <v>4195</v>
      </c>
      <c r="D973" s="3237" t="s">
        <v>4459</v>
      </c>
      <c r="E973" s="3237" t="s">
        <v>4460</v>
      </c>
      <c r="F973" s="3237" t="s">
        <v>4474</v>
      </c>
      <c r="G973" s="3237" t="s">
        <v>3660</v>
      </c>
      <c r="H973" s="3237" t="s">
        <v>3219</v>
      </c>
      <c r="I973" s="3236" t="s">
        <v>4462</v>
      </c>
      <c r="J973" s="3236">
        <v>29.09</v>
      </c>
    </row>
    <row r="974" spans="1:10" ht="11.25" customHeight="1">
      <c r="A974" s="3363" t="s">
        <v>5341</v>
      </c>
      <c r="B974" s="3237" t="s">
        <v>4473</v>
      </c>
      <c r="C974" s="3237" t="s">
        <v>4196</v>
      </c>
      <c r="D974" s="3237" t="s">
        <v>4459</v>
      </c>
      <c r="E974" s="3237" t="s">
        <v>4460</v>
      </c>
      <c r="F974" s="3237" t="s">
        <v>4474</v>
      </c>
      <c r="G974" s="3237" t="s">
        <v>3660</v>
      </c>
      <c r="H974" s="3237" t="s">
        <v>3219</v>
      </c>
      <c r="I974" s="3236" t="s">
        <v>4462</v>
      </c>
      <c r="J974" s="3236">
        <v>29.09</v>
      </c>
    </row>
    <row r="975" spans="1:10" ht="11.25" customHeight="1">
      <c r="A975" s="3363" t="s">
        <v>5342</v>
      </c>
      <c r="B975" s="3237" t="s">
        <v>4473</v>
      </c>
      <c r="C975" s="3237" t="s">
        <v>4197</v>
      </c>
      <c r="D975" s="3237" t="s">
        <v>4459</v>
      </c>
      <c r="E975" s="3237" t="s">
        <v>4460</v>
      </c>
      <c r="F975" s="3237" t="s">
        <v>4474</v>
      </c>
      <c r="G975" s="3237" t="s">
        <v>3660</v>
      </c>
      <c r="H975" s="3237" t="s">
        <v>3219</v>
      </c>
      <c r="I975" s="3236" t="s">
        <v>4462</v>
      </c>
      <c r="J975" s="3236">
        <v>29.09</v>
      </c>
    </row>
    <row r="976" spans="1:10" ht="11.25" customHeight="1">
      <c r="A976" s="3363" t="s">
        <v>5343</v>
      </c>
      <c r="B976" s="3237" t="s">
        <v>4473</v>
      </c>
      <c r="C976" s="3237" t="s">
        <v>4198</v>
      </c>
      <c r="D976" s="3237" t="s">
        <v>4459</v>
      </c>
      <c r="E976" s="3237" t="s">
        <v>4460</v>
      </c>
      <c r="F976" s="3237" t="s">
        <v>4474</v>
      </c>
      <c r="G976" s="3237" t="s">
        <v>3660</v>
      </c>
      <c r="H976" s="3237" t="s">
        <v>3219</v>
      </c>
      <c r="I976" s="3236" t="s">
        <v>4462</v>
      </c>
      <c r="J976" s="3236">
        <v>29.09</v>
      </c>
    </row>
    <row r="977" spans="1:10" ht="11.25" customHeight="1">
      <c r="A977" s="3363" t="s">
        <v>5344</v>
      </c>
      <c r="B977" s="3237" t="s">
        <v>4473</v>
      </c>
      <c r="C977" s="3237" t="s">
        <v>4199</v>
      </c>
      <c r="D977" s="3237" t="s">
        <v>4459</v>
      </c>
      <c r="E977" s="3237" t="s">
        <v>4460</v>
      </c>
      <c r="F977" s="3237" t="s">
        <v>4474</v>
      </c>
      <c r="G977" s="3237" t="s">
        <v>3660</v>
      </c>
      <c r="H977" s="3237" t="s">
        <v>3219</v>
      </c>
      <c r="I977" s="3236" t="s">
        <v>4462</v>
      </c>
      <c r="J977" s="3236">
        <v>29.09</v>
      </c>
    </row>
    <row r="978" spans="1:10" ht="11.25" customHeight="1">
      <c r="A978" s="3363" t="s">
        <v>5345</v>
      </c>
      <c r="B978" s="3237" t="s">
        <v>4473</v>
      </c>
      <c r="C978" s="3237" t="s">
        <v>4200</v>
      </c>
      <c r="D978" s="3237" t="s">
        <v>4459</v>
      </c>
      <c r="E978" s="3237" t="s">
        <v>4460</v>
      </c>
      <c r="F978" s="3237" t="s">
        <v>4474</v>
      </c>
      <c r="G978" s="3237" t="s">
        <v>3660</v>
      </c>
      <c r="H978" s="3237" t="s">
        <v>3219</v>
      </c>
      <c r="I978" s="3236" t="s">
        <v>4462</v>
      </c>
      <c r="J978" s="3236">
        <v>29.09</v>
      </c>
    </row>
    <row r="979" spans="1:10" ht="11.25" customHeight="1">
      <c r="A979" s="3363" t="s">
        <v>5346</v>
      </c>
      <c r="B979" s="3237" t="s">
        <v>4473</v>
      </c>
      <c r="C979" s="3237" t="s">
        <v>4201</v>
      </c>
      <c r="D979" s="3237" t="s">
        <v>4459</v>
      </c>
      <c r="E979" s="3237" t="s">
        <v>4460</v>
      </c>
      <c r="F979" s="3237" t="s">
        <v>4474</v>
      </c>
      <c r="G979" s="3237" t="s">
        <v>3660</v>
      </c>
      <c r="H979" s="3237" t="s">
        <v>3219</v>
      </c>
      <c r="I979" s="3236" t="s">
        <v>4462</v>
      </c>
      <c r="J979" s="3236">
        <v>29.09</v>
      </c>
    </row>
    <row r="980" spans="1:10" ht="11.25" customHeight="1">
      <c r="A980" s="3363" t="s">
        <v>5347</v>
      </c>
      <c r="B980" s="3237" t="s">
        <v>4473</v>
      </c>
      <c r="C980" s="3237" t="s">
        <v>4202</v>
      </c>
      <c r="D980" s="3237" t="s">
        <v>4459</v>
      </c>
      <c r="E980" s="3237" t="s">
        <v>4460</v>
      </c>
      <c r="F980" s="3237" t="s">
        <v>4474</v>
      </c>
      <c r="G980" s="3237" t="s">
        <v>3660</v>
      </c>
      <c r="H980" s="3237" t="s">
        <v>3219</v>
      </c>
      <c r="I980" s="3236" t="s">
        <v>4462</v>
      </c>
      <c r="J980" s="3236">
        <v>29.09</v>
      </c>
    </row>
    <row r="981" spans="1:10" ht="11.25" customHeight="1">
      <c r="A981" s="3363" t="s">
        <v>5348</v>
      </c>
      <c r="B981" s="3237" t="s">
        <v>4473</v>
      </c>
      <c r="C981" s="3237" t="s">
        <v>4203</v>
      </c>
      <c r="D981" s="3237" t="s">
        <v>4459</v>
      </c>
      <c r="E981" s="3237" t="s">
        <v>4460</v>
      </c>
      <c r="F981" s="3237" t="s">
        <v>4474</v>
      </c>
      <c r="G981" s="3237" t="s">
        <v>3660</v>
      </c>
      <c r="H981" s="3237" t="s">
        <v>3219</v>
      </c>
      <c r="I981" s="3236" t="s">
        <v>4462</v>
      </c>
      <c r="J981" s="3236">
        <v>29.09</v>
      </c>
    </row>
    <row r="982" spans="1:10" ht="11.25" customHeight="1">
      <c r="A982" s="3363" t="s">
        <v>5349</v>
      </c>
      <c r="B982" s="3237" t="s">
        <v>4473</v>
      </c>
      <c r="C982" s="3237" t="s">
        <v>4317</v>
      </c>
      <c r="D982" s="3237" t="s">
        <v>4459</v>
      </c>
      <c r="E982" s="3237" t="s">
        <v>4460</v>
      </c>
      <c r="F982" s="3237" t="s">
        <v>4474</v>
      </c>
      <c r="G982" s="3237" t="s">
        <v>4442</v>
      </c>
      <c r="H982" s="3237" t="s">
        <v>3219</v>
      </c>
      <c r="I982" s="3236" t="s">
        <v>4462</v>
      </c>
      <c r="J982" s="3236">
        <v>29.09</v>
      </c>
    </row>
    <row r="983" spans="1:10" ht="11.25" customHeight="1">
      <c r="A983" s="3363" t="s">
        <v>5350</v>
      </c>
      <c r="B983" s="3237" t="s">
        <v>4473</v>
      </c>
      <c r="C983" s="3237" t="s">
        <v>4318</v>
      </c>
      <c r="D983" s="3237" t="s">
        <v>4459</v>
      </c>
      <c r="E983" s="3237" t="s">
        <v>4460</v>
      </c>
      <c r="F983" s="3237" t="s">
        <v>4474</v>
      </c>
      <c r="G983" s="3237" t="s">
        <v>4442</v>
      </c>
      <c r="H983" s="3237" t="s">
        <v>3219</v>
      </c>
      <c r="I983" s="3236" t="s">
        <v>4462</v>
      </c>
      <c r="J983" s="3236">
        <v>29.09</v>
      </c>
    </row>
    <row r="984" spans="1:10" ht="11.25" customHeight="1">
      <c r="A984" s="3363" t="s">
        <v>5351</v>
      </c>
      <c r="B984" s="3237" t="s">
        <v>4473</v>
      </c>
      <c r="C984" s="3237" t="s">
        <v>4319</v>
      </c>
      <c r="D984" s="3237" t="s">
        <v>4459</v>
      </c>
      <c r="E984" s="3237" t="s">
        <v>4460</v>
      </c>
      <c r="F984" s="3237" t="s">
        <v>4474</v>
      </c>
      <c r="G984" s="3237" t="s">
        <v>4442</v>
      </c>
      <c r="H984" s="3237" t="s">
        <v>3219</v>
      </c>
      <c r="I984" s="3236" t="s">
        <v>4462</v>
      </c>
      <c r="J984" s="3236">
        <v>29.09</v>
      </c>
    </row>
    <row r="985" spans="1:10" ht="11.25" customHeight="1">
      <c r="A985" s="3363" t="s">
        <v>5352</v>
      </c>
      <c r="B985" s="3237" t="s">
        <v>4473</v>
      </c>
      <c r="C985" s="3237" t="s">
        <v>4320</v>
      </c>
      <c r="D985" s="3237" t="s">
        <v>4459</v>
      </c>
      <c r="E985" s="3237" t="s">
        <v>4460</v>
      </c>
      <c r="F985" s="3237" t="s">
        <v>4474</v>
      </c>
      <c r="G985" s="3237" t="s">
        <v>4442</v>
      </c>
      <c r="H985" s="3237" t="s">
        <v>3219</v>
      </c>
      <c r="I985" s="3236" t="s">
        <v>4462</v>
      </c>
      <c r="J985" s="3236">
        <v>29.09</v>
      </c>
    </row>
    <row r="986" spans="1:10" ht="11.25" customHeight="1">
      <c r="A986" s="3363" t="s">
        <v>5353</v>
      </c>
      <c r="B986" s="3237" t="s">
        <v>4473</v>
      </c>
      <c r="C986" s="3237" t="s">
        <v>4321</v>
      </c>
      <c r="D986" s="3237" t="s">
        <v>4459</v>
      </c>
      <c r="E986" s="3237" t="s">
        <v>4460</v>
      </c>
      <c r="F986" s="3237" t="s">
        <v>4474</v>
      </c>
      <c r="G986" s="3237" t="s">
        <v>4442</v>
      </c>
      <c r="H986" s="3237" t="s">
        <v>3219</v>
      </c>
      <c r="I986" s="3236" t="s">
        <v>4462</v>
      </c>
      <c r="J986" s="3236">
        <v>29.09</v>
      </c>
    </row>
    <row r="987" spans="1:10" ht="11.25" customHeight="1">
      <c r="A987" s="3363" t="s">
        <v>5354</v>
      </c>
      <c r="B987" s="3237" t="s">
        <v>4473</v>
      </c>
      <c r="C987" s="3237" t="s">
        <v>4322</v>
      </c>
      <c r="D987" s="3237" t="s">
        <v>4459</v>
      </c>
      <c r="E987" s="3237" t="s">
        <v>4460</v>
      </c>
      <c r="F987" s="3237" t="s">
        <v>4474</v>
      </c>
      <c r="G987" s="3237" t="s">
        <v>4442</v>
      </c>
      <c r="H987" s="3237" t="s">
        <v>3219</v>
      </c>
      <c r="I987" s="3236" t="s">
        <v>4462</v>
      </c>
      <c r="J987" s="3236">
        <v>29.09</v>
      </c>
    </row>
    <row r="988" spans="1:10" ht="11.25" customHeight="1">
      <c r="A988" s="3363" t="s">
        <v>5355</v>
      </c>
      <c r="B988" s="3237" t="s">
        <v>4473</v>
      </c>
      <c r="C988" s="3237" t="s">
        <v>4323</v>
      </c>
      <c r="D988" s="3237" t="s">
        <v>4459</v>
      </c>
      <c r="E988" s="3237" t="s">
        <v>4460</v>
      </c>
      <c r="F988" s="3237" t="s">
        <v>4474</v>
      </c>
      <c r="G988" s="3237" t="s">
        <v>4442</v>
      </c>
      <c r="H988" s="3237" t="s">
        <v>3219</v>
      </c>
      <c r="I988" s="3236" t="s">
        <v>4462</v>
      </c>
      <c r="J988" s="3236">
        <v>29.09</v>
      </c>
    </row>
    <row r="989" spans="1:10" ht="11.25" customHeight="1">
      <c r="A989" s="3363" t="s">
        <v>5356</v>
      </c>
      <c r="B989" s="3237" t="s">
        <v>4473</v>
      </c>
      <c r="C989" s="3237" t="s">
        <v>4324</v>
      </c>
      <c r="D989" s="3237" t="s">
        <v>4459</v>
      </c>
      <c r="E989" s="3237" t="s">
        <v>4460</v>
      </c>
      <c r="F989" s="3237" t="s">
        <v>4474</v>
      </c>
      <c r="G989" s="3237" t="s">
        <v>4442</v>
      </c>
      <c r="H989" s="3237" t="s">
        <v>3219</v>
      </c>
      <c r="I989" s="3236" t="s">
        <v>4462</v>
      </c>
      <c r="J989" s="3236">
        <v>29.09</v>
      </c>
    </row>
    <row r="990" spans="1:10" ht="11.25" customHeight="1">
      <c r="A990" s="3363" t="s">
        <v>5357</v>
      </c>
      <c r="B990" s="3237" t="s">
        <v>4473</v>
      </c>
      <c r="C990" s="3237" t="s">
        <v>4325</v>
      </c>
      <c r="D990" s="3237" t="s">
        <v>4459</v>
      </c>
      <c r="E990" s="3237" t="s">
        <v>4460</v>
      </c>
      <c r="F990" s="3237" t="s">
        <v>4474</v>
      </c>
      <c r="G990" s="3237" t="s">
        <v>4442</v>
      </c>
      <c r="H990" s="3237" t="s">
        <v>3219</v>
      </c>
      <c r="I990" s="3236" t="s">
        <v>4462</v>
      </c>
      <c r="J990" s="3236">
        <v>29.09</v>
      </c>
    </row>
    <row r="991" spans="1:10" ht="11.25" customHeight="1">
      <c r="A991" s="3363" t="s">
        <v>5358</v>
      </c>
      <c r="B991" s="3237" t="s">
        <v>4473</v>
      </c>
      <c r="C991" s="3237" t="s">
        <v>4326</v>
      </c>
      <c r="D991" s="3237" t="s">
        <v>4459</v>
      </c>
      <c r="E991" s="3237" t="s">
        <v>4460</v>
      </c>
      <c r="F991" s="3237" t="s">
        <v>4474</v>
      </c>
      <c r="G991" s="3237" t="s">
        <v>4442</v>
      </c>
      <c r="H991" s="3237" t="s">
        <v>3219</v>
      </c>
      <c r="I991" s="3236" t="s">
        <v>4462</v>
      </c>
      <c r="J991" s="3236">
        <v>29.09</v>
      </c>
    </row>
    <row r="992" spans="1:10" ht="11.25" customHeight="1">
      <c r="A992" s="3363" t="s">
        <v>5359</v>
      </c>
      <c r="B992" s="3237" t="s">
        <v>4473</v>
      </c>
      <c r="C992" s="3237" t="s">
        <v>4327</v>
      </c>
      <c r="D992" s="3237" t="s">
        <v>4459</v>
      </c>
      <c r="E992" s="3237" t="s">
        <v>4460</v>
      </c>
      <c r="F992" s="3237" t="s">
        <v>4474</v>
      </c>
      <c r="G992" s="3237" t="s">
        <v>4442</v>
      </c>
      <c r="H992" s="3237" t="s">
        <v>3219</v>
      </c>
      <c r="I992" s="3236" t="s">
        <v>4462</v>
      </c>
      <c r="J992" s="3236">
        <v>29.09</v>
      </c>
    </row>
    <row r="993" spans="1:10" ht="11.25" customHeight="1">
      <c r="A993" s="3363" t="s">
        <v>5360</v>
      </c>
      <c r="B993" s="3237" t="s">
        <v>4473</v>
      </c>
      <c r="C993" s="3237" t="s">
        <v>4328</v>
      </c>
      <c r="D993" s="3237" t="s">
        <v>4459</v>
      </c>
      <c r="E993" s="3237" t="s">
        <v>4460</v>
      </c>
      <c r="F993" s="3237" t="s">
        <v>4474</v>
      </c>
      <c r="G993" s="3237" t="s">
        <v>4442</v>
      </c>
      <c r="H993" s="3237" t="s">
        <v>3219</v>
      </c>
      <c r="I993" s="3236" t="s">
        <v>4462</v>
      </c>
      <c r="J993" s="3236">
        <v>29.09</v>
      </c>
    </row>
    <row r="994" spans="1:10" ht="11.25" customHeight="1">
      <c r="A994" s="3363" t="s">
        <v>5361</v>
      </c>
      <c r="B994" s="3237" t="s">
        <v>4473</v>
      </c>
      <c r="C994" s="3237" t="s">
        <v>4329</v>
      </c>
      <c r="D994" s="3237" t="s">
        <v>4459</v>
      </c>
      <c r="E994" s="3237" t="s">
        <v>4460</v>
      </c>
      <c r="F994" s="3237" t="s">
        <v>4474</v>
      </c>
      <c r="G994" s="3237" t="s">
        <v>4442</v>
      </c>
      <c r="H994" s="3237" t="s">
        <v>3219</v>
      </c>
      <c r="I994" s="3236" t="s">
        <v>4462</v>
      </c>
      <c r="J994" s="3236">
        <v>29.09</v>
      </c>
    </row>
    <row r="995" spans="1:10" ht="11.25" customHeight="1">
      <c r="A995" s="3363" t="s">
        <v>5362</v>
      </c>
      <c r="B995" s="3237" t="s">
        <v>4473</v>
      </c>
      <c r="C995" s="3237" t="s">
        <v>4204</v>
      </c>
      <c r="D995" s="3237" t="s">
        <v>4459</v>
      </c>
      <c r="E995" s="3237" t="s">
        <v>4460</v>
      </c>
      <c r="F995" s="3237" t="s">
        <v>4474</v>
      </c>
      <c r="G995" s="3237" t="s">
        <v>3660</v>
      </c>
      <c r="H995" s="3237" t="s">
        <v>3219</v>
      </c>
      <c r="I995" s="3236" t="s">
        <v>4462</v>
      </c>
      <c r="J995" s="3236">
        <v>29.09</v>
      </c>
    </row>
    <row r="996" spans="1:10" ht="11.25" customHeight="1">
      <c r="A996" s="3363" t="s">
        <v>5363</v>
      </c>
      <c r="B996" s="3237" t="s">
        <v>4473</v>
      </c>
      <c r="C996" s="3237" t="s">
        <v>4205</v>
      </c>
      <c r="D996" s="3237" t="s">
        <v>4459</v>
      </c>
      <c r="E996" s="3237" t="s">
        <v>4460</v>
      </c>
      <c r="F996" s="3237" t="s">
        <v>4474</v>
      </c>
      <c r="G996" s="3237" t="s">
        <v>3660</v>
      </c>
      <c r="H996" s="3237" t="s">
        <v>3219</v>
      </c>
      <c r="I996" s="3236" t="s">
        <v>4462</v>
      </c>
      <c r="J996" s="3236">
        <v>29.09</v>
      </c>
    </row>
    <row r="997" spans="1:10" ht="11.25" customHeight="1">
      <c r="A997" s="3363" t="s">
        <v>5364</v>
      </c>
      <c r="B997" s="3237" t="s">
        <v>4473</v>
      </c>
      <c r="C997" s="3237" t="s">
        <v>4206</v>
      </c>
      <c r="D997" s="3237" t="s">
        <v>4459</v>
      </c>
      <c r="E997" s="3237" t="s">
        <v>4460</v>
      </c>
      <c r="F997" s="3237" t="s">
        <v>4474</v>
      </c>
      <c r="G997" s="3237" t="s">
        <v>3660</v>
      </c>
      <c r="H997" s="3237" t="s">
        <v>3219</v>
      </c>
      <c r="I997" s="3236" t="s">
        <v>4462</v>
      </c>
      <c r="J997" s="3236">
        <v>29.09</v>
      </c>
    </row>
    <row r="998" spans="1:10" ht="11.25" customHeight="1">
      <c r="A998" s="3363" t="s">
        <v>5365</v>
      </c>
      <c r="B998" s="3237" t="s">
        <v>4473</v>
      </c>
      <c r="C998" s="3237" t="s">
        <v>4207</v>
      </c>
      <c r="D998" s="3237" t="s">
        <v>4459</v>
      </c>
      <c r="E998" s="3237" t="s">
        <v>4460</v>
      </c>
      <c r="F998" s="3237" t="s">
        <v>4474</v>
      </c>
      <c r="G998" s="3237" t="s">
        <v>3660</v>
      </c>
      <c r="H998" s="3237" t="s">
        <v>3219</v>
      </c>
      <c r="I998" s="3236" t="s">
        <v>4462</v>
      </c>
      <c r="J998" s="3236">
        <v>29.09</v>
      </c>
    </row>
    <row r="999" spans="1:10" ht="11.25" customHeight="1">
      <c r="A999" s="3363" t="s">
        <v>5366</v>
      </c>
      <c r="B999" s="3237" t="s">
        <v>4473</v>
      </c>
      <c r="C999" s="3237" t="s">
        <v>4208</v>
      </c>
      <c r="D999" s="3237" t="s">
        <v>4459</v>
      </c>
      <c r="E999" s="3237" t="s">
        <v>4460</v>
      </c>
      <c r="F999" s="3237" t="s">
        <v>4474</v>
      </c>
      <c r="G999" s="3237" t="s">
        <v>3660</v>
      </c>
      <c r="H999" s="3237" t="s">
        <v>3219</v>
      </c>
      <c r="I999" s="3236" t="s">
        <v>4462</v>
      </c>
      <c r="J999" s="3236">
        <v>29.09</v>
      </c>
    </row>
    <row r="1000" spans="1:10" ht="11.25" customHeight="1">
      <c r="A1000" s="3363" t="s">
        <v>5367</v>
      </c>
      <c r="B1000" s="3237" t="s">
        <v>4473</v>
      </c>
      <c r="C1000" s="3237" t="s">
        <v>4209</v>
      </c>
      <c r="D1000" s="3237" t="s">
        <v>4459</v>
      </c>
      <c r="E1000" s="3237" t="s">
        <v>4460</v>
      </c>
      <c r="F1000" s="3237" t="s">
        <v>4474</v>
      </c>
      <c r="G1000" s="3237" t="s">
        <v>3660</v>
      </c>
      <c r="H1000" s="3237" t="s">
        <v>3219</v>
      </c>
      <c r="I1000" s="3236" t="s">
        <v>4462</v>
      </c>
      <c r="J1000" s="3236">
        <v>29.09</v>
      </c>
    </row>
    <row r="1001" spans="1:10" ht="11.25" customHeight="1">
      <c r="A1001" s="3363" t="s">
        <v>5368</v>
      </c>
      <c r="B1001" s="3237" t="s">
        <v>4473</v>
      </c>
      <c r="C1001" s="3237" t="s">
        <v>4210</v>
      </c>
      <c r="D1001" s="3237" t="s">
        <v>4459</v>
      </c>
      <c r="E1001" s="3237" t="s">
        <v>4460</v>
      </c>
      <c r="F1001" s="3237" t="s">
        <v>4474</v>
      </c>
      <c r="G1001" s="3237" t="s">
        <v>3660</v>
      </c>
      <c r="H1001" s="3237" t="s">
        <v>3219</v>
      </c>
      <c r="I1001" s="3236" t="s">
        <v>4462</v>
      </c>
      <c r="J1001" s="3236">
        <v>29.09</v>
      </c>
    </row>
    <row r="1002" spans="1:10" ht="11.25" customHeight="1">
      <c r="A1002" s="3363" t="s">
        <v>5369</v>
      </c>
      <c r="B1002" s="3237" t="s">
        <v>4473</v>
      </c>
      <c r="C1002" s="3237" t="s">
        <v>4211</v>
      </c>
      <c r="D1002" s="3237" t="s">
        <v>4459</v>
      </c>
      <c r="E1002" s="3237" t="s">
        <v>4460</v>
      </c>
      <c r="F1002" s="3237" t="s">
        <v>4474</v>
      </c>
      <c r="G1002" s="3237" t="s">
        <v>3660</v>
      </c>
      <c r="H1002" s="3237" t="s">
        <v>3219</v>
      </c>
      <c r="I1002" s="3236" t="s">
        <v>4462</v>
      </c>
      <c r="J1002" s="3236">
        <v>29.09</v>
      </c>
    </row>
    <row r="1003" spans="1:10" ht="11.25" customHeight="1">
      <c r="A1003" s="3363" t="s">
        <v>5370</v>
      </c>
      <c r="B1003" s="3237" t="s">
        <v>4473</v>
      </c>
      <c r="C1003" s="3237" t="s">
        <v>4212</v>
      </c>
      <c r="D1003" s="3237" t="s">
        <v>4459</v>
      </c>
      <c r="E1003" s="3237" t="s">
        <v>4460</v>
      </c>
      <c r="F1003" s="3237" t="s">
        <v>4474</v>
      </c>
      <c r="G1003" s="3237" t="s">
        <v>3660</v>
      </c>
      <c r="H1003" s="3237" t="s">
        <v>3219</v>
      </c>
      <c r="I1003" s="3236" t="s">
        <v>4462</v>
      </c>
      <c r="J1003" s="3236">
        <v>29.09</v>
      </c>
    </row>
    <row r="1004" spans="1:10" ht="11.25" customHeight="1">
      <c r="A1004" s="3363" t="s">
        <v>5371</v>
      </c>
      <c r="B1004" s="3237" t="s">
        <v>4473</v>
      </c>
      <c r="C1004" s="3237" t="s">
        <v>4213</v>
      </c>
      <c r="D1004" s="3237" t="s">
        <v>4459</v>
      </c>
      <c r="E1004" s="3237" t="s">
        <v>4460</v>
      </c>
      <c r="F1004" s="3237" t="s">
        <v>4474</v>
      </c>
      <c r="G1004" s="3237" t="s">
        <v>3660</v>
      </c>
      <c r="H1004" s="3237" t="s">
        <v>3219</v>
      </c>
      <c r="I1004" s="3236" t="s">
        <v>4462</v>
      </c>
      <c r="J1004" s="3236">
        <v>29.09</v>
      </c>
    </row>
    <row r="1005" spans="1:10" ht="11.25" customHeight="1">
      <c r="A1005" s="3363" t="s">
        <v>5372</v>
      </c>
      <c r="B1005" s="3237" t="s">
        <v>4473</v>
      </c>
      <c r="C1005" s="3237" t="s">
        <v>4214</v>
      </c>
      <c r="D1005" s="3237" t="s">
        <v>4459</v>
      </c>
      <c r="E1005" s="3237" t="s">
        <v>4460</v>
      </c>
      <c r="F1005" s="3237" t="s">
        <v>4474</v>
      </c>
      <c r="G1005" s="3237" t="s">
        <v>3660</v>
      </c>
      <c r="H1005" s="3237" t="s">
        <v>3219</v>
      </c>
      <c r="I1005" s="3236" t="s">
        <v>4462</v>
      </c>
      <c r="J1005" s="3236">
        <v>29.09</v>
      </c>
    </row>
    <row r="1006" spans="1:10" ht="11.25" customHeight="1">
      <c r="A1006" s="3363" t="s">
        <v>5373</v>
      </c>
      <c r="B1006" s="3237" t="s">
        <v>4473</v>
      </c>
      <c r="C1006" s="3237" t="s">
        <v>4215</v>
      </c>
      <c r="D1006" s="3237" t="s">
        <v>4459</v>
      </c>
      <c r="E1006" s="3237" t="s">
        <v>4460</v>
      </c>
      <c r="F1006" s="3237" t="s">
        <v>4474</v>
      </c>
      <c r="G1006" s="3237" t="s">
        <v>3660</v>
      </c>
      <c r="H1006" s="3237" t="s">
        <v>3219</v>
      </c>
      <c r="I1006" s="3236" t="s">
        <v>4462</v>
      </c>
      <c r="J1006" s="3236">
        <v>29.09</v>
      </c>
    </row>
    <row r="1007" spans="1:10" ht="11.25" customHeight="1">
      <c r="A1007" s="3363" t="s">
        <v>5374</v>
      </c>
      <c r="B1007" s="3237" t="s">
        <v>4473</v>
      </c>
      <c r="C1007" s="3237" t="s">
        <v>4216</v>
      </c>
      <c r="D1007" s="3237" t="s">
        <v>4459</v>
      </c>
      <c r="E1007" s="3237" t="s">
        <v>4460</v>
      </c>
      <c r="F1007" s="3237" t="s">
        <v>4474</v>
      </c>
      <c r="G1007" s="3237" t="s">
        <v>3660</v>
      </c>
      <c r="H1007" s="3237" t="s">
        <v>3219</v>
      </c>
      <c r="I1007" s="3236" t="s">
        <v>4462</v>
      </c>
      <c r="J1007" s="3236">
        <v>29.09</v>
      </c>
    </row>
    <row r="1008" spans="1:10" ht="11.25" customHeight="1">
      <c r="A1008" s="3363" t="s">
        <v>5375</v>
      </c>
      <c r="B1008" s="3237" t="s">
        <v>4473</v>
      </c>
      <c r="C1008" s="3237" t="s">
        <v>4217</v>
      </c>
      <c r="D1008" s="3237" t="s">
        <v>4459</v>
      </c>
      <c r="E1008" s="3237" t="s">
        <v>4460</v>
      </c>
      <c r="F1008" s="3237" t="s">
        <v>4474</v>
      </c>
      <c r="G1008" s="3237" t="s">
        <v>3660</v>
      </c>
      <c r="H1008" s="3237" t="s">
        <v>3219</v>
      </c>
      <c r="I1008" s="3236" t="s">
        <v>4462</v>
      </c>
      <c r="J1008" s="3236">
        <v>29.09</v>
      </c>
    </row>
    <row r="1009" spans="1:10" ht="11.25" customHeight="1">
      <c r="A1009" s="3363" t="s">
        <v>5376</v>
      </c>
      <c r="B1009" s="3237" t="s">
        <v>4473</v>
      </c>
      <c r="C1009" s="3237" t="s">
        <v>4218</v>
      </c>
      <c r="D1009" s="3237" t="s">
        <v>4459</v>
      </c>
      <c r="E1009" s="3237" t="s">
        <v>4460</v>
      </c>
      <c r="F1009" s="3237" t="s">
        <v>4474</v>
      </c>
      <c r="G1009" s="3237" t="s">
        <v>3660</v>
      </c>
      <c r="H1009" s="3237" t="s">
        <v>3219</v>
      </c>
      <c r="I1009" s="3236" t="s">
        <v>4462</v>
      </c>
      <c r="J1009" s="3236">
        <v>29.09</v>
      </c>
    </row>
    <row r="1010" spans="1:10" ht="11.25" customHeight="1">
      <c r="A1010" s="3363" t="s">
        <v>5377</v>
      </c>
      <c r="B1010" s="3237" t="s">
        <v>4473</v>
      </c>
      <c r="C1010" s="3237" t="s">
        <v>4219</v>
      </c>
      <c r="D1010" s="3237" t="s">
        <v>4459</v>
      </c>
      <c r="E1010" s="3237" t="s">
        <v>4460</v>
      </c>
      <c r="F1010" s="3237" t="s">
        <v>4474</v>
      </c>
      <c r="G1010" s="3237" t="s">
        <v>3660</v>
      </c>
      <c r="H1010" s="3237" t="s">
        <v>3219</v>
      </c>
      <c r="I1010" s="3236" t="s">
        <v>4462</v>
      </c>
      <c r="J1010" s="3236">
        <v>29.09</v>
      </c>
    </row>
    <row r="1011" spans="1:10" ht="11.25" customHeight="1">
      <c r="A1011" s="3363" t="s">
        <v>5378</v>
      </c>
      <c r="B1011" s="3237" t="s">
        <v>4473</v>
      </c>
      <c r="C1011" s="3237" t="s">
        <v>4220</v>
      </c>
      <c r="D1011" s="3237" t="s">
        <v>4459</v>
      </c>
      <c r="E1011" s="3237" t="s">
        <v>4460</v>
      </c>
      <c r="F1011" s="3237" t="s">
        <v>4474</v>
      </c>
      <c r="G1011" s="3237" t="s">
        <v>3660</v>
      </c>
      <c r="H1011" s="3237" t="s">
        <v>3219</v>
      </c>
      <c r="I1011" s="3236" t="s">
        <v>4462</v>
      </c>
      <c r="J1011" s="3236">
        <v>29.09</v>
      </c>
    </row>
    <row r="1012" spans="1:10" ht="11.25" customHeight="1">
      <c r="A1012" s="3363" t="s">
        <v>5379</v>
      </c>
      <c r="B1012" s="3237" t="s">
        <v>4473</v>
      </c>
      <c r="C1012" s="3237" t="s">
        <v>4221</v>
      </c>
      <c r="D1012" s="3237" t="s">
        <v>4459</v>
      </c>
      <c r="E1012" s="3237" t="s">
        <v>4460</v>
      </c>
      <c r="F1012" s="3237" t="s">
        <v>4474</v>
      </c>
      <c r="G1012" s="3237" t="s">
        <v>3660</v>
      </c>
      <c r="H1012" s="3237" t="s">
        <v>3219</v>
      </c>
      <c r="I1012" s="3236" t="s">
        <v>4462</v>
      </c>
      <c r="J1012" s="3236">
        <v>29.09</v>
      </c>
    </row>
    <row r="1013" spans="1:10" ht="11.25" customHeight="1">
      <c r="A1013" s="3363" t="s">
        <v>5380</v>
      </c>
      <c r="B1013" s="3237" t="s">
        <v>4473</v>
      </c>
      <c r="C1013" s="3237" t="s">
        <v>4222</v>
      </c>
      <c r="D1013" s="3237" t="s">
        <v>4459</v>
      </c>
      <c r="E1013" s="3237" t="s">
        <v>4460</v>
      </c>
      <c r="F1013" s="3237" t="s">
        <v>4474</v>
      </c>
      <c r="G1013" s="3237" t="s">
        <v>3660</v>
      </c>
      <c r="H1013" s="3237" t="s">
        <v>3219</v>
      </c>
      <c r="I1013" s="3236" t="s">
        <v>4462</v>
      </c>
      <c r="J1013" s="3236">
        <v>29.09</v>
      </c>
    </row>
    <row r="1014" spans="1:10" ht="11.25" customHeight="1">
      <c r="A1014" s="3363" t="s">
        <v>5381</v>
      </c>
      <c r="B1014" s="3237" t="s">
        <v>4473</v>
      </c>
      <c r="C1014" s="3237" t="s">
        <v>4223</v>
      </c>
      <c r="D1014" s="3237" t="s">
        <v>4459</v>
      </c>
      <c r="E1014" s="3237" t="s">
        <v>4460</v>
      </c>
      <c r="F1014" s="3237" t="s">
        <v>4474</v>
      </c>
      <c r="G1014" s="3237" t="s">
        <v>3660</v>
      </c>
      <c r="H1014" s="3237" t="s">
        <v>3219</v>
      </c>
      <c r="I1014" s="3236" t="s">
        <v>4462</v>
      </c>
      <c r="J1014" s="3236">
        <v>29.09</v>
      </c>
    </row>
    <row r="1015" spans="1:10" ht="11.25" customHeight="1">
      <c r="A1015" s="3363" t="s">
        <v>5382</v>
      </c>
      <c r="B1015" s="3237" t="s">
        <v>4473</v>
      </c>
      <c r="C1015" s="3237" t="s">
        <v>4224</v>
      </c>
      <c r="D1015" s="3237" t="s">
        <v>4459</v>
      </c>
      <c r="E1015" s="3237" t="s">
        <v>4460</v>
      </c>
      <c r="F1015" s="3237" t="s">
        <v>4474</v>
      </c>
      <c r="G1015" s="3237" t="s">
        <v>3660</v>
      </c>
      <c r="H1015" s="3237" t="s">
        <v>3219</v>
      </c>
      <c r="I1015" s="3236" t="s">
        <v>4462</v>
      </c>
      <c r="J1015" s="3236">
        <v>29.09</v>
      </c>
    </row>
    <row r="1016" spans="1:10" ht="11.25" customHeight="1">
      <c r="A1016" s="3363" t="s">
        <v>5383</v>
      </c>
      <c r="B1016" s="3237" t="s">
        <v>4473</v>
      </c>
      <c r="C1016" s="3237" t="s">
        <v>4225</v>
      </c>
      <c r="D1016" s="3237" t="s">
        <v>4459</v>
      </c>
      <c r="E1016" s="3237" t="s">
        <v>4460</v>
      </c>
      <c r="F1016" s="3237" t="s">
        <v>4474</v>
      </c>
      <c r="G1016" s="3237" t="s">
        <v>3660</v>
      </c>
      <c r="H1016" s="3237" t="s">
        <v>3219</v>
      </c>
      <c r="I1016" s="3236" t="s">
        <v>4462</v>
      </c>
      <c r="J1016" s="3236">
        <v>29.09</v>
      </c>
    </row>
    <row r="1017" spans="1:10" ht="11.25" customHeight="1">
      <c r="A1017" s="3363" t="s">
        <v>5384</v>
      </c>
      <c r="B1017" s="3237" t="s">
        <v>4473</v>
      </c>
      <c r="C1017" s="3237" t="s">
        <v>4226</v>
      </c>
      <c r="D1017" s="3237" t="s">
        <v>4459</v>
      </c>
      <c r="E1017" s="3237" t="s">
        <v>4460</v>
      </c>
      <c r="F1017" s="3237" t="s">
        <v>4474</v>
      </c>
      <c r="G1017" s="3237" t="s">
        <v>3660</v>
      </c>
      <c r="H1017" s="3237" t="s">
        <v>3219</v>
      </c>
      <c r="I1017" s="3236" t="s">
        <v>4462</v>
      </c>
      <c r="J1017" s="3236">
        <v>29.09</v>
      </c>
    </row>
    <row r="1018" spans="1:10" ht="11.25" customHeight="1">
      <c r="A1018" s="3363" t="s">
        <v>5385</v>
      </c>
      <c r="B1018" s="3237" t="s">
        <v>4473</v>
      </c>
      <c r="C1018" s="3237" t="s">
        <v>4227</v>
      </c>
      <c r="D1018" s="3237" t="s">
        <v>4459</v>
      </c>
      <c r="E1018" s="3237" t="s">
        <v>4460</v>
      </c>
      <c r="F1018" s="3237" t="s">
        <v>4474</v>
      </c>
      <c r="G1018" s="3237" t="s">
        <v>3660</v>
      </c>
      <c r="H1018" s="3237" t="s">
        <v>3219</v>
      </c>
      <c r="I1018" s="3236" t="s">
        <v>4462</v>
      </c>
      <c r="J1018" s="3236">
        <v>29.09</v>
      </c>
    </row>
    <row r="1019" spans="1:10" ht="11.25" customHeight="1">
      <c r="A1019" s="3363" t="s">
        <v>5386</v>
      </c>
      <c r="B1019" s="3237" t="s">
        <v>4473</v>
      </c>
      <c r="C1019" s="3237" t="s">
        <v>4228</v>
      </c>
      <c r="D1019" s="3237" t="s">
        <v>4459</v>
      </c>
      <c r="E1019" s="3237" t="s">
        <v>4460</v>
      </c>
      <c r="F1019" s="3237" t="s">
        <v>4474</v>
      </c>
      <c r="G1019" s="3237" t="s">
        <v>3660</v>
      </c>
      <c r="H1019" s="3237" t="s">
        <v>3219</v>
      </c>
      <c r="I1019" s="3236" t="s">
        <v>4462</v>
      </c>
      <c r="J1019" s="3236">
        <v>29.09</v>
      </c>
    </row>
    <row r="1020" spans="1:10" ht="11.25" customHeight="1">
      <c r="A1020" s="3363" t="s">
        <v>5387</v>
      </c>
      <c r="B1020" s="3237" t="s">
        <v>4473</v>
      </c>
      <c r="C1020" s="3237" t="s">
        <v>4229</v>
      </c>
      <c r="D1020" s="3237" t="s">
        <v>4459</v>
      </c>
      <c r="E1020" s="3237" t="s">
        <v>4460</v>
      </c>
      <c r="F1020" s="3237" t="s">
        <v>4474</v>
      </c>
      <c r="G1020" s="3237" t="s">
        <v>3660</v>
      </c>
      <c r="H1020" s="3237" t="s">
        <v>3219</v>
      </c>
      <c r="I1020" s="3236" t="s">
        <v>4462</v>
      </c>
      <c r="J1020" s="3236">
        <v>29.09</v>
      </c>
    </row>
    <row r="1021" spans="1:10" ht="11.25" customHeight="1">
      <c r="A1021" s="3363" t="s">
        <v>5388</v>
      </c>
      <c r="B1021" s="3237" t="s">
        <v>4473</v>
      </c>
      <c r="C1021" s="3237" t="s">
        <v>4230</v>
      </c>
      <c r="D1021" s="3237" t="s">
        <v>4459</v>
      </c>
      <c r="E1021" s="3237" t="s">
        <v>4460</v>
      </c>
      <c r="F1021" s="3237" t="s">
        <v>4474</v>
      </c>
      <c r="G1021" s="3237" t="s">
        <v>3660</v>
      </c>
      <c r="H1021" s="3237" t="s">
        <v>3219</v>
      </c>
      <c r="I1021" s="3236" t="s">
        <v>4462</v>
      </c>
      <c r="J1021" s="3236">
        <v>29.09</v>
      </c>
    </row>
    <row r="1022" spans="1:10" ht="11.25" customHeight="1">
      <c r="A1022" s="3363" t="s">
        <v>5389</v>
      </c>
      <c r="B1022" s="3237" t="s">
        <v>4473</v>
      </c>
      <c r="C1022" s="3237" t="s">
        <v>4231</v>
      </c>
      <c r="D1022" s="3237" t="s">
        <v>4459</v>
      </c>
      <c r="E1022" s="3237" t="s">
        <v>4460</v>
      </c>
      <c r="F1022" s="3237" t="s">
        <v>4474</v>
      </c>
      <c r="G1022" s="3237" t="s">
        <v>3660</v>
      </c>
      <c r="H1022" s="3237" t="s">
        <v>3219</v>
      </c>
      <c r="I1022" s="3236" t="s">
        <v>4462</v>
      </c>
      <c r="J1022" s="3236">
        <v>29.09</v>
      </c>
    </row>
    <row r="1023" spans="1:10" ht="11.25" customHeight="1">
      <c r="A1023" s="3363" t="s">
        <v>5390</v>
      </c>
      <c r="B1023" s="3237" t="s">
        <v>4473</v>
      </c>
      <c r="C1023" s="3237" t="s">
        <v>4232</v>
      </c>
      <c r="D1023" s="3237" t="s">
        <v>4459</v>
      </c>
      <c r="E1023" s="3237" t="s">
        <v>4460</v>
      </c>
      <c r="F1023" s="3237" t="s">
        <v>4474</v>
      </c>
      <c r="G1023" s="3237" t="s">
        <v>3660</v>
      </c>
      <c r="H1023" s="3237" t="s">
        <v>3219</v>
      </c>
      <c r="I1023" s="3236" t="s">
        <v>4462</v>
      </c>
      <c r="J1023" s="3236">
        <v>29.09</v>
      </c>
    </row>
    <row r="1024" spans="1:10" ht="11.25" customHeight="1">
      <c r="A1024" s="3363" t="s">
        <v>5391</v>
      </c>
      <c r="B1024" s="3237" t="s">
        <v>4473</v>
      </c>
      <c r="C1024" s="3237" t="s">
        <v>4233</v>
      </c>
      <c r="D1024" s="3237" t="s">
        <v>4459</v>
      </c>
      <c r="E1024" s="3237" t="s">
        <v>4460</v>
      </c>
      <c r="F1024" s="3237" t="s">
        <v>4474</v>
      </c>
      <c r="G1024" s="3237" t="s">
        <v>3660</v>
      </c>
      <c r="H1024" s="3237" t="s">
        <v>3219</v>
      </c>
      <c r="I1024" s="3236" t="s">
        <v>4462</v>
      </c>
      <c r="J1024" s="3236">
        <v>29.09</v>
      </c>
    </row>
    <row r="1025" spans="1:10" ht="11.25" customHeight="1">
      <c r="A1025" s="3363" t="s">
        <v>5392</v>
      </c>
      <c r="B1025" s="3237" t="s">
        <v>4473</v>
      </c>
      <c r="C1025" s="3237" t="s">
        <v>4234</v>
      </c>
      <c r="D1025" s="3237" t="s">
        <v>4459</v>
      </c>
      <c r="E1025" s="3237" t="s">
        <v>4460</v>
      </c>
      <c r="F1025" s="3237" t="s">
        <v>4474</v>
      </c>
      <c r="G1025" s="3237" t="s">
        <v>3660</v>
      </c>
      <c r="H1025" s="3237" t="s">
        <v>3219</v>
      </c>
      <c r="I1025" s="3236" t="s">
        <v>4462</v>
      </c>
      <c r="J1025" s="3236">
        <v>29.09</v>
      </c>
    </row>
    <row r="1026" spans="1:10" ht="11.25" customHeight="1">
      <c r="A1026" s="3363" t="s">
        <v>5393</v>
      </c>
      <c r="B1026" s="3237" t="s">
        <v>4473</v>
      </c>
      <c r="C1026" s="3237" t="s">
        <v>4235</v>
      </c>
      <c r="D1026" s="3237" t="s">
        <v>4459</v>
      </c>
      <c r="E1026" s="3237" t="s">
        <v>4460</v>
      </c>
      <c r="F1026" s="3237" t="s">
        <v>4474</v>
      </c>
      <c r="G1026" s="3237" t="s">
        <v>3660</v>
      </c>
      <c r="H1026" s="3237" t="s">
        <v>3219</v>
      </c>
      <c r="I1026" s="3236" t="s">
        <v>4462</v>
      </c>
      <c r="J1026" s="3236">
        <v>29.09</v>
      </c>
    </row>
    <row r="1027" spans="1:10" ht="11.25" customHeight="1">
      <c r="A1027" s="3363" t="s">
        <v>5394</v>
      </c>
      <c r="B1027" s="3237" t="s">
        <v>4473</v>
      </c>
      <c r="C1027" s="3237" t="s">
        <v>4236</v>
      </c>
      <c r="D1027" s="3237" t="s">
        <v>4459</v>
      </c>
      <c r="E1027" s="3237" t="s">
        <v>4460</v>
      </c>
      <c r="F1027" s="3237" t="s">
        <v>4474</v>
      </c>
      <c r="G1027" s="3237" t="s">
        <v>3660</v>
      </c>
      <c r="H1027" s="3237" t="s">
        <v>3219</v>
      </c>
      <c r="I1027" s="3236" t="s">
        <v>4462</v>
      </c>
      <c r="J1027" s="3236">
        <v>29.09</v>
      </c>
    </row>
    <row r="1028" spans="1:10" ht="11.25" customHeight="1">
      <c r="A1028" s="3363" t="s">
        <v>5395</v>
      </c>
      <c r="B1028" s="3237" t="s">
        <v>4473</v>
      </c>
      <c r="C1028" s="3237" t="s">
        <v>4237</v>
      </c>
      <c r="D1028" s="3237" t="s">
        <v>4459</v>
      </c>
      <c r="E1028" s="3237" t="s">
        <v>4460</v>
      </c>
      <c r="F1028" s="3237" t="s">
        <v>4474</v>
      </c>
      <c r="G1028" s="3237" t="s">
        <v>3660</v>
      </c>
      <c r="H1028" s="3237" t="s">
        <v>3219</v>
      </c>
      <c r="I1028" s="3236" t="s">
        <v>4462</v>
      </c>
      <c r="J1028" s="3236">
        <v>29.09</v>
      </c>
    </row>
    <row r="1029" spans="1:10" ht="11.25" customHeight="1">
      <c r="A1029" s="3363" t="s">
        <v>5396</v>
      </c>
      <c r="B1029" s="3237" t="s">
        <v>4473</v>
      </c>
      <c r="C1029" s="3237" t="s">
        <v>4238</v>
      </c>
      <c r="D1029" s="3237" t="s">
        <v>4459</v>
      </c>
      <c r="E1029" s="3237" t="s">
        <v>4460</v>
      </c>
      <c r="F1029" s="3237" t="s">
        <v>4474</v>
      </c>
      <c r="G1029" s="3237" t="s">
        <v>3660</v>
      </c>
      <c r="H1029" s="3237" t="s">
        <v>3219</v>
      </c>
      <c r="I1029" s="3236" t="s">
        <v>4462</v>
      </c>
      <c r="J1029" s="3236">
        <v>29.09</v>
      </c>
    </row>
    <row r="1030" spans="1:10" ht="11.25" customHeight="1">
      <c r="A1030" s="3363" t="s">
        <v>5397</v>
      </c>
      <c r="B1030" s="3237" t="s">
        <v>4473</v>
      </c>
      <c r="C1030" s="3237" t="s">
        <v>4239</v>
      </c>
      <c r="D1030" s="3237" t="s">
        <v>4459</v>
      </c>
      <c r="E1030" s="3237" t="s">
        <v>4460</v>
      </c>
      <c r="F1030" s="3237" t="s">
        <v>4474</v>
      </c>
      <c r="G1030" s="3237" t="s">
        <v>3660</v>
      </c>
      <c r="H1030" s="3237" t="s">
        <v>3219</v>
      </c>
      <c r="I1030" s="3236" t="s">
        <v>4462</v>
      </c>
      <c r="J1030" s="3236">
        <v>29.09</v>
      </c>
    </row>
    <row r="1031" spans="1:10" ht="11.25" customHeight="1">
      <c r="A1031" s="3363" t="s">
        <v>5398</v>
      </c>
      <c r="B1031" s="3237" t="s">
        <v>4473</v>
      </c>
      <c r="C1031" s="3237" t="s">
        <v>4240</v>
      </c>
      <c r="D1031" s="3237" t="s">
        <v>4459</v>
      </c>
      <c r="E1031" s="3237" t="s">
        <v>4460</v>
      </c>
      <c r="F1031" s="3237" t="s">
        <v>4474</v>
      </c>
      <c r="G1031" s="3237" t="s">
        <v>3660</v>
      </c>
      <c r="H1031" s="3237" t="s">
        <v>3219</v>
      </c>
      <c r="I1031" s="3236" t="s">
        <v>4462</v>
      </c>
      <c r="J1031" s="3236">
        <v>29.09</v>
      </c>
    </row>
    <row r="1032" spans="1:10" ht="11.25" customHeight="1">
      <c r="A1032" s="3363" t="s">
        <v>5399</v>
      </c>
      <c r="B1032" s="3237" t="s">
        <v>4473</v>
      </c>
      <c r="C1032" s="3237" t="s">
        <v>4241</v>
      </c>
      <c r="D1032" s="3237" t="s">
        <v>4459</v>
      </c>
      <c r="E1032" s="3237" t="s">
        <v>4460</v>
      </c>
      <c r="F1032" s="3237" t="s">
        <v>4474</v>
      </c>
      <c r="G1032" s="3237" t="s">
        <v>3660</v>
      </c>
      <c r="H1032" s="3237" t="s">
        <v>3219</v>
      </c>
      <c r="I1032" s="3236" t="s">
        <v>4462</v>
      </c>
      <c r="J1032" s="3236">
        <v>29.09</v>
      </c>
    </row>
    <row r="1033" spans="1:10" ht="11.25" customHeight="1">
      <c r="A1033" s="3363" t="s">
        <v>5400</v>
      </c>
      <c r="B1033" s="3237" t="s">
        <v>4473</v>
      </c>
      <c r="C1033" s="3237" t="s">
        <v>4242</v>
      </c>
      <c r="D1033" s="3237" t="s">
        <v>4459</v>
      </c>
      <c r="E1033" s="3237" t="s">
        <v>4460</v>
      </c>
      <c r="F1033" s="3237" t="s">
        <v>4474</v>
      </c>
      <c r="G1033" s="3237" t="s">
        <v>3660</v>
      </c>
      <c r="H1033" s="3237" t="s">
        <v>3219</v>
      </c>
      <c r="I1033" s="3236" t="s">
        <v>4462</v>
      </c>
      <c r="J1033" s="3236">
        <v>29.09</v>
      </c>
    </row>
    <row r="1034" spans="1:10" ht="11.25" customHeight="1">
      <c r="A1034" s="3363" t="s">
        <v>5401</v>
      </c>
      <c r="B1034" s="3237" t="s">
        <v>4473</v>
      </c>
      <c r="C1034" s="3237" t="s">
        <v>4243</v>
      </c>
      <c r="D1034" s="3237" t="s">
        <v>4459</v>
      </c>
      <c r="E1034" s="3237" t="s">
        <v>4460</v>
      </c>
      <c r="F1034" s="3237" t="s">
        <v>4474</v>
      </c>
      <c r="G1034" s="3237" t="s">
        <v>3660</v>
      </c>
      <c r="H1034" s="3237" t="s">
        <v>3219</v>
      </c>
      <c r="I1034" s="3236" t="s">
        <v>4462</v>
      </c>
      <c r="J1034" s="3236">
        <v>29.09</v>
      </c>
    </row>
    <row r="1035" spans="1:10" ht="11.25" customHeight="1">
      <c r="A1035" s="3363" t="s">
        <v>5402</v>
      </c>
      <c r="B1035" s="3237" t="s">
        <v>4473</v>
      </c>
      <c r="C1035" s="3237" t="s">
        <v>4244</v>
      </c>
      <c r="D1035" s="3237" t="s">
        <v>4459</v>
      </c>
      <c r="E1035" s="3237" t="s">
        <v>4460</v>
      </c>
      <c r="F1035" s="3237" t="s">
        <v>4474</v>
      </c>
      <c r="G1035" s="3237" t="s">
        <v>3660</v>
      </c>
      <c r="H1035" s="3237" t="s">
        <v>3219</v>
      </c>
      <c r="I1035" s="3236" t="s">
        <v>4462</v>
      </c>
      <c r="J1035" s="3236">
        <v>29.09</v>
      </c>
    </row>
    <row r="1036" spans="1:10" ht="11.25" customHeight="1">
      <c r="A1036" s="3363" t="s">
        <v>5403</v>
      </c>
      <c r="B1036" s="3237" t="s">
        <v>4473</v>
      </c>
      <c r="C1036" s="3237" t="s">
        <v>4245</v>
      </c>
      <c r="D1036" s="3237" t="s">
        <v>4459</v>
      </c>
      <c r="E1036" s="3237" t="s">
        <v>4460</v>
      </c>
      <c r="F1036" s="3237" t="s">
        <v>4474</v>
      </c>
      <c r="G1036" s="3237" t="s">
        <v>3660</v>
      </c>
      <c r="H1036" s="3237" t="s">
        <v>3219</v>
      </c>
      <c r="I1036" s="3236" t="s">
        <v>4462</v>
      </c>
      <c r="J1036" s="3236">
        <v>29.09</v>
      </c>
    </row>
    <row r="1037" spans="1:10" ht="11.25" customHeight="1">
      <c r="A1037" s="3363" t="s">
        <v>5404</v>
      </c>
      <c r="B1037" s="3237" t="s">
        <v>4473</v>
      </c>
      <c r="C1037" s="3237" t="s">
        <v>4246</v>
      </c>
      <c r="D1037" s="3237" t="s">
        <v>4459</v>
      </c>
      <c r="E1037" s="3237" t="s">
        <v>4460</v>
      </c>
      <c r="F1037" s="3237" t="s">
        <v>4474</v>
      </c>
      <c r="G1037" s="3237" t="s">
        <v>3660</v>
      </c>
      <c r="H1037" s="3237" t="s">
        <v>3219</v>
      </c>
      <c r="I1037" s="3236" t="s">
        <v>4462</v>
      </c>
      <c r="J1037" s="3236">
        <v>29.09</v>
      </c>
    </row>
    <row r="1038" spans="1:10" ht="11.25" customHeight="1">
      <c r="A1038" s="3363" t="s">
        <v>5405</v>
      </c>
      <c r="B1038" s="3237" t="s">
        <v>4473</v>
      </c>
      <c r="C1038" s="3237" t="s">
        <v>4247</v>
      </c>
      <c r="D1038" s="3237" t="s">
        <v>4459</v>
      </c>
      <c r="E1038" s="3237" t="s">
        <v>4460</v>
      </c>
      <c r="F1038" s="3237" t="s">
        <v>4474</v>
      </c>
      <c r="G1038" s="3237" t="s">
        <v>3660</v>
      </c>
      <c r="H1038" s="3237" t="s">
        <v>3219</v>
      </c>
      <c r="I1038" s="3236" t="s">
        <v>4462</v>
      </c>
      <c r="J1038" s="3236">
        <v>29.09</v>
      </c>
    </row>
    <row r="1039" spans="1:10" ht="11.25" customHeight="1">
      <c r="A1039" s="3363" t="s">
        <v>5406</v>
      </c>
      <c r="B1039" s="3237" t="s">
        <v>4473</v>
      </c>
      <c r="C1039" s="3237" t="s">
        <v>4248</v>
      </c>
      <c r="D1039" s="3237" t="s">
        <v>4459</v>
      </c>
      <c r="E1039" s="3237" t="s">
        <v>4460</v>
      </c>
      <c r="F1039" s="3237" t="s">
        <v>4474</v>
      </c>
      <c r="G1039" s="3237" t="s">
        <v>3660</v>
      </c>
      <c r="H1039" s="3237" t="s">
        <v>3219</v>
      </c>
      <c r="I1039" s="3236" t="s">
        <v>4462</v>
      </c>
      <c r="J1039" s="3236">
        <v>29.09</v>
      </c>
    </row>
    <row r="1040" spans="1:10" ht="11.25" customHeight="1">
      <c r="A1040" s="3363" t="s">
        <v>5407</v>
      </c>
      <c r="B1040" s="3237" t="s">
        <v>4473</v>
      </c>
      <c r="C1040" s="3237" t="s">
        <v>4249</v>
      </c>
      <c r="D1040" s="3237" t="s">
        <v>4459</v>
      </c>
      <c r="E1040" s="3237" t="s">
        <v>4460</v>
      </c>
      <c r="F1040" s="3237" t="s">
        <v>4474</v>
      </c>
      <c r="G1040" s="3237" t="s">
        <v>3660</v>
      </c>
      <c r="H1040" s="3237" t="s">
        <v>3219</v>
      </c>
      <c r="I1040" s="3236" t="s">
        <v>4462</v>
      </c>
      <c r="J1040" s="3236">
        <v>29.09</v>
      </c>
    </row>
    <row r="1041" spans="1:10" ht="11.25" customHeight="1">
      <c r="A1041" s="3363" t="s">
        <v>5408</v>
      </c>
      <c r="B1041" s="3237" t="s">
        <v>4473</v>
      </c>
      <c r="C1041" s="3237" t="s">
        <v>4250</v>
      </c>
      <c r="D1041" s="3237" t="s">
        <v>4459</v>
      </c>
      <c r="E1041" s="3237" t="s">
        <v>4460</v>
      </c>
      <c r="F1041" s="3237" t="s">
        <v>4474</v>
      </c>
      <c r="G1041" s="3237" t="s">
        <v>3660</v>
      </c>
      <c r="H1041" s="3237" t="s">
        <v>3219</v>
      </c>
      <c r="I1041" s="3236" t="s">
        <v>4462</v>
      </c>
      <c r="J1041" s="3236">
        <v>29.09</v>
      </c>
    </row>
    <row r="1042" spans="1:10" ht="11.25" customHeight="1">
      <c r="A1042" s="3363" t="s">
        <v>5409</v>
      </c>
      <c r="B1042" s="3237" t="s">
        <v>4473</v>
      </c>
      <c r="C1042" s="3237" t="s">
        <v>4251</v>
      </c>
      <c r="D1042" s="3237" t="s">
        <v>4459</v>
      </c>
      <c r="E1042" s="3237" t="s">
        <v>4460</v>
      </c>
      <c r="F1042" s="3237" t="s">
        <v>4474</v>
      </c>
      <c r="G1042" s="3237" t="s">
        <v>3660</v>
      </c>
      <c r="H1042" s="3237" t="s">
        <v>3219</v>
      </c>
      <c r="I1042" s="3236" t="s">
        <v>4462</v>
      </c>
      <c r="J1042" s="3236">
        <v>29.09</v>
      </c>
    </row>
    <row r="1043" spans="1:10" ht="11.25" customHeight="1">
      <c r="A1043" s="3363" t="s">
        <v>5410</v>
      </c>
      <c r="B1043" s="3237" t="s">
        <v>4473</v>
      </c>
      <c r="C1043" s="3237" t="s">
        <v>4252</v>
      </c>
      <c r="D1043" s="3237" t="s">
        <v>4459</v>
      </c>
      <c r="E1043" s="3237" t="s">
        <v>4460</v>
      </c>
      <c r="F1043" s="3237" t="s">
        <v>4474</v>
      </c>
      <c r="G1043" s="3237" t="s">
        <v>3660</v>
      </c>
      <c r="H1043" s="3237" t="s">
        <v>3219</v>
      </c>
      <c r="I1043" s="3236" t="s">
        <v>4462</v>
      </c>
      <c r="J1043" s="3236">
        <v>29.09</v>
      </c>
    </row>
    <row r="1044" spans="1:10" ht="11.25" customHeight="1">
      <c r="A1044" s="3363" t="s">
        <v>5411</v>
      </c>
      <c r="B1044" s="3237" t="s">
        <v>4473</v>
      </c>
      <c r="C1044" s="3237" t="s">
        <v>4253</v>
      </c>
      <c r="D1044" s="3237" t="s">
        <v>4459</v>
      </c>
      <c r="E1044" s="3237" t="s">
        <v>4460</v>
      </c>
      <c r="F1044" s="3237" t="s">
        <v>4474</v>
      </c>
      <c r="G1044" s="3237" t="s">
        <v>3660</v>
      </c>
      <c r="H1044" s="3237" t="s">
        <v>3219</v>
      </c>
      <c r="I1044" s="3236" t="s">
        <v>4462</v>
      </c>
      <c r="J1044" s="3236">
        <v>29.09</v>
      </c>
    </row>
    <row r="1045" spans="1:10" ht="11.25" customHeight="1">
      <c r="A1045" s="3363" t="s">
        <v>5412</v>
      </c>
      <c r="B1045" s="3237" t="s">
        <v>4473</v>
      </c>
      <c r="C1045" s="3237" t="s">
        <v>4254</v>
      </c>
      <c r="D1045" s="3237" t="s">
        <v>4459</v>
      </c>
      <c r="E1045" s="3237" t="s">
        <v>4460</v>
      </c>
      <c r="F1045" s="3237" t="s">
        <v>4474</v>
      </c>
      <c r="G1045" s="3237" t="s">
        <v>3660</v>
      </c>
      <c r="H1045" s="3237" t="s">
        <v>3219</v>
      </c>
      <c r="I1045" s="3236" t="s">
        <v>4462</v>
      </c>
      <c r="J1045" s="3236">
        <v>29.09</v>
      </c>
    </row>
    <row r="1046" spans="1:10" ht="11.25" customHeight="1">
      <c r="A1046" s="3363" t="s">
        <v>5413</v>
      </c>
      <c r="B1046" s="3237" t="s">
        <v>4473</v>
      </c>
      <c r="C1046" s="3237" t="s">
        <v>4255</v>
      </c>
      <c r="D1046" s="3237" t="s">
        <v>4459</v>
      </c>
      <c r="E1046" s="3237" t="s">
        <v>4460</v>
      </c>
      <c r="F1046" s="3237" t="s">
        <v>4474</v>
      </c>
      <c r="G1046" s="3237" t="s">
        <v>3660</v>
      </c>
      <c r="H1046" s="3237" t="s">
        <v>3219</v>
      </c>
      <c r="I1046" s="3236" t="s">
        <v>4462</v>
      </c>
      <c r="J1046" s="3236">
        <v>29.09</v>
      </c>
    </row>
    <row r="1047" spans="1:10" ht="11.25" customHeight="1">
      <c r="A1047" s="3363" t="s">
        <v>5414</v>
      </c>
      <c r="B1047" s="3237" t="s">
        <v>4473</v>
      </c>
      <c r="C1047" s="3237" t="s">
        <v>4256</v>
      </c>
      <c r="D1047" s="3237" t="s">
        <v>4459</v>
      </c>
      <c r="E1047" s="3237" t="s">
        <v>4460</v>
      </c>
      <c r="F1047" s="3237" t="s">
        <v>4474</v>
      </c>
      <c r="G1047" s="3237" t="s">
        <v>3660</v>
      </c>
      <c r="H1047" s="3237" t="s">
        <v>3219</v>
      </c>
      <c r="I1047" s="3236" t="s">
        <v>4462</v>
      </c>
      <c r="J1047" s="3236">
        <v>29.09</v>
      </c>
    </row>
    <row r="1048" spans="1:10" ht="11.25" customHeight="1">
      <c r="A1048" s="3363" t="s">
        <v>5415</v>
      </c>
      <c r="B1048" s="3237" t="s">
        <v>4473</v>
      </c>
      <c r="C1048" s="3237" t="s">
        <v>4257</v>
      </c>
      <c r="D1048" s="3237" t="s">
        <v>4459</v>
      </c>
      <c r="E1048" s="3237" t="s">
        <v>4460</v>
      </c>
      <c r="F1048" s="3237" t="s">
        <v>4474</v>
      </c>
      <c r="G1048" s="3237" t="s">
        <v>3660</v>
      </c>
      <c r="H1048" s="3237" t="s">
        <v>3219</v>
      </c>
      <c r="I1048" s="3236" t="s">
        <v>4462</v>
      </c>
      <c r="J1048" s="3236">
        <v>29.09</v>
      </c>
    </row>
    <row r="1049" spans="1:10" ht="11.25" customHeight="1">
      <c r="A1049" s="3363" t="s">
        <v>5416</v>
      </c>
      <c r="B1049" s="3237" t="s">
        <v>4473</v>
      </c>
      <c r="C1049" s="3237" t="s">
        <v>4258</v>
      </c>
      <c r="D1049" s="3237" t="s">
        <v>4459</v>
      </c>
      <c r="E1049" s="3237" t="s">
        <v>4460</v>
      </c>
      <c r="F1049" s="3237" t="s">
        <v>4474</v>
      </c>
      <c r="G1049" s="3237" t="s">
        <v>3660</v>
      </c>
      <c r="H1049" s="3237" t="s">
        <v>3219</v>
      </c>
      <c r="I1049" s="3236" t="s">
        <v>4462</v>
      </c>
      <c r="J1049" s="3236">
        <v>29.09</v>
      </c>
    </row>
    <row r="1050" spans="1:10" ht="11.25" customHeight="1">
      <c r="A1050" s="3363" t="s">
        <v>5417</v>
      </c>
      <c r="B1050" s="3237" t="s">
        <v>4473</v>
      </c>
      <c r="C1050" s="3237" t="s">
        <v>4259</v>
      </c>
      <c r="D1050" s="3237" t="s">
        <v>4459</v>
      </c>
      <c r="E1050" s="3237" t="s">
        <v>4460</v>
      </c>
      <c r="F1050" s="3237" t="s">
        <v>4474</v>
      </c>
      <c r="G1050" s="3237" t="s">
        <v>3660</v>
      </c>
      <c r="H1050" s="3237" t="s">
        <v>3219</v>
      </c>
      <c r="I1050" s="3236" t="s">
        <v>4462</v>
      </c>
      <c r="J1050" s="3236">
        <v>29.09</v>
      </c>
    </row>
    <row r="1051" spans="1:10" ht="11.25" customHeight="1">
      <c r="A1051" s="3363" t="s">
        <v>5418</v>
      </c>
      <c r="B1051" s="3237" t="s">
        <v>4473</v>
      </c>
      <c r="C1051" s="3237" t="s">
        <v>4260</v>
      </c>
      <c r="D1051" s="3237" t="s">
        <v>4459</v>
      </c>
      <c r="E1051" s="3237" t="s">
        <v>4460</v>
      </c>
      <c r="F1051" s="3237" t="s">
        <v>4474</v>
      </c>
      <c r="G1051" s="3237" t="s">
        <v>3660</v>
      </c>
      <c r="H1051" s="3237" t="s">
        <v>3219</v>
      </c>
      <c r="I1051" s="3236" t="s">
        <v>4462</v>
      </c>
      <c r="J1051" s="3236">
        <v>29.09</v>
      </c>
    </row>
    <row r="1052" spans="1:10" ht="11.25" customHeight="1">
      <c r="A1052" s="3363" t="s">
        <v>5419</v>
      </c>
      <c r="B1052" s="3237" t="s">
        <v>4473</v>
      </c>
      <c r="C1052" s="3237" t="s">
        <v>4261</v>
      </c>
      <c r="D1052" s="3237" t="s">
        <v>4459</v>
      </c>
      <c r="E1052" s="3237" t="s">
        <v>4460</v>
      </c>
      <c r="F1052" s="3237" t="s">
        <v>4474</v>
      </c>
      <c r="G1052" s="3237" t="s">
        <v>3660</v>
      </c>
      <c r="H1052" s="3237" t="s">
        <v>3219</v>
      </c>
      <c r="I1052" s="3236" t="s">
        <v>4462</v>
      </c>
      <c r="J1052" s="3236">
        <v>29.09</v>
      </c>
    </row>
    <row r="1053" spans="1:10" ht="11.25" customHeight="1">
      <c r="A1053" s="3363" t="s">
        <v>5420</v>
      </c>
      <c r="B1053" s="3237" t="s">
        <v>4473</v>
      </c>
      <c r="C1053" s="3237" t="s">
        <v>4262</v>
      </c>
      <c r="D1053" s="3237" t="s">
        <v>4459</v>
      </c>
      <c r="E1053" s="3237" t="s">
        <v>4460</v>
      </c>
      <c r="F1053" s="3237" t="s">
        <v>4474</v>
      </c>
      <c r="G1053" s="3237" t="s">
        <v>3660</v>
      </c>
      <c r="H1053" s="3237" t="s">
        <v>3219</v>
      </c>
      <c r="I1053" s="3236" t="s">
        <v>4462</v>
      </c>
      <c r="J1053" s="3236">
        <v>29.09</v>
      </c>
    </row>
    <row r="1054" spans="1:10" ht="11.25" customHeight="1">
      <c r="A1054" s="3363" t="s">
        <v>5421</v>
      </c>
      <c r="B1054" s="3237" t="s">
        <v>4473</v>
      </c>
      <c r="C1054" s="3237" t="s">
        <v>4263</v>
      </c>
      <c r="D1054" s="3237" t="s">
        <v>4459</v>
      </c>
      <c r="E1054" s="3237" t="s">
        <v>4460</v>
      </c>
      <c r="F1054" s="3237" t="s">
        <v>4474</v>
      </c>
      <c r="G1054" s="3237" t="s">
        <v>3660</v>
      </c>
      <c r="H1054" s="3237" t="s">
        <v>3219</v>
      </c>
      <c r="I1054" s="3236" t="s">
        <v>4462</v>
      </c>
      <c r="J1054" s="3236">
        <v>29.09</v>
      </c>
    </row>
    <row r="1055" spans="1:10" ht="11.25" customHeight="1">
      <c r="A1055" s="3363" t="s">
        <v>5422</v>
      </c>
      <c r="B1055" s="3237" t="s">
        <v>4473</v>
      </c>
      <c r="C1055" s="3237" t="s">
        <v>4264</v>
      </c>
      <c r="D1055" s="3237" t="s">
        <v>4459</v>
      </c>
      <c r="E1055" s="3237" t="s">
        <v>4460</v>
      </c>
      <c r="F1055" s="3237" t="s">
        <v>4474</v>
      </c>
      <c r="G1055" s="3237" t="s">
        <v>3660</v>
      </c>
      <c r="H1055" s="3237" t="s">
        <v>3219</v>
      </c>
      <c r="I1055" s="3236" t="s">
        <v>4462</v>
      </c>
      <c r="J1055" s="3236">
        <v>29.09</v>
      </c>
    </row>
    <row r="1056" spans="1:10" ht="11.25" customHeight="1">
      <c r="A1056" s="3363" t="s">
        <v>5423</v>
      </c>
      <c r="B1056" s="3237" t="s">
        <v>4473</v>
      </c>
      <c r="C1056" s="3237" t="s">
        <v>4265</v>
      </c>
      <c r="D1056" s="3237" t="s">
        <v>4459</v>
      </c>
      <c r="E1056" s="3237" t="s">
        <v>4460</v>
      </c>
      <c r="F1056" s="3237" t="s">
        <v>4474</v>
      </c>
      <c r="G1056" s="3237" t="s">
        <v>3660</v>
      </c>
      <c r="H1056" s="3237" t="s">
        <v>3219</v>
      </c>
      <c r="I1056" s="3236" t="s">
        <v>4462</v>
      </c>
      <c r="J1056" s="3236">
        <v>29.09</v>
      </c>
    </row>
    <row r="1057" spans="1:10" ht="11.25" customHeight="1">
      <c r="A1057" s="3363" t="s">
        <v>5424</v>
      </c>
      <c r="B1057" s="3237" t="s">
        <v>4473</v>
      </c>
      <c r="C1057" s="3237" t="s">
        <v>4266</v>
      </c>
      <c r="D1057" s="3237" t="s">
        <v>4459</v>
      </c>
      <c r="E1057" s="3237" t="s">
        <v>4460</v>
      </c>
      <c r="F1057" s="3237" t="s">
        <v>4474</v>
      </c>
      <c r="G1057" s="3237" t="s">
        <v>3660</v>
      </c>
      <c r="H1057" s="3237" t="s">
        <v>3219</v>
      </c>
      <c r="I1057" s="3236" t="s">
        <v>4462</v>
      </c>
      <c r="J1057" s="3236">
        <v>29.09</v>
      </c>
    </row>
    <row r="1058" spans="1:10" ht="11.25" customHeight="1">
      <c r="A1058" s="3363" t="s">
        <v>5425</v>
      </c>
      <c r="B1058" s="3237" t="s">
        <v>4473</v>
      </c>
      <c r="C1058" s="3237" t="s">
        <v>4267</v>
      </c>
      <c r="D1058" s="3237" t="s">
        <v>4459</v>
      </c>
      <c r="E1058" s="3237" t="s">
        <v>4460</v>
      </c>
      <c r="F1058" s="3237" t="s">
        <v>4474</v>
      </c>
      <c r="G1058" s="3237" t="s">
        <v>3660</v>
      </c>
      <c r="H1058" s="3237" t="s">
        <v>3219</v>
      </c>
      <c r="I1058" s="3236" t="s">
        <v>4462</v>
      </c>
      <c r="J1058" s="3236">
        <v>29.09</v>
      </c>
    </row>
    <row r="1059" spans="1:10" ht="11.25" customHeight="1">
      <c r="A1059" s="3363" t="s">
        <v>5426</v>
      </c>
      <c r="B1059" s="3237" t="s">
        <v>4473</v>
      </c>
      <c r="C1059" s="3237" t="s">
        <v>4268</v>
      </c>
      <c r="D1059" s="3237" t="s">
        <v>4459</v>
      </c>
      <c r="E1059" s="3237" t="s">
        <v>4460</v>
      </c>
      <c r="F1059" s="3237" t="s">
        <v>4474</v>
      </c>
      <c r="G1059" s="3237" t="s">
        <v>3660</v>
      </c>
      <c r="H1059" s="3237" t="s">
        <v>3219</v>
      </c>
      <c r="I1059" s="3236" t="s">
        <v>4462</v>
      </c>
      <c r="J1059" s="3236">
        <v>29.09</v>
      </c>
    </row>
    <row r="1060" spans="1:10" ht="11.25" customHeight="1">
      <c r="A1060" s="3363" t="s">
        <v>5427</v>
      </c>
      <c r="B1060" s="3237" t="s">
        <v>4473</v>
      </c>
      <c r="C1060" s="3237" t="s">
        <v>4269</v>
      </c>
      <c r="D1060" s="3237" t="s">
        <v>4459</v>
      </c>
      <c r="E1060" s="3237" t="s">
        <v>4460</v>
      </c>
      <c r="F1060" s="3237" t="s">
        <v>4474</v>
      </c>
      <c r="G1060" s="3237" t="s">
        <v>3660</v>
      </c>
      <c r="H1060" s="3237" t="s">
        <v>3219</v>
      </c>
      <c r="I1060" s="3236" t="s">
        <v>4462</v>
      </c>
      <c r="J1060" s="3236">
        <v>29.09</v>
      </c>
    </row>
    <row r="1061" spans="1:10" ht="11.25" customHeight="1">
      <c r="A1061" s="3363" t="s">
        <v>5428</v>
      </c>
      <c r="B1061" s="3237" t="s">
        <v>4473</v>
      </c>
      <c r="C1061" s="3237" t="s">
        <v>4270</v>
      </c>
      <c r="D1061" s="3237" t="s">
        <v>4459</v>
      </c>
      <c r="E1061" s="3237" t="s">
        <v>4460</v>
      </c>
      <c r="F1061" s="3237" t="s">
        <v>4474</v>
      </c>
      <c r="G1061" s="3237" t="s">
        <v>3660</v>
      </c>
      <c r="H1061" s="3237" t="s">
        <v>3219</v>
      </c>
      <c r="I1061" s="3236" t="s">
        <v>4462</v>
      </c>
      <c r="J1061" s="3236">
        <v>29.09</v>
      </c>
    </row>
    <row r="1062" spans="1:10" ht="11.25" customHeight="1">
      <c r="A1062" s="3363" t="s">
        <v>5429</v>
      </c>
      <c r="B1062" s="3237" t="s">
        <v>4473</v>
      </c>
      <c r="C1062" s="3237" t="s">
        <v>4271</v>
      </c>
      <c r="D1062" s="3237" t="s">
        <v>4459</v>
      </c>
      <c r="E1062" s="3237" t="s">
        <v>4460</v>
      </c>
      <c r="F1062" s="3237" t="s">
        <v>4474</v>
      </c>
      <c r="G1062" s="3237" t="s">
        <v>3660</v>
      </c>
      <c r="H1062" s="3237" t="s">
        <v>3219</v>
      </c>
      <c r="I1062" s="3236" t="s">
        <v>4462</v>
      </c>
      <c r="J1062" s="3236">
        <v>29.09</v>
      </c>
    </row>
    <row r="1063" spans="1:10" ht="11.25" customHeight="1">
      <c r="A1063" s="3363" t="s">
        <v>5430</v>
      </c>
      <c r="B1063" s="3237" t="s">
        <v>4473</v>
      </c>
      <c r="C1063" s="3237" t="s">
        <v>4272</v>
      </c>
      <c r="D1063" s="3237" t="s">
        <v>4459</v>
      </c>
      <c r="E1063" s="3237" t="s">
        <v>4460</v>
      </c>
      <c r="F1063" s="3237" t="s">
        <v>4474</v>
      </c>
      <c r="G1063" s="3237" t="s">
        <v>3660</v>
      </c>
      <c r="H1063" s="3237" t="s">
        <v>3219</v>
      </c>
      <c r="I1063" s="3236" t="s">
        <v>4462</v>
      </c>
      <c r="J1063" s="3236">
        <v>29.09</v>
      </c>
    </row>
    <row r="1064" spans="1:10" ht="11.25" customHeight="1">
      <c r="A1064" s="3363" t="s">
        <v>5431</v>
      </c>
      <c r="B1064" s="3237" t="s">
        <v>4473</v>
      </c>
      <c r="C1064" s="3237" t="s">
        <v>4273</v>
      </c>
      <c r="D1064" s="3237" t="s">
        <v>4459</v>
      </c>
      <c r="E1064" s="3237" t="s">
        <v>4460</v>
      </c>
      <c r="F1064" s="3237" t="s">
        <v>4474</v>
      </c>
      <c r="G1064" s="3237" t="s">
        <v>3660</v>
      </c>
      <c r="H1064" s="3237" t="s">
        <v>3219</v>
      </c>
      <c r="I1064" s="3236" t="s">
        <v>4462</v>
      </c>
      <c r="J1064" s="3236">
        <v>29.09</v>
      </c>
    </row>
    <row r="1065" spans="1:10" ht="11.25" customHeight="1">
      <c r="A1065" s="3363" t="s">
        <v>5432</v>
      </c>
      <c r="B1065" s="3237" t="s">
        <v>4473</v>
      </c>
      <c r="C1065" s="3237" t="s">
        <v>4274</v>
      </c>
      <c r="D1065" s="3237" t="s">
        <v>4459</v>
      </c>
      <c r="E1065" s="3237" t="s">
        <v>4460</v>
      </c>
      <c r="F1065" s="3237" t="s">
        <v>4474</v>
      </c>
      <c r="G1065" s="3237" t="s">
        <v>3660</v>
      </c>
      <c r="H1065" s="3237" t="s">
        <v>3219</v>
      </c>
      <c r="I1065" s="3236" t="s">
        <v>4462</v>
      </c>
      <c r="J1065" s="3236">
        <v>29.09</v>
      </c>
    </row>
    <row r="1066" spans="1:10" ht="11.25" customHeight="1">
      <c r="A1066" s="3363" t="s">
        <v>5433</v>
      </c>
      <c r="B1066" s="3237" t="s">
        <v>4473</v>
      </c>
      <c r="C1066" s="3237" t="s">
        <v>4275</v>
      </c>
      <c r="D1066" s="3237" t="s">
        <v>4459</v>
      </c>
      <c r="E1066" s="3237" t="s">
        <v>4460</v>
      </c>
      <c r="F1066" s="3237" t="s">
        <v>4474</v>
      </c>
      <c r="G1066" s="3237" t="s">
        <v>3660</v>
      </c>
      <c r="H1066" s="3237" t="s">
        <v>3219</v>
      </c>
      <c r="I1066" s="3236" t="s">
        <v>4462</v>
      </c>
      <c r="J1066" s="3236">
        <v>29.09</v>
      </c>
    </row>
    <row r="1067" spans="1:10" ht="11.25" customHeight="1">
      <c r="A1067" s="3363" t="s">
        <v>5434</v>
      </c>
      <c r="B1067" s="3237" t="s">
        <v>4473</v>
      </c>
      <c r="C1067" s="3237" t="s">
        <v>4276</v>
      </c>
      <c r="D1067" s="3237" t="s">
        <v>4459</v>
      </c>
      <c r="E1067" s="3237" t="s">
        <v>4460</v>
      </c>
      <c r="F1067" s="3237" t="s">
        <v>4474</v>
      </c>
      <c r="G1067" s="3237" t="s">
        <v>3660</v>
      </c>
      <c r="H1067" s="3237" t="s">
        <v>3219</v>
      </c>
      <c r="I1067" s="3236" t="s">
        <v>4462</v>
      </c>
      <c r="J1067" s="3236">
        <v>29.09</v>
      </c>
    </row>
    <row r="1068" spans="1:10" ht="11.25" customHeight="1">
      <c r="A1068" s="3363" t="s">
        <v>5435</v>
      </c>
      <c r="B1068" s="3237" t="s">
        <v>4473</v>
      </c>
      <c r="C1068" s="3237" t="s">
        <v>4277</v>
      </c>
      <c r="D1068" s="3237" t="s">
        <v>4459</v>
      </c>
      <c r="E1068" s="3237" t="s">
        <v>4460</v>
      </c>
      <c r="F1068" s="3237" t="s">
        <v>4474</v>
      </c>
      <c r="G1068" s="3237" t="s">
        <v>3660</v>
      </c>
      <c r="H1068" s="3237" t="s">
        <v>3219</v>
      </c>
      <c r="I1068" s="3236" t="s">
        <v>4462</v>
      </c>
      <c r="J1068" s="3236">
        <v>29.09</v>
      </c>
    </row>
    <row r="1069" spans="1:10" ht="11.25" customHeight="1">
      <c r="A1069" s="3363" t="s">
        <v>5436</v>
      </c>
      <c r="B1069" s="3237" t="s">
        <v>4473</v>
      </c>
      <c r="C1069" s="3237" t="s">
        <v>4278</v>
      </c>
      <c r="D1069" s="3237" t="s">
        <v>4459</v>
      </c>
      <c r="E1069" s="3237" t="s">
        <v>4460</v>
      </c>
      <c r="F1069" s="3237" t="s">
        <v>4474</v>
      </c>
      <c r="G1069" s="3237" t="s">
        <v>3660</v>
      </c>
      <c r="H1069" s="3237" t="s">
        <v>3219</v>
      </c>
      <c r="I1069" s="3236" t="s">
        <v>4462</v>
      </c>
      <c r="J1069" s="3236">
        <v>29.09</v>
      </c>
    </row>
    <row r="1070" spans="1:10" ht="11.25" customHeight="1">
      <c r="A1070" s="3363" t="s">
        <v>5437</v>
      </c>
      <c r="B1070" s="3237" t="s">
        <v>4473</v>
      </c>
      <c r="C1070" s="3237" t="s">
        <v>4279</v>
      </c>
      <c r="D1070" s="3237" t="s">
        <v>4459</v>
      </c>
      <c r="E1070" s="3237" t="s">
        <v>4460</v>
      </c>
      <c r="F1070" s="3237" t="s">
        <v>4474</v>
      </c>
      <c r="G1070" s="3237" t="s">
        <v>3660</v>
      </c>
      <c r="H1070" s="3237" t="s">
        <v>3219</v>
      </c>
      <c r="I1070" s="3236" t="s">
        <v>4462</v>
      </c>
      <c r="J1070" s="3236">
        <v>29.09</v>
      </c>
    </row>
    <row r="1071" spans="1:10" ht="11.25" customHeight="1">
      <c r="A1071" s="3363" t="s">
        <v>5438</v>
      </c>
      <c r="B1071" s="3237" t="s">
        <v>4473</v>
      </c>
      <c r="C1071" s="3237" t="s">
        <v>4280</v>
      </c>
      <c r="D1071" s="3237" t="s">
        <v>4459</v>
      </c>
      <c r="E1071" s="3237" t="s">
        <v>4460</v>
      </c>
      <c r="F1071" s="3237" t="s">
        <v>4474</v>
      </c>
      <c r="G1071" s="3237" t="s">
        <v>3660</v>
      </c>
      <c r="H1071" s="3237" t="s">
        <v>3219</v>
      </c>
      <c r="I1071" s="3236" t="s">
        <v>4462</v>
      </c>
      <c r="J1071" s="3236">
        <v>29.09</v>
      </c>
    </row>
    <row r="1072" spans="1:10" ht="11.25" customHeight="1">
      <c r="A1072" s="3363" t="s">
        <v>5439</v>
      </c>
      <c r="B1072" s="3237" t="s">
        <v>4473</v>
      </c>
      <c r="C1072" s="3237" t="s">
        <v>4281</v>
      </c>
      <c r="D1072" s="3237" t="s">
        <v>4459</v>
      </c>
      <c r="E1072" s="3237" t="s">
        <v>4460</v>
      </c>
      <c r="F1072" s="3237" t="s">
        <v>4474</v>
      </c>
      <c r="G1072" s="3237" t="s">
        <v>3660</v>
      </c>
      <c r="H1072" s="3237" t="s">
        <v>3219</v>
      </c>
      <c r="I1072" s="3236" t="s">
        <v>4462</v>
      </c>
      <c r="J1072" s="3236">
        <v>29.09</v>
      </c>
    </row>
    <row r="1073" spans="1:10" ht="11.25" customHeight="1">
      <c r="A1073" s="3363" t="s">
        <v>5440</v>
      </c>
      <c r="B1073" s="3237" t="s">
        <v>4473</v>
      </c>
      <c r="C1073" s="3237" t="s">
        <v>4282</v>
      </c>
      <c r="D1073" s="3237" t="s">
        <v>4459</v>
      </c>
      <c r="E1073" s="3237" t="s">
        <v>4460</v>
      </c>
      <c r="F1073" s="3237" t="s">
        <v>4474</v>
      </c>
      <c r="G1073" s="3237" t="s">
        <v>3660</v>
      </c>
      <c r="H1073" s="3237" t="s">
        <v>3219</v>
      </c>
      <c r="I1073" s="3236" t="s">
        <v>4462</v>
      </c>
      <c r="J1073" s="3236">
        <v>29.09</v>
      </c>
    </row>
    <row r="1074" spans="1:10" ht="11.25" customHeight="1">
      <c r="A1074" s="3363" t="s">
        <v>5441</v>
      </c>
      <c r="B1074" s="3237" t="s">
        <v>4473</v>
      </c>
      <c r="C1074" s="3237" t="s">
        <v>4283</v>
      </c>
      <c r="D1074" s="3237" t="s">
        <v>4459</v>
      </c>
      <c r="E1074" s="3237" t="s">
        <v>4460</v>
      </c>
      <c r="F1074" s="3237" t="s">
        <v>4474</v>
      </c>
      <c r="G1074" s="3237" t="s">
        <v>3660</v>
      </c>
      <c r="H1074" s="3237" t="s">
        <v>3219</v>
      </c>
      <c r="I1074" s="3236" t="s">
        <v>4462</v>
      </c>
      <c r="J1074" s="3236">
        <v>29.09</v>
      </c>
    </row>
    <row r="1075" spans="1:10" ht="11.25" customHeight="1">
      <c r="A1075" s="3363" t="s">
        <v>5442</v>
      </c>
      <c r="B1075" s="3237" t="s">
        <v>4473</v>
      </c>
      <c r="C1075" s="3237" t="s">
        <v>4284</v>
      </c>
      <c r="D1075" s="3237" t="s">
        <v>4459</v>
      </c>
      <c r="E1075" s="3237" t="s">
        <v>4460</v>
      </c>
      <c r="F1075" s="3237" t="s">
        <v>4474</v>
      </c>
      <c r="G1075" s="3237" t="s">
        <v>3660</v>
      </c>
      <c r="H1075" s="3237" t="s">
        <v>3219</v>
      </c>
      <c r="I1075" s="3236" t="s">
        <v>4462</v>
      </c>
      <c r="J1075" s="3236">
        <v>29.09</v>
      </c>
    </row>
    <row r="1076" spans="1:10" ht="11.25" customHeight="1">
      <c r="A1076" s="3363" t="s">
        <v>5443</v>
      </c>
      <c r="B1076" s="3237" t="s">
        <v>4473</v>
      </c>
      <c r="C1076" s="3237" t="s">
        <v>4285</v>
      </c>
      <c r="D1076" s="3237" t="s">
        <v>4459</v>
      </c>
      <c r="E1076" s="3237" t="s">
        <v>4460</v>
      </c>
      <c r="F1076" s="3237" t="s">
        <v>4474</v>
      </c>
      <c r="G1076" s="3237" t="s">
        <v>3660</v>
      </c>
      <c r="H1076" s="3237" t="s">
        <v>3219</v>
      </c>
      <c r="I1076" s="3236" t="s">
        <v>4462</v>
      </c>
      <c r="J1076" s="3236">
        <v>29.09</v>
      </c>
    </row>
    <row r="1077" spans="1:10" ht="11.25" customHeight="1">
      <c r="A1077" s="3363" t="s">
        <v>5444</v>
      </c>
      <c r="B1077" s="3237" t="s">
        <v>4473</v>
      </c>
      <c r="C1077" s="3237" t="s">
        <v>4286</v>
      </c>
      <c r="D1077" s="3237" t="s">
        <v>4459</v>
      </c>
      <c r="E1077" s="3237" t="s">
        <v>4460</v>
      </c>
      <c r="F1077" s="3237" t="s">
        <v>4474</v>
      </c>
      <c r="G1077" s="3237" t="s">
        <v>3660</v>
      </c>
      <c r="H1077" s="3237" t="s">
        <v>3219</v>
      </c>
      <c r="I1077" s="3236" t="s">
        <v>4462</v>
      </c>
      <c r="J1077" s="3236">
        <v>29.09</v>
      </c>
    </row>
    <row r="1078" spans="1:10" ht="11.25" customHeight="1">
      <c r="A1078" s="3363" t="s">
        <v>5445</v>
      </c>
      <c r="B1078" s="3237" t="s">
        <v>4473</v>
      </c>
      <c r="C1078" s="3237" t="s">
        <v>4287</v>
      </c>
      <c r="D1078" s="3237" t="s">
        <v>4459</v>
      </c>
      <c r="E1078" s="3237" t="s">
        <v>4460</v>
      </c>
      <c r="F1078" s="3237" t="s">
        <v>4474</v>
      </c>
      <c r="G1078" s="3237" t="s">
        <v>3660</v>
      </c>
      <c r="H1078" s="3237" t="s">
        <v>3219</v>
      </c>
      <c r="I1078" s="3236" t="s">
        <v>4462</v>
      </c>
      <c r="J1078" s="3236">
        <v>29.09</v>
      </c>
    </row>
    <row r="1079" spans="1:10" ht="11.25" customHeight="1">
      <c r="A1079" s="3363" t="s">
        <v>5446</v>
      </c>
      <c r="B1079" s="3237" t="s">
        <v>4473</v>
      </c>
      <c r="C1079" s="3237" t="s">
        <v>4288</v>
      </c>
      <c r="D1079" s="3237" t="s">
        <v>4459</v>
      </c>
      <c r="E1079" s="3237" t="s">
        <v>4460</v>
      </c>
      <c r="F1079" s="3237" t="s">
        <v>4474</v>
      </c>
      <c r="G1079" s="3237" t="s">
        <v>3660</v>
      </c>
      <c r="H1079" s="3237" t="s">
        <v>3219</v>
      </c>
      <c r="I1079" s="3236" t="s">
        <v>4462</v>
      </c>
      <c r="J1079" s="3236">
        <v>29.09</v>
      </c>
    </row>
    <row r="1080" spans="1:10" ht="11.25" customHeight="1">
      <c r="A1080" s="3363" t="s">
        <v>5447</v>
      </c>
      <c r="B1080" s="3237" t="s">
        <v>4473</v>
      </c>
      <c r="C1080" s="3237" t="s">
        <v>4289</v>
      </c>
      <c r="D1080" s="3237" t="s">
        <v>4459</v>
      </c>
      <c r="E1080" s="3237" t="s">
        <v>4460</v>
      </c>
      <c r="F1080" s="3237" t="s">
        <v>4474</v>
      </c>
      <c r="G1080" s="3237" t="s">
        <v>3660</v>
      </c>
      <c r="H1080" s="3237" t="s">
        <v>3219</v>
      </c>
      <c r="I1080" s="3236" t="s">
        <v>4462</v>
      </c>
      <c r="J1080" s="3236">
        <v>29.09</v>
      </c>
    </row>
    <row r="1081" spans="1:10" ht="11.25" customHeight="1">
      <c r="A1081" s="3363" t="s">
        <v>5448</v>
      </c>
      <c r="B1081" s="3237" t="s">
        <v>4473</v>
      </c>
      <c r="C1081" s="3237" t="s">
        <v>4290</v>
      </c>
      <c r="D1081" s="3237" t="s">
        <v>4459</v>
      </c>
      <c r="E1081" s="3237" t="s">
        <v>4460</v>
      </c>
      <c r="F1081" s="3237" t="s">
        <v>4474</v>
      </c>
      <c r="G1081" s="3237" t="s">
        <v>3660</v>
      </c>
      <c r="H1081" s="3237" t="s">
        <v>3219</v>
      </c>
      <c r="I1081" s="3236" t="s">
        <v>4462</v>
      </c>
      <c r="J1081" s="3236">
        <v>29.09</v>
      </c>
    </row>
    <row r="1082" spans="1:10" ht="11.25" customHeight="1">
      <c r="A1082" s="3363" t="s">
        <v>5449</v>
      </c>
      <c r="B1082" s="3237" t="s">
        <v>4473</v>
      </c>
      <c r="C1082" s="3237" t="s">
        <v>4291</v>
      </c>
      <c r="D1082" s="3237" t="s">
        <v>4459</v>
      </c>
      <c r="E1082" s="3237" t="s">
        <v>4460</v>
      </c>
      <c r="F1082" s="3237" t="s">
        <v>4474</v>
      </c>
      <c r="G1082" s="3237" t="s">
        <v>3660</v>
      </c>
      <c r="H1082" s="3237" t="s">
        <v>3219</v>
      </c>
      <c r="I1082" s="3236" t="s">
        <v>4462</v>
      </c>
      <c r="J1082" s="3236">
        <v>29.09</v>
      </c>
    </row>
    <row r="1083" spans="1:10" ht="11.25" customHeight="1">
      <c r="A1083" s="3363" t="s">
        <v>5450</v>
      </c>
      <c r="B1083" s="3237" t="s">
        <v>4473</v>
      </c>
      <c r="C1083" s="3237" t="s">
        <v>4292</v>
      </c>
      <c r="D1083" s="3237" t="s">
        <v>4459</v>
      </c>
      <c r="E1083" s="3237" t="s">
        <v>4460</v>
      </c>
      <c r="F1083" s="3237" t="s">
        <v>4474</v>
      </c>
      <c r="G1083" s="3237" t="s">
        <v>3660</v>
      </c>
      <c r="H1083" s="3237" t="s">
        <v>3219</v>
      </c>
      <c r="I1083" s="3236" t="s">
        <v>4462</v>
      </c>
      <c r="J1083" s="3236">
        <v>29.09</v>
      </c>
    </row>
    <row r="1084" spans="1:10" ht="11.25" customHeight="1">
      <c r="A1084" s="3363" t="s">
        <v>5451</v>
      </c>
      <c r="B1084" s="3237" t="s">
        <v>4473</v>
      </c>
      <c r="C1084" s="3237" t="s">
        <v>4293</v>
      </c>
      <c r="D1084" s="3237" t="s">
        <v>4459</v>
      </c>
      <c r="E1084" s="3237" t="s">
        <v>4460</v>
      </c>
      <c r="F1084" s="3237" t="s">
        <v>4474</v>
      </c>
      <c r="G1084" s="3237" t="s">
        <v>3660</v>
      </c>
      <c r="H1084" s="3237" t="s">
        <v>3219</v>
      </c>
      <c r="I1084" s="3236" t="s">
        <v>4462</v>
      </c>
      <c r="J1084" s="3236">
        <v>29.09</v>
      </c>
    </row>
    <row r="1085" spans="1:10" ht="11.25" customHeight="1">
      <c r="A1085" s="3363" t="s">
        <v>5452</v>
      </c>
      <c r="B1085" s="3237" t="s">
        <v>4473</v>
      </c>
      <c r="C1085" s="3237" t="s">
        <v>4294</v>
      </c>
      <c r="D1085" s="3237" t="s">
        <v>4459</v>
      </c>
      <c r="E1085" s="3237" t="s">
        <v>4460</v>
      </c>
      <c r="F1085" s="3237" t="s">
        <v>4474</v>
      </c>
      <c r="G1085" s="3237" t="s">
        <v>3660</v>
      </c>
      <c r="H1085" s="3237" t="s">
        <v>3219</v>
      </c>
      <c r="I1085" s="3236" t="s">
        <v>4462</v>
      </c>
      <c r="J1085" s="3236">
        <v>29.09</v>
      </c>
    </row>
    <row r="1086" spans="1:10" ht="11.25" customHeight="1">
      <c r="A1086" s="3363" t="s">
        <v>5453</v>
      </c>
      <c r="B1086" s="3237" t="s">
        <v>4473</v>
      </c>
      <c r="C1086" s="3237" t="s">
        <v>4295</v>
      </c>
      <c r="D1086" s="3237" t="s">
        <v>4459</v>
      </c>
      <c r="E1086" s="3237" t="s">
        <v>4460</v>
      </c>
      <c r="F1086" s="3237" t="s">
        <v>4474</v>
      </c>
      <c r="G1086" s="3237" t="s">
        <v>3660</v>
      </c>
      <c r="H1086" s="3237" t="s">
        <v>3219</v>
      </c>
      <c r="I1086" s="3236" t="s">
        <v>4462</v>
      </c>
      <c r="J1086" s="3236">
        <v>29.09</v>
      </c>
    </row>
    <row r="1087" spans="1:10" ht="11.25" customHeight="1">
      <c r="A1087" s="3363" t="s">
        <v>5454</v>
      </c>
      <c r="B1087" s="3237" t="s">
        <v>4473</v>
      </c>
      <c r="C1087" s="3237" t="s">
        <v>4296</v>
      </c>
      <c r="D1087" s="3237" t="s">
        <v>4459</v>
      </c>
      <c r="E1087" s="3237" t="s">
        <v>4460</v>
      </c>
      <c r="F1087" s="3237" t="s">
        <v>4474</v>
      </c>
      <c r="G1087" s="3237" t="s">
        <v>3660</v>
      </c>
      <c r="H1087" s="3237" t="s">
        <v>3219</v>
      </c>
      <c r="I1087" s="3236" t="s">
        <v>4462</v>
      </c>
      <c r="J1087" s="3236">
        <v>29.09</v>
      </c>
    </row>
    <row r="1088" spans="1:10" ht="11.25" customHeight="1">
      <c r="A1088" s="3363" t="s">
        <v>5455</v>
      </c>
      <c r="B1088" s="3237" t="s">
        <v>4473</v>
      </c>
      <c r="C1088" s="3237" t="s">
        <v>4297</v>
      </c>
      <c r="D1088" s="3237" t="s">
        <v>4459</v>
      </c>
      <c r="E1088" s="3237" t="s">
        <v>4460</v>
      </c>
      <c r="F1088" s="3237" t="s">
        <v>4474</v>
      </c>
      <c r="G1088" s="3237" t="s">
        <v>3660</v>
      </c>
      <c r="H1088" s="3237" t="s">
        <v>3219</v>
      </c>
      <c r="I1088" s="3236" t="s">
        <v>4462</v>
      </c>
      <c r="J1088" s="3236">
        <v>29.09</v>
      </c>
    </row>
    <row r="1089" spans="1:10" ht="11.25" customHeight="1">
      <c r="A1089" s="3363" t="s">
        <v>5456</v>
      </c>
      <c r="B1089" s="3237" t="s">
        <v>4473</v>
      </c>
      <c r="C1089" s="3237" t="s">
        <v>4298</v>
      </c>
      <c r="D1089" s="3237" t="s">
        <v>4459</v>
      </c>
      <c r="E1089" s="3237" t="s">
        <v>4460</v>
      </c>
      <c r="F1089" s="3237" t="s">
        <v>4474</v>
      </c>
      <c r="G1089" s="3237" t="s">
        <v>3660</v>
      </c>
      <c r="H1089" s="3237" t="s">
        <v>3219</v>
      </c>
      <c r="I1089" s="3236" t="s">
        <v>4462</v>
      </c>
      <c r="J1089" s="3236">
        <v>29.09</v>
      </c>
    </row>
    <row r="1090" spans="1:10" ht="11.25" customHeight="1">
      <c r="A1090" s="3363" t="s">
        <v>5457</v>
      </c>
      <c r="B1090" s="3237" t="s">
        <v>4473</v>
      </c>
      <c r="C1090" s="3237" t="s">
        <v>4299</v>
      </c>
      <c r="D1090" s="3237" t="s">
        <v>4459</v>
      </c>
      <c r="E1090" s="3237" t="s">
        <v>4460</v>
      </c>
      <c r="F1090" s="3237" t="s">
        <v>4474</v>
      </c>
      <c r="G1090" s="3237" t="s">
        <v>3660</v>
      </c>
      <c r="H1090" s="3237" t="s">
        <v>3219</v>
      </c>
      <c r="I1090" s="3236" t="s">
        <v>4462</v>
      </c>
      <c r="J1090" s="3236">
        <v>29.09</v>
      </c>
    </row>
    <row r="1091" spans="1:10" ht="11.25" customHeight="1">
      <c r="A1091" s="3363" t="s">
        <v>5458</v>
      </c>
      <c r="B1091" s="3237" t="s">
        <v>4473</v>
      </c>
      <c r="C1091" s="3237" t="s">
        <v>4300</v>
      </c>
      <c r="D1091" s="3237" t="s">
        <v>4459</v>
      </c>
      <c r="E1091" s="3237" t="s">
        <v>4460</v>
      </c>
      <c r="F1091" s="3237" t="s">
        <v>4474</v>
      </c>
      <c r="G1091" s="3237" t="s">
        <v>3660</v>
      </c>
      <c r="H1091" s="3237" t="s">
        <v>3219</v>
      </c>
      <c r="I1091" s="3236" t="s">
        <v>4462</v>
      </c>
      <c r="J1091" s="3236">
        <v>29.09</v>
      </c>
    </row>
    <row r="1092" spans="1:10" ht="11.25" customHeight="1">
      <c r="A1092" s="3363" t="s">
        <v>5459</v>
      </c>
      <c r="B1092" s="3237" t="s">
        <v>4473</v>
      </c>
      <c r="C1092" s="3237" t="s">
        <v>4301</v>
      </c>
      <c r="D1092" s="3237" t="s">
        <v>4459</v>
      </c>
      <c r="E1092" s="3237" t="s">
        <v>4460</v>
      </c>
      <c r="F1092" s="3237" t="s">
        <v>4474</v>
      </c>
      <c r="G1092" s="3237" t="s">
        <v>3660</v>
      </c>
      <c r="H1092" s="3237" t="s">
        <v>3219</v>
      </c>
      <c r="I1092" s="3236" t="s">
        <v>4462</v>
      </c>
      <c r="J1092" s="3236">
        <v>29.09</v>
      </c>
    </row>
    <row r="1093" spans="1:10" ht="11.25" customHeight="1">
      <c r="A1093" s="3363" t="s">
        <v>5460</v>
      </c>
      <c r="B1093" s="3237" t="s">
        <v>4473</v>
      </c>
      <c r="C1093" s="3237" t="s">
        <v>4302</v>
      </c>
      <c r="D1093" s="3237" t="s">
        <v>4459</v>
      </c>
      <c r="E1093" s="3237" t="s">
        <v>4460</v>
      </c>
      <c r="F1093" s="3237" t="s">
        <v>4474</v>
      </c>
      <c r="G1093" s="3237" t="s">
        <v>3660</v>
      </c>
      <c r="H1093" s="3237" t="s">
        <v>3219</v>
      </c>
      <c r="I1093" s="3236" t="s">
        <v>4462</v>
      </c>
      <c r="J1093" s="3236">
        <v>29.09</v>
      </c>
    </row>
    <row r="1094" spans="1:10" ht="11.25" customHeight="1">
      <c r="A1094" s="3363" t="s">
        <v>5461</v>
      </c>
      <c r="B1094" s="3237" t="s">
        <v>4473</v>
      </c>
      <c r="C1094" s="3237" t="s">
        <v>4303</v>
      </c>
      <c r="D1094" s="3237" t="s">
        <v>4459</v>
      </c>
      <c r="E1094" s="3237" t="s">
        <v>4460</v>
      </c>
      <c r="F1094" s="3237" t="s">
        <v>4474</v>
      </c>
      <c r="G1094" s="3237" t="s">
        <v>3660</v>
      </c>
      <c r="H1094" s="3237" t="s">
        <v>3219</v>
      </c>
      <c r="I1094" s="3236" t="s">
        <v>4462</v>
      </c>
      <c r="J1094" s="3236">
        <v>29.09</v>
      </c>
    </row>
    <row r="1095" spans="1:10" ht="11.25" customHeight="1">
      <c r="A1095" s="3363" t="s">
        <v>5462</v>
      </c>
      <c r="B1095" s="3237" t="s">
        <v>4473</v>
      </c>
      <c r="C1095" s="3237" t="s">
        <v>4304</v>
      </c>
      <c r="D1095" s="3237" t="s">
        <v>4459</v>
      </c>
      <c r="E1095" s="3237" t="s">
        <v>4460</v>
      </c>
      <c r="F1095" s="3237" t="s">
        <v>4474</v>
      </c>
      <c r="G1095" s="3237" t="s">
        <v>3660</v>
      </c>
      <c r="H1095" s="3237" t="s">
        <v>3219</v>
      </c>
      <c r="I1095" s="3236" t="s">
        <v>4462</v>
      </c>
      <c r="J1095" s="3236">
        <v>29.09</v>
      </c>
    </row>
    <row r="1096" spans="1:10" ht="11.25" customHeight="1">
      <c r="A1096" s="3363" t="s">
        <v>5463</v>
      </c>
      <c r="B1096" s="3237" t="s">
        <v>4473</v>
      </c>
      <c r="C1096" s="3237" t="s">
        <v>4305</v>
      </c>
      <c r="D1096" s="3237" t="s">
        <v>4459</v>
      </c>
      <c r="E1096" s="3237" t="s">
        <v>4460</v>
      </c>
      <c r="F1096" s="3237" t="s">
        <v>4474</v>
      </c>
      <c r="G1096" s="3237" t="s">
        <v>3660</v>
      </c>
      <c r="H1096" s="3237" t="s">
        <v>3219</v>
      </c>
      <c r="I1096" s="3236" t="s">
        <v>4462</v>
      </c>
      <c r="J1096" s="3236">
        <v>29.09</v>
      </c>
    </row>
    <row r="1097" spans="1:10" ht="11.25" customHeight="1">
      <c r="A1097" s="3363" t="s">
        <v>5464</v>
      </c>
      <c r="B1097" s="3237" t="s">
        <v>4473</v>
      </c>
      <c r="C1097" s="3237" t="s">
        <v>4306</v>
      </c>
      <c r="D1097" s="3237" t="s">
        <v>4459</v>
      </c>
      <c r="E1097" s="3237" t="s">
        <v>4460</v>
      </c>
      <c r="F1097" s="3237" t="s">
        <v>4474</v>
      </c>
      <c r="G1097" s="3237" t="s">
        <v>3660</v>
      </c>
      <c r="H1097" s="3237" t="s">
        <v>3219</v>
      </c>
      <c r="I1097" s="3236" t="s">
        <v>4462</v>
      </c>
      <c r="J1097" s="3236">
        <v>29.09</v>
      </c>
    </row>
    <row r="1098" spans="1:10" ht="11.25" customHeight="1">
      <c r="A1098" s="3363" t="s">
        <v>5465</v>
      </c>
      <c r="B1098" s="3237" t="s">
        <v>4473</v>
      </c>
      <c r="C1098" s="3237" t="s">
        <v>4307</v>
      </c>
      <c r="D1098" s="3237" t="s">
        <v>4459</v>
      </c>
      <c r="E1098" s="3237" t="s">
        <v>4460</v>
      </c>
      <c r="F1098" s="3237" t="s">
        <v>4474</v>
      </c>
      <c r="G1098" s="3237" t="s">
        <v>3660</v>
      </c>
      <c r="H1098" s="3237" t="s">
        <v>3219</v>
      </c>
      <c r="I1098" s="3236" t="s">
        <v>4462</v>
      </c>
      <c r="J1098" s="3236">
        <v>29.09</v>
      </c>
    </row>
    <row r="1099" spans="1:10" ht="11.25" customHeight="1">
      <c r="A1099" s="3363" t="s">
        <v>5466</v>
      </c>
      <c r="B1099" s="3237" t="s">
        <v>4473</v>
      </c>
      <c r="C1099" s="3237" t="s">
        <v>4308</v>
      </c>
      <c r="D1099" s="3237" t="s">
        <v>4459</v>
      </c>
      <c r="E1099" s="3237" t="s">
        <v>4460</v>
      </c>
      <c r="F1099" s="3237" t="s">
        <v>4474</v>
      </c>
      <c r="G1099" s="3237" t="s">
        <v>3660</v>
      </c>
      <c r="H1099" s="3237" t="s">
        <v>3219</v>
      </c>
      <c r="I1099" s="3236" t="s">
        <v>4462</v>
      </c>
      <c r="J1099" s="3236">
        <v>29.09</v>
      </c>
    </row>
    <row r="1100" spans="1:10" ht="11.25" customHeight="1">
      <c r="A1100" s="3363" t="s">
        <v>5467</v>
      </c>
      <c r="B1100" s="3237" t="s">
        <v>4473</v>
      </c>
      <c r="C1100" s="3237" t="s">
        <v>4309</v>
      </c>
      <c r="D1100" s="3237" t="s">
        <v>4459</v>
      </c>
      <c r="E1100" s="3237" t="s">
        <v>4460</v>
      </c>
      <c r="F1100" s="3237" t="s">
        <v>4474</v>
      </c>
      <c r="G1100" s="3237" t="s">
        <v>3660</v>
      </c>
      <c r="H1100" s="3237" t="s">
        <v>3219</v>
      </c>
      <c r="I1100" s="3236" t="s">
        <v>4462</v>
      </c>
      <c r="J1100" s="3236">
        <v>29.09</v>
      </c>
    </row>
    <row r="1101" spans="1:10" ht="11.25" customHeight="1">
      <c r="A1101" s="3363" t="s">
        <v>5468</v>
      </c>
      <c r="B1101" s="3237" t="s">
        <v>4473</v>
      </c>
      <c r="C1101" s="3237" t="s">
        <v>4310</v>
      </c>
      <c r="D1101" s="3237" t="s">
        <v>4459</v>
      </c>
      <c r="E1101" s="3237" t="s">
        <v>4460</v>
      </c>
      <c r="F1101" s="3237" t="s">
        <v>4474</v>
      </c>
      <c r="G1101" s="3237" t="s">
        <v>3660</v>
      </c>
      <c r="H1101" s="3237" t="s">
        <v>3219</v>
      </c>
      <c r="I1101" s="3236" t="s">
        <v>4462</v>
      </c>
      <c r="J1101" s="3236">
        <v>29.09</v>
      </c>
    </row>
    <row r="1102" spans="1:10" ht="11.25" customHeight="1">
      <c r="A1102" s="3363" t="s">
        <v>5469</v>
      </c>
      <c r="B1102" s="3237" t="s">
        <v>4473</v>
      </c>
      <c r="C1102" s="3237" t="s">
        <v>4311</v>
      </c>
      <c r="D1102" s="3237" t="s">
        <v>4459</v>
      </c>
      <c r="E1102" s="3237" t="s">
        <v>4460</v>
      </c>
      <c r="F1102" s="3237" t="s">
        <v>4474</v>
      </c>
      <c r="G1102" s="3237" t="s">
        <v>3660</v>
      </c>
      <c r="H1102" s="3237" t="s">
        <v>3219</v>
      </c>
      <c r="I1102" s="3236" t="s">
        <v>4462</v>
      </c>
      <c r="J1102" s="3236">
        <v>29.09</v>
      </c>
    </row>
    <row r="1103" spans="1:10" ht="11.25" customHeight="1">
      <c r="A1103" s="3363" t="s">
        <v>5470</v>
      </c>
      <c r="B1103" s="3237" t="s">
        <v>4473</v>
      </c>
      <c r="C1103" s="3237" t="s">
        <v>4312</v>
      </c>
      <c r="D1103" s="3237" t="s">
        <v>4459</v>
      </c>
      <c r="E1103" s="3237" t="s">
        <v>4460</v>
      </c>
      <c r="F1103" s="3237" t="s">
        <v>4474</v>
      </c>
      <c r="G1103" s="3237" t="s">
        <v>3660</v>
      </c>
      <c r="H1103" s="3237" t="s">
        <v>3219</v>
      </c>
      <c r="I1103" s="3236" t="s">
        <v>4462</v>
      </c>
      <c r="J1103" s="3236">
        <v>29.09</v>
      </c>
    </row>
    <row r="1104" spans="1:10" ht="11.25" customHeight="1">
      <c r="A1104" s="3363" t="s">
        <v>5471</v>
      </c>
      <c r="B1104" s="3237" t="s">
        <v>4473</v>
      </c>
      <c r="C1104" s="3237" t="s">
        <v>4313</v>
      </c>
      <c r="D1104" s="3237" t="s">
        <v>4459</v>
      </c>
      <c r="E1104" s="3237" t="s">
        <v>4460</v>
      </c>
      <c r="F1104" s="3237" t="s">
        <v>4474</v>
      </c>
      <c r="G1104" s="3237" t="s">
        <v>3660</v>
      </c>
      <c r="H1104" s="3237" t="s">
        <v>3219</v>
      </c>
      <c r="I1104" s="3236" t="s">
        <v>4462</v>
      </c>
      <c r="J1104" s="3236">
        <v>29.09</v>
      </c>
    </row>
    <row r="1105" spans="1:10" ht="11.25" customHeight="1">
      <c r="A1105" s="3363" t="s">
        <v>5472</v>
      </c>
      <c r="B1105" s="3237" t="s">
        <v>4473</v>
      </c>
      <c r="C1105" s="3237" t="s">
        <v>4314</v>
      </c>
      <c r="D1105" s="3237" t="s">
        <v>4459</v>
      </c>
      <c r="E1105" s="3237" t="s">
        <v>4460</v>
      </c>
      <c r="F1105" s="3237" t="s">
        <v>4474</v>
      </c>
      <c r="G1105" s="3237" t="s">
        <v>3660</v>
      </c>
      <c r="H1105" s="3237" t="s">
        <v>3219</v>
      </c>
      <c r="I1105" s="3236" t="s">
        <v>4462</v>
      </c>
      <c r="J1105" s="3236">
        <v>29.09</v>
      </c>
    </row>
    <row r="1106" spans="1:10" ht="11.25" customHeight="1">
      <c r="A1106" s="3363" t="s">
        <v>5473</v>
      </c>
      <c r="B1106" s="3237" t="s">
        <v>4473</v>
      </c>
      <c r="C1106" s="3237" t="s">
        <v>4315</v>
      </c>
      <c r="D1106" s="3237" t="s">
        <v>4459</v>
      </c>
      <c r="E1106" s="3237" t="s">
        <v>4460</v>
      </c>
      <c r="F1106" s="3237" t="s">
        <v>4474</v>
      </c>
      <c r="G1106" s="3237" t="s">
        <v>3660</v>
      </c>
      <c r="H1106" s="3237" t="s">
        <v>3219</v>
      </c>
      <c r="I1106" s="3236" t="s">
        <v>4462</v>
      </c>
      <c r="J1106" s="3236">
        <v>29.09</v>
      </c>
    </row>
    <row r="1107" spans="1:10" ht="11.25" customHeight="1">
      <c r="A1107" s="3363" t="s">
        <v>5474</v>
      </c>
      <c r="B1107" s="3237" t="s">
        <v>4473</v>
      </c>
      <c r="C1107" s="3237" t="s">
        <v>4316</v>
      </c>
      <c r="D1107" s="3237" t="s">
        <v>4459</v>
      </c>
      <c r="E1107" s="3237" t="s">
        <v>4460</v>
      </c>
      <c r="F1107" s="3237" t="s">
        <v>4474</v>
      </c>
      <c r="G1107" s="3237" t="s">
        <v>3660</v>
      </c>
      <c r="H1107" s="3237" t="s">
        <v>3219</v>
      </c>
      <c r="I1107" s="3236" t="s">
        <v>4462</v>
      </c>
      <c r="J1107" s="3236">
        <v>29.09</v>
      </c>
    </row>
    <row r="1108" spans="1:10" ht="11.25" customHeight="1">
      <c r="A1108" s="3363" t="s">
        <v>5475</v>
      </c>
      <c r="B1108" s="3237" t="s">
        <v>4473</v>
      </c>
      <c r="C1108" s="3237" t="s">
        <v>4330</v>
      </c>
      <c r="D1108" s="3237" t="s">
        <v>4459</v>
      </c>
      <c r="E1108" s="3237" t="s">
        <v>4460</v>
      </c>
      <c r="F1108" s="3237" t="s">
        <v>4474</v>
      </c>
      <c r="G1108" s="3237" t="s">
        <v>4442</v>
      </c>
      <c r="H1108" s="3237" t="s">
        <v>3219</v>
      </c>
      <c r="I1108" s="3236" t="s">
        <v>4462</v>
      </c>
      <c r="J1108" s="3236">
        <v>29.09</v>
      </c>
    </row>
    <row r="1109" spans="1:10" ht="11.25" customHeight="1">
      <c r="A1109" s="3363" t="s">
        <v>5476</v>
      </c>
      <c r="B1109" s="3237" t="s">
        <v>4473</v>
      </c>
      <c r="C1109" s="3237" t="s">
        <v>4331</v>
      </c>
      <c r="D1109" s="3237" t="s">
        <v>4459</v>
      </c>
      <c r="E1109" s="3237" t="s">
        <v>4460</v>
      </c>
      <c r="F1109" s="3237" t="s">
        <v>4474</v>
      </c>
      <c r="G1109" s="3237" t="s">
        <v>4442</v>
      </c>
      <c r="H1109" s="3237" t="s">
        <v>3219</v>
      </c>
      <c r="I1109" s="3236" t="s">
        <v>4462</v>
      </c>
      <c r="J1109" s="3236">
        <v>29.09</v>
      </c>
    </row>
    <row r="1110" spans="1:10" ht="11.25" customHeight="1">
      <c r="A1110" s="3363" t="s">
        <v>5477</v>
      </c>
      <c r="B1110" s="3237" t="s">
        <v>4473</v>
      </c>
      <c r="C1110" s="3237" t="s">
        <v>4332</v>
      </c>
      <c r="D1110" s="3237" t="s">
        <v>4459</v>
      </c>
      <c r="E1110" s="3237" t="s">
        <v>4460</v>
      </c>
      <c r="F1110" s="3237" t="s">
        <v>4474</v>
      </c>
      <c r="G1110" s="3237" t="s">
        <v>4442</v>
      </c>
      <c r="H1110" s="3237" t="s">
        <v>3219</v>
      </c>
      <c r="I1110" s="3236" t="s">
        <v>4462</v>
      </c>
      <c r="J1110" s="3236">
        <v>29.09</v>
      </c>
    </row>
    <row r="1111" spans="1:10" ht="11.25" customHeight="1">
      <c r="A1111" s="3363" t="s">
        <v>5478</v>
      </c>
      <c r="B1111" s="3237" t="s">
        <v>4473</v>
      </c>
      <c r="C1111" s="3237" t="s">
        <v>4333</v>
      </c>
      <c r="D1111" s="3237" t="s">
        <v>4459</v>
      </c>
      <c r="E1111" s="3237" t="s">
        <v>4460</v>
      </c>
      <c r="F1111" s="3237" t="s">
        <v>4474</v>
      </c>
      <c r="G1111" s="3237" t="s">
        <v>4442</v>
      </c>
      <c r="H1111" s="3237" t="s">
        <v>3219</v>
      </c>
      <c r="I1111" s="3236" t="s">
        <v>4462</v>
      </c>
      <c r="J1111" s="3236">
        <v>29.09</v>
      </c>
    </row>
    <row r="1112" spans="1:10" ht="11.25" customHeight="1">
      <c r="A1112" s="3363" t="s">
        <v>5479</v>
      </c>
      <c r="B1112" s="3237" t="s">
        <v>4473</v>
      </c>
      <c r="C1112" s="3237" t="s">
        <v>4334</v>
      </c>
      <c r="D1112" s="3237" t="s">
        <v>4459</v>
      </c>
      <c r="E1112" s="3237" t="s">
        <v>4460</v>
      </c>
      <c r="F1112" s="3237" t="s">
        <v>4474</v>
      </c>
      <c r="G1112" s="3237" t="s">
        <v>4442</v>
      </c>
      <c r="H1112" s="3237" t="s">
        <v>3219</v>
      </c>
      <c r="I1112" s="3236" t="s">
        <v>4462</v>
      </c>
      <c r="J1112" s="3236">
        <v>29.09</v>
      </c>
    </row>
    <row r="1113" spans="1:10" ht="11.25" customHeight="1">
      <c r="A1113" s="3363" t="s">
        <v>5480</v>
      </c>
      <c r="B1113" s="3237" t="s">
        <v>4473</v>
      </c>
      <c r="C1113" s="3237" t="s">
        <v>4335</v>
      </c>
      <c r="D1113" s="3237" t="s">
        <v>4459</v>
      </c>
      <c r="E1113" s="3237" t="s">
        <v>4460</v>
      </c>
      <c r="F1113" s="3237" t="s">
        <v>4474</v>
      </c>
      <c r="G1113" s="3237" t="s">
        <v>4442</v>
      </c>
      <c r="H1113" s="3237" t="s">
        <v>3219</v>
      </c>
      <c r="I1113" s="3236" t="s">
        <v>4462</v>
      </c>
      <c r="J1113" s="3236">
        <v>29.09</v>
      </c>
    </row>
    <row r="1114" spans="1:10" ht="11.25" customHeight="1">
      <c r="A1114" s="3363" t="s">
        <v>5481</v>
      </c>
      <c r="B1114" s="3237" t="s">
        <v>4473</v>
      </c>
      <c r="C1114" s="3237" t="s">
        <v>4336</v>
      </c>
      <c r="D1114" s="3237" t="s">
        <v>4459</v>
      </c>
      <c r="E1114" s="3237" t="s">
        <v>4460</v>
      </c>
      <c r="F1114" s="3237" t="s">
        <v>4474</v>
      </c>
      <c r="G1114" s="3237" t="s">
        <v>4442</v>
      </c>
      <c r="H1114" s="3237" t="s">
        <v>3219</v>
      </c>
      <c r="I1114" s="3236" t="s">
        <v>4462</v>
      </c>
      <c r="J1114" s="3236">
        <v>29.09</v>
      </c>
    </row>
    <row r="1115" spans="1:10" ht="11.25" customHeight="1">
      <c r="A1115" s="3363" t="s">
        <v>5482</v>
      </c>
      <c r="B1115" s="3237" t="s">
        <v>4473</v>
      </c>
      <c r="C1115" s="3237" t="s">
        <v>4337</v>
      </c>
      <c r="D1115" s="3237" t="s">
        <v>4459</v>
      </c>
      <c r="E1115" s="3237" t="s">
        <v>4460</v>
      </c>
      <c r="F1115" s="3237" t="s">
        <v>4474</v>
      </c>
      <c r="G1115" s="3237" t="s">
        <v>4442</v>
      </c>
      <c r="H1115" s="3237" t="s">
        <v>3219</v>
      </c>
      <c r="I1115" s="3236" t="s">
        <v>4462</v>
      </c>
      <c r="J1115" s="3236">
        <v>29.09</v>
      </c>
    </row>
    <row r="1116" spans="1:10" ht="11.25" customHeight="1">
      <c r="A1116" s="3363" t="s">
        <v>5483</v>
      </c>
      <c r="B1116" s="3237" t="s">
        <v>4473</v>
      </c>
      <c r="C1116" s="3237" t="s">
        <v>4338</v>
      </c>
      <c r="D1116" s="3237" t="s">
        <v>4459</v>
      </c>
      <c r="E1116" s="3237" t="s">
        <v>4460</v>
      </c>
      <c r="F1116" s="3237" t="s">
        <v>4474</v>
      </c>
      <c r="G1116" s="3237" t="s">
        <v>4442</v>
      </c>
      <c r="H1116" s="3237" t="s">
        <v>3219</v>
      </c>
      <c r="I1116" s="3236" t="s">
        <v>4462</v>
      </c>
      <c r="J1116" s="3236">
        <v>29.09</v>
      </c>
    </row>
    <row r="1117" spans="1:10" ht="11.25" customHeight="1">
      <c r="A1117" s="3363" t="s">
        <v>5484</v>
      </c>
      <c r="B1117" s="3237" t="s">
        <v>4473</v>
      </c>
      <c r="C1117" s="3237" t="s">
        <v>4339</v>
      </c>
      <c r="D1117" s="3237" t="s">
        <v>4459</v>
      </c>
      <c r="E1117" s="3237" t="s">
        <v>4460</v>
      </c>
      <c r="F1117" s="3237" t="s">
        <v>4474</v>
      </c>
      <c r="G1117" s="3237" t="s">
        <v>4442</v>
      </c>
      <c r="H1117" s="3237" t="s">
        <v>3219</v>
      </c>
      <c r="I1117" s="3236" t="s">
        <v>4462</v>
      </c>
      <c r="J1117" s="3236">
        <v>29.09</v>
      </c>
    </row>
    <row r="1118" spans="1:10" ht="11.25" customHeight="1">
      <c r="A1118" s="3363" t="s">
        <v>5485</v>
      </c>
      <c r="B1118" s="3237" t="s">
        <v>4473</v>
      </c>
      <c r="C1118" s="3237" t="s">
        <v>4340</v>
      </c>
      <c r="D1118" s="3237" t="s">
        <v>4459</v>
      </c>
      <c r="E1118" s="3237" t="s">
        <v>4460</v>
      </c>
      <c r="F1118" s="3237" t="s">
        <v>4474</v>
      </c>
      <c r="G1118" s="3237" t="s">
        <v>4442</v>
      </c>
      <c r="H1118" s="3237" t="s">
        <v>3219</v>
      </c>
      <c r="I1118" s="3236" t="s">
        <v>4462</v>
      </c>
      <c r="J1118" s="3236">
        <v>29.09</v>
      </c>
    </row>
    <row r="1119" spans="1:10" ht="11.25" customHeight="1">
      <c r="A1119" s="3363" t="s">
        <v>5486</v>
      </c>
      <c r="B1119" s="3237" t="s">
        <v>4473</v>
      </c>
      <c r="C1119" s="3237" t="s">
        <v>4341</v>
      </c>
      <c r="D1119" s="3237" t="s">
        <v>4459</v>
      </c>
      <c r="E1119" s="3237" t="s">
        <v>4460</v>
      </c>
      <c r="F1119" s="3237" t="s">
        <v>4474</v>
      </c>
      <c r="G1119" s="3237" t="s">
        <v>4442</v>
      </c>
      <c r="H1119" s="3237" t="s">
        <v>3219</v>
      </c>
      <c r="I1119" s="3236" t="s">
        <v>4462</v>
      </c>
      <c r="J1119" s="3236">
        <v>29.09</v>
      </c>
    </row>
    <row r="1120" spans="1:10" ht="11.25" customHeight="1">
      <c r="A1120" s="3363" t="s">
        <v>5487</v>
      </c>
      <c r="B1120" s="3237" t="s">
        <v>4473</v>
      </c>
      <c r="C1120" s="3237" t="s">
        <v>4342</v>
      </c>
      <c r="D1120" s="3237" t="s">
        <v>4459</v>
      </c>
      <c r="E1120" s="3237" t="s">
        <v>4460</v>
      </c>
      <c r="F1120" s="3237" t="s">
        <v>4474</v>
      </c>
      <c r="G1120" s="3237" t="s">
        <v>4442</v>
      </c>
      <c r="H1120" s="3237" t="s">
        <v>3219</v>
      </c>
      <c r="I1120" s="3236" t="s">
        <v>4462</v>
      </c>
      <c r="J1120" s="3236">
        <v>29.09</v>
      </c>
    </row>
    <row r="1121" spans="1:10" ht="11.25" customHeight="1">
      <c r="A1121" s="3363" t="s">
        <v>5488</v>
      </c>
      <c r="B1121" s="3237" t="s">
        <v>4473</v>
      </c>
      <c r="C1121" s="3237" t="s">
        <v>4343</v>
      </c>
      <c r="D1121" s="3237" t="s">
        <v>4459</v>
      </c>
      <c r="E1121" s="3237" t="s">
        <v>4460</v>
      </c>
      <c r="F1121" s="3237" t="s">
        <v>4474</v>
      </c>
      <c r="G1121" s="3237" t="s">
        <v>4442</v>
      </c>
      <c r="H1121" s="3237" t="s">
        <v>3219</v>
      </c>
      <c r="I1121" s="3236" t="s">
        <v>4462</v>
      </c>
      <c r="J1121" s="3236">
        <v>29.09</v>
      </c>
    </row>
    <row r="1122" spans="1:10" ht="11.25" customHeight="1">
      <c r="A1122" s="3363" t="s">
        <v>5489</v>
      </c>
      <c r="B1122" s="3237" t="s">
        <v>4473</v>
      </c>
      <c r="C1122" s="3237" t="s">
        <v>4344</v>
      </c>
      <c r="D1122" s="3237" t="s">
        <v>4459</v>
      </c>
      <c r="E1122" s="3237" t="s">
        <v>4460</v>
      </c>
      <c r="F1122" s="3237" t="s">
        <v>4474</v>
      </c>
      <c r="G1122" s="3237" t="s">
        <v>4442</v>
      </c>
      <c r="H1122" s="3237" t="s">
        <v>3219</v>
      </c>
      <c r="I1122" s="3236" t="s">
        <v>4462</v>
      </c>
      <c r="J1122" s="3236">
        <v>29.09</v>
      </c>
    </row>
    <row r="1123" spans="1:10" ht="11.25" customHeight="1">
      <c r="A1123" s="3363" t="s">
        <v>5490</v>
      </c>
      <c r="B1123" s="3237" t="s">
        <v>4473</v>
      </c>
      <c r="C1123" s="3237" t="s">
        <v>4345</v>
      </c>
      <c r="D1123" s="3237" t="s">
        <v>4459</v>
      </c>
      <c r="E1123" s="3237" t="s">
        <v>4460</v>
      </c>
      <c r="F1123" s="3237" t="s">
        <v>4474</v>
      </c>
      <c r="G1123" s="3237" t="s">
        <v>4442</v>
      </c>
      <c r="H1123" s="3237" t="s">
        <v>3219</v>
      </c>
      <c r="I1123" s="3236" t="s">
        <v>4462</v>
      </c>
      <c r="J1123" s="3236">
        <v>29.09</v>
      </c>
    </row>
    <row r="1124" spans="1:10" ht="11.25" customHeight="1">
      <c r="A1124" s="3363" t="s">
        <v>5491</v>
      </c>
      <c r="B1124" s="3237" t="s">
        <v>4473</v>
      </c>
      <c r="C1124" s="3237" t="s">
        <v>4346</v>
      </c>
      <c r="D1124" s="3237" t="s">
        <v>4459</v>
      </c>
      <c r="E1124" s="3237" t="s">
        <v>4460</v>
      </c>
      <c r="F1124" s="3237" t="s">
        <v>4474</v>
      </c>
      <c r="G1124" s="3237" t="s">
        <v>4442</v>
      </c>
      <c r="H1124" s="3237" t="s">
        <v>3219</v>
      </c>
      <c r="I1124" s="3236" t="s">
        <v>4462</v>
      </c>
      <c r="J1124" s="3236">
        <v>29.09</v>
      </c>
    </row>
    <row r="1125" spans="1:10" ht="11.25" customHeight="1">
      <c r="A1125" s="3363" t="s">
        <v>5492</v>
      </c>
      <c r="B1125" s="3237" t="s">
        <v>4473</v>
      </c>
      <c r="C1125" s="3237" t="s">
        <v>4347</v>
      </c>
      <c r="D1125" s="3237" t="s">
        <v>4459</v>
      </c>
      <c r="E1125" s="3237" t="s">
        <v>4460</v>
      </c>
      <c r="F1125" s="3237" t="s">
        <v>4474</v>
      </c>
      <c r="G1125" s="3237" t="s">
        <v>4442</v>
      </c>
      <c r="H1125" s="3237" t="s">
        <v>3219</v>
      </c>
      <c r="I1125" s="3236" t="s">
        <v>4462</v>
      </c>
      <c r="J1125" s="3236">
        <v>29.09</v>
      </c>
    </row>
    <row r="1126" spans="1:10" ht="11.25" customHeight="1">
      <c r="A1126" s="3363" t="s">
        <v>5493</v>
      </c>
      <c r="B1126" s="3237" t="s">
        <v>4473</v>
      </c>
      <c r="C1126" s="3237" t="s">
        <v>4348</v>
      </c>
      <c r="D1126" s="3237" t="s">
        <v>4459</v>
      </c>
      <c r="E1126" s="3237" t="s">
        <v>4460</v>
      </c>
      <c r="F1126" s="3237" t="s">
        <v>4474</v>
      </c>
      <c r="G1126" s="3237" t="s">
        <v>4442</v>
      </c>
      <c r="H1126" s="3237" t="s">
        <v>3219</v>
      </c>
      <c r="I1126" s="3236" t="s">
        <v>4462</v>
      </c>
      <c r="J1126" s="3236">
        <v>29.09</v>
      </c>
    </row>
    <row r="1127" spans="1:10" ht="11.25" customHeight="1">
      <c r="A1127" s="3363" t="s">
        <v>5494</v>
      </c>
      <c r="B1127" s="3237" t="s">
        <v>4473</v>
      </c>
      <c r="C1127" s="3237" t="s">
        <v>4349</v>
      </c>
      <c r="D1127" s="3237" t="s">
        <v>4459</v>
      </c>
      <c r="E1127" s="3237" t="s">
        <v>4460</v>
      </c>
      <c r="F1127" s="3237" t="s">
        <v>4474</v>
      </c>
      <c r="G1127" s="3237" t="s">
        <v>4442</v>
      </c>
      <c r="H1127" s="3237" t="s">
        <v>3219</v>
      </c>
      <c r="I1127" s="3236" t="s">
        <v>4462</v>
      </c>
      <c r="J1127" s="3236">
        <v>29.09</v>
      </c>
    </row>
    <row r="1128" spans="1:10" ht="11.25" customHeight="1">
      <c r="A1128" s="3363" t="s">
        <v>5495</v>
      </c>
      <c r="B1128" s="3237" t="s">
        <v>4473</v>
      </c>
      <c r="C1128" s="3237" t="s">
        <v>4350</v>
      </c>
      <c r="D1128" s="3237" t="s">
        <v>4459</v>
      </c>
      <c r="E1128" s="3237" t="s">
        <v>4460</v>
      </c>
      <c r="F1128" s="3237" t="s">
        <v>4474</v>
      </c>
      <c r="G1128" s="3237" t="s">
        <v>4442</v>
      </c>
      <c r="H1128" s="3237" t="s">
        <v>3219</v>
      </c>
      <c r="I1128" s="3236" t="s">
        <v>4462</v>
      </c>
      <c r="J1128" s="3236">
        <v>29.09</v>
      </c>
    </row>
    <row r="1129" spans="1:10" ht="11.25" customHeight="1">
      <c r="A1129" s="3363" t="s">
        <v>5496</v>
      </c>
      <c r="B1129" s="3237" t="s">
        <v>4473</v>
      </c>
      <c r="C1129" s="3237" t="s">
        <v>4351</v>
      </c>
      <c r="D1129" s="3237" t="s">
        <v>4459</v>
      </c>
      <c r="E1129" s="3237" t="s">
        <v>4460</v>
      </c>
      <c r="F1129" s="3237" t="s">
        <v>4474</v>
      </c>
      <c r="G1129" s="3237" t="s">
        <v>4442</v>
      </c>
      <c r="H1129" s="3237" t="s">
        <v>3219</v>
      </c>
      <c r="I1129" s="3236" t="s">
        <v>4462</v>
      </c>
      <c r="J1129" s="3236">
        <v>29.09</v>
      </c>
    </row>
    <row r="1130" spans="1:10" ht="11.25" customHeight="1">
      <c r="A1130" s="3363" t="s">
        <v>5497</v>
      </c>
      <c r="B1130" s="3237" t="s">
        <v>4473</v>
      </c>
      <c r="C1130" s="3237" t="s">
        <v>4352</v>
      </c>
      <c r="D1130" s="3237" t="s">
        <v>4459</v>
      </c>
      <c r="E1130" s="3237" t="s">
        <v>4460</v>
      </c>
      <c r="F1130" s="3237" t="s">
        <v>4474</v>
      </c>
      <c r="G1130" s="3237" t="s">
        <v>4442</v>
      </c>
      <c r="H1130" s="3237" t="s">
        <v>3219</v>
      </c>
      <c r="I1130" s="3236" t="s">
        <v>4462</v>
      </c>
      <c r="J1130" s="3236">
        <v>29.09</v>
      </c>
    </row>
    <row r="1131" spans="1:10" ht="11.25" customHeight="1">
      <c r="A1131" s="3363" t="s">
        <v>5498</v>
      </c>
      <c r="B1131" s="3237" t="s">
        <v>4473</v>
      </c>
      <c r="C1131" s="3237" t="s">
        <v>4353</v>
      </c>
      <c r="D1131" s="3237" t="s">
        <v>4459</v>
      </c>
      <c r="E1131" s="3237" t="s">
        <v>4460</v>
      </c>
      <c r="F1131" s="3237" t="s">
        <v>4474</v>
      </c>
      <c r="G1131" s="3237" t="s">
        <v>4442</v>
      </c>
      <c r="H1131" s="3237" t="s">
        <v>3219</v>
      </c>
      <c r="I1131" s="3236" t="s">
        <v>4462</v>
      </c>
      <c r="J1131" s="3236">
        <v>29.09</v>
      </c>
    </row>
    <row r="1132" spans="1:10" ht="11.25" customHeight="1">
      <c r="A1132" s="3363" t="s">
        <v>5499</v>
      </c>
      <c r="B1132" s="3237" t="s">
        <v>4473</v>
      </c>
      <c r="C1132" s="3237" t="s">
        <v>4354</v>
      </c>
      <c r="D1132" s="3237" t="s">
        <v>4459</v>
      </c>
      <c r="E1132" s="3237" t="s">
        <v>4460</v>
      </c>
      <c r="F1132" s="3237" t="s">
        <v>4474</v>
      </c>
      <c r="G1132" s="3237" t="s">
        <v>4442</v>
      </c>
      <c r="H1132" s="3237" t="s">
        <v>3219</v>
      </c>
      <c r="I1132" s="3236" t="s">
        <v>4462</v>
      </c>
      <c r="J1132" s="3236">
        <v>29.09</v>
      </c>
    </row>
    <row r="1133" spans="1:10" ht="11.25" customHeight="1">
      <c r="A1133" s="3363" t="s">
        <v>5500</v>
      </c>
      <c r="B1133" s="3237" t="s">
        <v>4473</v>
      </c>
      <c r="C1133" s="3237" t="s">
        <v>4355</v>
      </c>
      <c r="D1133" s="3237" t="s">
        <v>4459</v>
      </c>
      <c r="E1133" s="3237" t="s">
        <v>4460</v>
      </c>
      <c r="F1133" s="3237" t="s">
        <v>4474</v>
      </c>
      <c r="G1133" s="3237" t="s">
        <v>4442</v>
      </c>
      <c r="H1133" s="3237" t="s">
        <v>3219</v>
      </c>
      <c r="I1133" s="3236" t="s">
        <v>4462</v>
      </c>
      <c r="J1133" s="3236">
        <v>29.09</v>
      </c>
    </row>
    <row r="1134" spans="1:10" ht="11.25" customHeight="1">
      <c r="A1134" s="3363" t="s">
        <v>5501</v>
      </c>
      <c r="B1134" s="3237" t="s">
        <v>4473</v>
      </c>
      <c r="C1134" s="3237" t="s">
        <v>4356</v>
      </c>
      <c r="D1134" s="3237" t="s">
        <v>4459</v>
      </c>
      <c r="E1134" s="3237" t="s">
        <v>4460</v>
      </c>
      <c r="F1134" s="3237" t="s">
        <v>4474</v>
      </c>
      <c r="G1134" s="3237" t="s">
        <v>4442</v>
      </c>
      <c r="H1134" s="3237" t="s">
        <v>3219</v>
      </c>
      <c r="I1134" s="3236" t="s">
        <v>4462</v>
      </c>
      <c r="J1134" s="3236">
        <v>29.09</v>
      </c>
    </row>
    <row r="1135" spans="1:10" ht="11.25" customHeight="1">
      <c r="A1135" s="3363" t="s">
        <v>5502</v>
      </c>
      <c r="B1135" s="3237" t="s">
        <v>4473</v>
      </c>
      <c r="C1135" s="3237" t="s">
        <v>4357</v>
      </c>
      <c r="D1135" s="3237" t="s">
        <v>4459</v>
      </c>
      <c r="E1135" s="3237" t="s">
        <v>4460</v>
      </c>
      <c r="F1135" s="3237" t="s">
        <v>4474</v>
      </c>
      <c r="G1135" s="3237" t="s">
        <v>4442</v>
      </c>
      <c r="H1135" s="3237" t="s">
        <v>3219</v>
      </c>
      <c r="I1135" s="3236" t="s">
        <v>4462</v>
      </c>
      <c r="J1135" s="3236">
        <v>29.09</v>
      </c>
    </row>
    <row r="1136" spans="1:10" ht="11.25" customHeight="1">
      <c r="A1136" s="3363" t="s">
        <v>5503</v>
      </c>
      <c r="B1136" s="3237" t="s">
        <v>4473</v>
      </c>
      <c r="C1136" s="3237" t="s">
        <v>4358</v>
      </c>
      <c r="D1136" s="3237" t="s">
        <v>4459</v>
      </c>
      <c r="E1136" s="3237" t="s">
        <v>4460</v>
      </c>
      <c r="F1136" s="3237" t="s">
        <v>4474</v>
      </c>
      <c r="G1136" s="3237" t="s">
        <v>4442</v>
      </c>
      <c r="H1136" s="3237" t="s">
        <v>3219</v>
      </c>
      <c r="I1136" s="3236" t="s">
        <v>4462</v>
      </c>
      <c r="J1136" s="3236">
        <v>29.09</v>
      </c>
    </row>
    <row r="1137" spans="1:10" ht="11.25" customHeight="1">
      <c r="A1137" s="3363" t="s">
        <v>5504</v>
      </c>
      <c r="B1137" s="3237" t="s">
        <v>4473</v>
      </c>
      <c r="C1137" s="3237" t="s">
        <v>4359</v>
      </c>
      <c r="D1137" s="3237" t="s">
        <v>4459</v>
      </c>
      <c r="E1137" s="3237" t="s">
        <v>4460</v>
      </c>
      <c r="F1137" s="3237" t="s">
        <v>4474</v>
      </c>
      <c r="G1137" s="3237" t="s">
        <v>4442</v>
      </c>
      <c r="H1137" s="3237" t="s">
        <v>3219</v>
      </c>
      <c r="I1137" s="3236" t="s">
        <v>4462</v>
      </c>
      <c r="J1137" s="3236">
        <v>29.09</v>
      </c>
    </row>
    <row r="1138" spans="1:10" ht="11.25" customHeight="1">
      <c r="A1138" s="3363" t="s">
        <v>5505</v>
      </c>
      <c r="B1138" s="3237" t="s">
        <v>4473</v>
      </c>
      <c r="C1138" s="3237" t="s">
        <v>4360</v>
      </c>
      <c r="D1138" s="3237" t="s">
        <v>4459</v>
      </c>
      <c r="E1138" s="3237" t="s">
        <v>4460</v>
      </c>
      <c r="F1138" s="3237" t="s">
        <v>4474</v>
      </c>
      <c r="G1138" s="3237" t="s">
        <v>4442</v>
      </c>
      <c r="H1138" s="3237" t="s">
        <v>3219</v>
      </c>
      <c r="I1138" s="3236" t="s">
        <v>4462</v>
      </c>
      <c r="J1138" s="3236">
        <v>29.09</v>
      </c>
    </row>
    <row r="1139" spans="1:10" ht="11.25" customHeight="1">
      <c r="A1139" s="3363" t="s">
        <v>5506</v>
      </c>
      <c r="B1139" s="3237" t="s">
        <v>4473</v>
      </c>
      <c r="C1139" s="3237" t="s">
        <v>4361</v>
      </c>
      <c r="D1139" s="3237" t="s">
        <v>4459</v>
      </c>
      <c r="E1139" s="3237" t="s">
        <v>4460</v>
      </c>
      <c r="F1139" s="3237" t="s">
        <v>4474</v>
      </c>
      <c r="G1139" s="3237" t="s">
        <v>4442</v>
      </c>
      <c r="H1139" s="3237" t="s">
        <v>3219</v>
      </c>
      <c r="I1139" s="3236" t="s">
        <v>4462</v>
      </c>
      <c r="J1139" s="3236">
        <v>29.09</v>
      </c>
    </row>
    <row r="1140" spans="1:10" ht="11.25" customHeight="1">
      <c r="A1140" s="3363" t="s">
        <v>5507</v>
      </c>
      <c r="B1140" s="3237" t="s">
        <v>4473</v>
      </c>
      <c r="C1140" s="3237" t="s">
        <v>4362</v>
      </c>
      <c r="D1140" s="3237" t="s">
        <v>4459</v>
      </c>
      <c r="E1140" s="3237" t="s">
        <v>4460</v>
      </c>
      <c r="F1140" s="3237" t="s">
        <v>4474</v>
      </c>
      <c r="G1140" s="3237" t="s">
        <v>4442</v>
      </c>
      <c r="H1140" s="3237" t="s">
        <v>3219</v>
      </c>
      <c r="I1140" s="3236" t="s">
        <v>4462</v>
      </c>
      <c r="J1140" s="3236">
        <v>29.09</v>
      </c>
    </row>
    <row r="1141" spans="1:10" ht="11.25" customHeight="1">
      <c r="A1141" s="3363" t="s">
        <v>5508</v>
      </c>
      <c r="B1141" s="3237" t="s">
        <v>4473</v>
      </c>
      <c r="C1141" s="3237" t="s">
        <v>4363</v>
      </c>
      <c r="D1141" s="3237" t="s">
        <v>4459</v>
      </c>
      <c r="E1141" s="3237" t="s">
        <v>4460</v>
      </c>
      <c r="F1141" s="3237" t="s">
        <v>4474</v>
      </c>
      <c r="G1141" s="3237" t="s">
        <v>4442</v>
      </c>
      <c r="H1141" s="3237" t="s">
        <v>3219</v>
      </c>
      <c r="I1141" s="3236" t="s">
        <v>4462</v>
      </c>
      <c r="J1141" s="3236">
        <v>29.09</v>
      </c>
    </row>
    <row r="1142" spans="1:10" ht="11.25" customHeight="1">
      <c r="A1142" s="3363" t="s">
        <v>5509</v>
      </c>
      <c r="B1142" s="3237" t="s">
        <v>4473</v>
      </c>
      <c r="C1142" s="3237" t="s">
        <v>4364</v>
      </c>
      <c r="D1142" s="3237" t="s">
        <v>4459</v>
      </c>
      <c r="E1142" s="3237" t="s">
        <v>4460</v>
      </c>
      <c r="F1142" s="3237" t="s">
        <v>4474</v>
      </c>
      <c r="G1142" s="3237" t="s">
        <v>4442</v>
      </c>
      <c r="H1142" s="3237" t="s">
        <v>3219</v>
      </c>
      <c r="I1142" s="3236" t="s">
        <v>4462</v>
      </c>
      <c r="J1142" s="3236">
        <v>29.09</v>
      </c>
    </row>
    <row r="1143" spans="1:10" ht="11.25" customHeight="1">
      <c r="A1143" s="3363" t="s">
        <v>5510</v>
      </c>
      <c r="B1143" s="3237" t="s">
        <v>4473</v>
      </c>
      <c r="C1143" s="3237" t="s">
        <v>4365</v>
      </c>
      <c r="D1143" s="3237" t="s">
        <v>4459</v>
      </c>
      <c r="E1143" s="3237" t="s">
        <v>4460</v>
      </c>
      <c r="F1143" s="3237" t="s">
        <v>4474</v>
      </c>
      <c r="G1143" s="3237" t="s">
        <v>4442</v>
      </c>
      <c r="H1143" s="3237" t="s">
        <v>3219</v>
      </c>
      <c r="I1143" s="3236" t="s">
        <v>4462</v>
      </c>
      <c r="J1143" s="3236">
        <v>29.09</v>
      </c>
    </row>
    <row r="1144" spans="1:10" ht="11.25" customHeight="1">
      <c r="A1144" s="3363" t="s">
        <v>5511</v>
      </c>
      <c r="B1144" s="3237" t="s">
        <v>4473</v>
      </c>
      <c r="C1144" s="3237" t="s">
        <v>4366</v>
      </c>
      <c r="D1144" s="3237" t="s">
        <v>4459</v>
      </c>
      <c r="E1144" s="3237" t="s">
        <v>4460</v>
      </c>
      <c r="F1144" s="3237" t="s">
        <v>4474</v>
      </c>
      <c r="G1144" s="3237" t="s">
        <v>4442</v>
      </c>
      <c r="H1144" s="3237" t="s">
        <v>3219</v>
      </c>
      <c r="I1144" s="3236" t="s">
        <v>4462</v>
      </c>
      <c r="J1144" s="3236">
        <v>29.09</v>
      </c>
    </row>
    <row r="1145" spans="1:10" ht="11.25" customHeight="1">
      <c r="A1145" s="3363" t="s">
        <v>5512</v>
      </c>
      <c r="B1145" s="3237" t="s">
        <v>4473</v>
      </c>
      <c r="C1145" s="3237" t="s">
        <v>4367</v>
      </c>
      <c r="D1145" s="3237" t="s">
        <v>4459</v>
      </c>
      <c r="E1145" s="3237" t="s">
        <v>4460</v>
      </c>
      <c r="F1145" s="3237" t="s">
        <v>4474</v>
      </c>
      <c r="G1145" s="3237" t="s">
        <v>4442</v>
      </c>
      <c r="H1145" s="3237" t="s">
        <v>3219</v>
      </c>
      <c r="I1145" s="3236" t="s">
        <v>4462</v>
      </c>
      <c r="J1145" s="3236">
        <v>29.09</v>
      </c>
    </row>
    <row r="1146" spans="1:10" ht="11.25" customHeight="1">
      <c r="A1146" s="3363" t="s">
        <v>5513</v>
      </c>
      <c r="B1146" s="3237" t="s">
        <v>4473</v>
      </c>
      <c r="C1146" s="3237" t="s">
        <v>4368</v>
      </c>
      <c r="D1146" s="3237" t="s">
        <v>4459</v>
      </c>
      <c r="E1146" s="3237" t="s">
        <v>4460</v>
      </c>
      <c r="F1146" s="3237" t="s">
        <v>4474</v>
      </c>
      <c r="G1146" s="3237" t="s">
        <v>4442</v>
      </c>
      <c r="H1146" s="3237" t="s">
        <v>3219</v>
      </c>
      <c r="I1146" s="3236" t="s">
        <v>4462</v>
      </c>
      <c r="J1146" s="3236">
        <v>29.09</v>
      </c>
    </row>
    <row r="1147" spans="1:10" ht="11.25" customHeight="1">
      <c r="A1147" s="3363" t="s">
        <v>5514</v>
      </c>
      <c r="B1147" s="3237" t="s">
        <v>4473</v>
      </c>
      <c r="C1147" s="3237" t="s">
        <v>4369</v>
      </c>
      <c r="D1147" s="3237" t="s">
        <v>4459</v>
      </c>
      <c r="E1147" s="3237" t="s">
        <v>4460</v>
      </c>
      <c r="F1147" s="3237" t="s">
        <v>4474</v>
      </c>
      <c r="G1147" s="3237" t="s">
        <v>4442</v>
      </c>
      <c r="H1147" s="3237" t="s">
        <v>3219</v>
      </c>
      <c r="I1147" s="3236" t="s">
        <v>4462</v>
      </c>
      <c r="J1147" s="3236">
        <v>29.09</v>
      </c>
    </row>
    <row r="1148" spans="1:10" ht="11.25" customHeight="1">
      <c r="A1148" s="3363" t="s">
        <v>5515</v>
      </c>
      <c r="B1148" s="3237" t="s">
        <v>4473</v>
      </c>
      <c r="C1148" s="3237" t="s">
        <v>4370</v>
      </c>
      <c r="D1148" s="3237" t="s">
        <v>4459</v>
      </c>
      <c r="E1148" s="3237" t="s">
        <v>4460</v>
      </c>
      <c r="F1148" s="3237" t="s">
        <v>4474</v>
      </c>
      <c r="G1148" s="3237" t="s">
        <v>4442</v>
      </c>
      <c r="H1148" s="3237" t="s">
        <v>3219</v>
      </c>
      <c r="I1148" s="3236" t="s">
        <v>4462</v>
      </c>
      <c r="J1148" s="3236">
        <v>29.09</v>
      </c>
    </row>
    <row r="1149" spans="1:10" ht="11.25" customHeight="1">
      <c r="A1149" s="3363" t="s">
        <v>5516</v>
      </c>
      <c r="B1149" s="3237" t="s">
        <v>4473</v>
      </c>
      <c r="C1149" s="3237" t="s">
        <v>4371</v>
      </c>
      <c r="D1149" s="3237" t="s">
        <v>4459</v>
      </c>
      <c r="E1149" s="3237" t="s">
        <v>4460</v>
      </c>
      <c r="F1149" s="3237" t="s">
        <v>4474</v>
      </c>
      <c r="G1149" s="3237" t="s">
        <v>4442</v>
      </c>
      <c r="H1149" s="3237" t="s">
        <v>3219</v>
      </c>
      <c r="I1149" s="3236" t="s">
        <v>4462</v>
      </c>
      <c r="J1149" s="3236">
        <v>29.09</v>
      </c>
    </row>
    <row r="1150" spans="1:10" ht="11.25" customHeight="1">
      <c r="A1150" s="3363" t="s">
        <v>5517</v>
      </c>
      <c r="B1150" s="3237" t="s">
        <v>4473</v>
      </c>
      <c r="C1150" s="3237" t="s">
        <v>4372</v>
      </c>
      <c r="D1150" s="3237" t="s">
        <v>4459</v>
      </c>
      <c r="E1150" s="3237" t="s">
        <v>4460</v>
      </c>
      <c r="F1150" s="3237" t="s">
        <v>4474</v>
      </c>
      <c r="G1150" s="3237" t="s">
        <v>4442</v>
      </c>
      <c r="H1150" s="3237" t="s">
        <v>3219</v>
      </c>
      <c r="I1150" s="3236" t="s">
        <v>4462</v>
      </c>
      <c r="J1150" s="3236">
        <v>29.09</v>
      </c>
    </row>
    <row r="1151" spans="1:10" ht="11.25" customHeight="1">
      <c r="A1151" s="3363" t="s">
        <v>5518</v>
      </c>
      <c r="B1151" s="3237" t="s">
        <v>4473</v>
      </c>
      <c r="C1151" s="3237" t="s">
        <v>4373</v>
      </c>
      <c r="D1151" s="3237" t="s">
        <v>4459</v>
      </c>
      <c r="E1151" s="3237" t="s">
        <v>4460</v>
      </c>
      <c r="F1151" s="3237" t="s">
        <v>4474</v>
      </c>
      <c r="G1151" s="3237" t="s">
        <v>4442</v>
      </c>
      <c r="H1151" s="3237" t="s">
        <v>3219</v>
      </c>
      <c r="I1151" s="3236" t="s">
        <v>4462</v>
      </c>
      <c r="J1151" s="3236">
        <v>29.09</v>
      </c>
    </row>
    <row r="1152" spans="1:10" ht="11.25" customHeight="1">
      <c r="A1152" s="3363" t="s">
        <v>5519</v>
      </c>
      <c r="B1152" s="3237" t="s">
        <v>4473</v>
      </c>
      <c r="C1152" s="3237" t="s">
        <v>4374</v>
      </c>
      <c r="D1152" s="3237" t="s">
        <v>4459</v>
      </c>
      <c r="E1152" s="3237" t="s">
        <v>4460</v>
      </c>
      <c r="F1152" s="3237" t="s">
        <v>4474</v>
      </c>
      <c r="G1152" s="3237" t="s">
        <v>4442</v>
      </c>
      <c r="H1152" s="3237" t="s">
        <v>3219</v>
      </c>
      <c r="I1152" s="3236" t="s">
        <v>4462</v>
      </c>
      <c r="J1152" s="3236">
        <v>29.09</v>
      </c>
    </row>
    <row r="1153" spans="1:10" ht="11.25" customHeight="1">
      <c r="A1153" s="3363" t="s">
        <v>5520</v>
      </c>
      <c r="B1153" s="3237" t="s">
        <v>4473</v>
      </c>
      <c r="C1153" s="3237" t="s">
        <v>4375</v>
      </c>
      <c r="D1153" s="3237" t="s">
        <v>4459</v>
      </c>
      <c r="E1153" s="3237" t="s">
        <v>4460</v>
      </c>
      <c r="F1153" s="3237" t="s">
        <v>4474</v>
      </c>
      <c r="G1153" s="3237" t="s">
        <v>4442</v>
      </c>
      <c r="H1153" s="3237" t="s">
        <v>3219</v>
      </c>
      <c r="I1153" s="3236" t="s">
        <v>4462</v>
      </c>
      <c r="J1153" s="3236">
        <v>29.09</v>
      </c>
    </row>
    <row r="1154" spans="1:10" ht="11.25" customHeight="1">
      <c r="A1154" s="3363" t="s">
        <v>5521</v>
      </c>
      <c r="B1154" s="3237" t="s">
        <v>4473</v>
      </c>
      <c r="C1154" s="3237" t="s">
        <v>4376</v>
      </c>
      <c r="D1154" s="3237" t="s">
        <v>4459</v>
      </c>
      <c r="E1154" s="3237" t="s">
        <v>4460</v>
      </c>
      <c r="F1154" s="3237" t="s">
        <v>4474</v>
      </c>
      <c r="G1154" s="3237" t="s">
        <v>4442</v>
      </c>
      <c r="H1154" s="3237" t="s">
        <v>3219</v>
      </c>
      <c r="I1154" s="3236" t="s">
        <v>4462</v>
      </c>
      <c r="J1154" s="3236">
        <v>29.09</v>
      </c>
    </row>
    <row r="1155" spans="1:10" ht="11.25" customHeight="1">
      <c r="A1155" s="3363" t="s">
        <v>5522</v>
      </c>
      <c r="B1155" s="3237" t="s">
        <v>4473</v>
      </c>
      <c r="C1155" s="3237" t="s">
        <v>4377</v>
      </c>
      <c r="D1155" s="3237" t="s">
        <v>4459</v>
      </c>
      <c r="E1155" s="3237" t="s">
        <v>4460</v>
      </c>
      <c r="F1155" s="3237" t="s">
        <v>4474</v>
      </c>
      <c r="G1155" s="3237" t="s">
        <v>4442</v>
      </c>
      <c r="H1155" s="3237" t="s">
        <v>3219</v>
      </c>
      <c r="I1155" s="3236" t="s">
        <v>4462</v>
      </c>
      <c r="J1155" s="3236">
        <v>29.09</v>
      </c>
    </row>
    <row r="1156" spans="1:10" ht="11.25" customHeight="1">
      <c r="A1156" s="3363" t="s">
        <v>5523</v>
      </c>
      <c r="B1156" s="3237" t="s">
        <v>4473</v>
      </c>
      <c r="C1156" s="3237" t="s">
        <v>4378</v>
      </c>
      <c r="D1156" s="3237" t="s">
        <v>4459</v>
      </c>
      <c r="E1156" s="3237" t="s">
        <v>4460</v>
      </c>
      <c r="F1156" s="3237" t="s">
        <v>4474</v>
      </c>
      <c r="G1156" s="3237" t="s">
        <v>4442</v>
      </c>
      <c r="H1156" s="3237" t="s">
        <v>3219</v>
      </c>
      <c r="I1156" s="3236" t="s">
        <v>4462</v>
      </c>
      <c r="J1156" s="3236">
        <v>29.09</v>
      </c>
    </row>
    <row r="1157" spans="1:10" ht="11.25" customHeight="1">
      <c r="A1157" s="3363" t="s">
        <v>5524</v>
      </c>
      <c r="B1157" s="3237" t="s">
        <v>4473</v>
      </c>
      <c r="C1157" s="3237" t="s">
        <v>4379</v>
      </c>
      <c r="D1157" s="3237" t="s">
        <v>4459</v>
      </c>
      <c r="E1157" s="3237" t="s">
        <v>4460</v>
      </c>
      <c r="F1157" s="3237" t="s">
        <v>4474</v>
      </c>
      <c r="G1157" s="3237" t="s">
        <v>4442</v>
      </c>
      <c r="H1157" s="3237" t="s">
        <v>3219</v>
      </c>
      <c r="I1157" s="3236" t="s">
        <v>4462</v>
      </c>
      <c r="J1157" s="3236">
        <v>29.09</v>
      </c>
    </row>
    <row r="1158" spans="1:10" ht="11.25" customHeight="1">
      <c r="A1158" s="3363" t="s">
        <v>5525</v>
      </c>
      <c r="B1158" s="3237" t="s">
        <v>4473</v>
      </c>
      <c r="C1158" s="3237" t="s">
        <v>4380</v>
      </c>
      <c r="D1158" s="3237" t="s">
        <v>4459</v>
      </c>
      <c r="E1158" s="3237" t="s">
        <v>4460</v>
      </c>
      <c r="F1158" s="3237" t="s">
        <v>4474</v>
      </c>
      <c r="G1158" s="3237" t="s">
        <v>4442</v>
      </c>
      <c r="H1158" s="3237" t="s">
        <v>3219</v>
      </c>
      <c r="I1158" s="3236" t="s">
        <v>4462</v>
      </c>
      <c r="J1158" s="3236">
        <v>29.09</v>
      </c>
    </row>
    <row r="1159" spans="1:10" ht="11.25" customHeight="1">
      <c r="A1159" s="3363" t="s">
        <v>5526</v>
      </c>
      <c r="B1159" s="3237" t="s">
        <v>4473</v>
      </c>
      <c r="C1159" s="3237" t="s">
        <v>4381</v>
      </c>
      <c r="D1159" s="3237" t="s">
        <v>4459</v>
      </c>
      <c r="E1159" s="3237" t="s">
        <v>4460</v>
      </c>
      <c r="F1159" s="3237" t="s">
        <v>4474</v>
      </c>
      <c r="G1159" s="3237" t="s">
        <v>4442</v>
      </c>
      <c r="H1159" s="3237" t="s">
        <v>3219</v>
      </c>
      <c r="I1159" s="3236" t="s">
        <v>4462</v>
      </c>
      <c r="J1159" s="3236">
        <v>29.09</v>
      </c>
    </row>
    <row r="1160" spans="1:10" ht="11.25" customHeight="1">
      <c r="A1160" s="3363" t="s">
        <v>5527</v>
      </c>
      <c r="B1160" s="3237" t="s">
        <v>4473</v>
      </c>
      <c r="C1160" s="3237" t="s">
        <v>4382</v>
      </c>
      <c r="D1160" s="3237" t="s">
        <v>4459</v>
      </c>
      <c r="E1160" s="3237" t="s">
        <v>4460</v>
      </c>
      <c r="F1160" s="3237" t="s">
        <v>4474</v>
      </c>
      <c r="G1160" s="3237" t="s">
        <v>4442</v>
      </c>
      <c r="H1160" s="3237" t="s">
        <v>3219</v>
      </c>
      <c r="I1160" s="3236" t="s">
        <v>4462</v>
      </c>
      <c r="J1160" s="3236">
        <v>29.09</v>
      </c>
    </row>
    <row r="1161" spans="1:10" ht="11.25" customHeight="1">
      <c r="A1161" s="3363" t="s">
        <v>5528</v>
      </c>
      <c r="B1161" s="3237" t="s">
        <v>4473</v>
      </c>
      <c r="C1161" s="3237" t="s">
        <v>4383</v>
      </c>
      <c r="D1161" s="3237" t="s">
        <v>4459</v>
      </c>
      <c r="E1161" s="3237" t="s">
        <v>4460</v>
      </c>
      <c r="F1161" s="3237" t="s">
        <v>4474</v>
      </c>
      <c r="G1161" s="3237" t="s">
        <v>4442</v>
      </c>
      <c r="H1161" s="3237" t="s">
        <v>3219</v>
      </c>
      <c r="I1161" s="3236" t="s">
        <v>4462</v>
      </c>
      <c r="J1161" s="3236">
        <v>29.09</v>
      </c>
    </row>
    <row r="1162" spans="1:10" ht="11.25" customHeight="1">
      <c r="A1162" s="3363" t="s">
        <v>5529</v>
      </c>
      <c r="B1162" s="3237" t="s">
        <v>4473</v>
      </c>
      <c r="C1162" s="3237" t="s">
        <v>4384</v>
      </c>
      <c r="D1162" s="3237" t="s">
        <v>4459</v>
      </c>
      <c r="E1162" s="3237" t="s">
        <v>4460</v>
      </c>
      <c r="F1162" s="3237" t="s">
        <v>4474</v>
      </c>
      <c r="G1162" s="3237" t="s">
        <v>4442</v>
      </c>
      <c r="H1162" s="3237" t="s">
        <v>3219</v>
      </c>
      <c r="I1162" s="3236" t="s">
        <v>4462</v>
      </c>
      <c r="J1162" s="3236">
        <v>29.09</v>
      </c>
    </row>
    <row r="1163" spans="1:10" ht="11.25" customHeight="1">
      <c r="A1163" s="3363" t="s">
        <v>5530</v>
      </c>
      <c r="B1163" s="3237" t="s">
        <v>4473</v>
      </c>
      <c r="C1163" s="3237" t="s">
        <v>4385</v>
      </c>
      <c r="D1163" s="3237" t="s">
        <v>4459</v>
      </c>
      <c r="E1163" s="3237" t="s">
        <v>4460</v>
      </c>
      <c r="F1163" s="3237" t="s">
        <v>4474</v>
      </c>
      <c r="G1163" s="3237" t="s">
        <v>4442</v>
      </c>
      <c r="H1163" s="3237" t="s">
        <v>3219</v>
      </c>
      <c r="I1163" s="3236" t="s">
        <v>4462</v>
      </c>
      <c r="J1163" s="3236">
        <v>29.09</v>
      </c>
    </row>
    <row r="1164" spans="1:10" ht="11.25" customHeight="1">
      <c r="A1164" s="3363" t="s">
        <v>5531</v>
      </c>
      <c r="B1164" s="3237" t="s">
        <v>4473</v>
      </c>
      <c r="C1164" s="3237" t="s">
        <v>4386</v>
      </c>
      <c r="D1164" s="3237" t="s">
        <v>4459</v>
      </c>
      <c r="E1164" s="3237" t="s">
        <v>4460</v>
      </c>
      <c r="F1164" s="3237" t="s">
        <v>4474</v>
      </c>
      <c r="G1164" s="3237" t="s">
        <v>4442</v>
      </c>
      <c r="H1164" s="3237" t="s">
        <v>3219</v>
      </c>
      <c r="I1164" s="3236" t="s">
        <v>4462</v>
      </c>
      <c r="J1164" s="3236">
        <v>29.09</v>
      </c>
    </row>
    <row r="1165" spans="1:10" ht="11.25" customHeight="1">
      <c r="A1165" s="3363" t="s">
        <v>5532</v>
      </c>
      <c r="B1165" s="3237" t="s">
        <v>4473</v>
      </c>
      <c r="C1165" s="3237" t="s">
        <v>4387</v>
      </c>
      <c r="D1165" s="3237" t="s">
        <v>4459</v>
      </c>
      <c r="E1165" s="3237" t="s">
        <v>4460</v>
      </c>
      <c r="F1165" s="3237" t="s">
        <v>4474</v>
      </c>
      <c r="G1165" s="3237" t="s">
        <v>4442</v>
      </c>
      <c r="H1165" s="3237" t="s">
        <v>3219</v>
      </c>
      <c r="I1165" s="3236" t="s">
        <v>4462</v>
      </c>
      <c r="J1165" s="3236">
        <v>29.09</v>
      </c>
    </row>
    <row r="1166" spans="1:10" ht="11.25" customHeight="1">
      <c r="A1166" s="3363" t="s">
        <v>5533</v>
      </c>
      <c r="B1166" s="3237" t="s">
        <v>4473</v>
      </c>
      <c r="C1166" s="3237" t="s">
        <v>4388</v>
      </c>
      <c r="D1166" s="3237" t="s">
        <v>4459</v>
      </c>
      <c r="E1166" s="3237" t="s">
        <v>4460</v>
      </c>
      <c r="F1166" s="3237" t="s">
        <v>4474</v>
      </c>
      <c r="G1166" s="3237" t="s">
        <v>4442</v>
      </c>
      <c r="H1166" s="3237" t="s">
        <v>3219</v>
      </c>
      <c r="I1166" s="3236" t="s">
        <v>4462</v>
      </c>
      <c r="J1166" s="3236">
        <v>29.09</v>
      </c>
    </row>
    <row r="1167" spans="1:10" ht="11.25" customHeight="1">
      <c r="A1167" s="3363" t="s">
        <v>5534</v>
      </c>
      <c r="B1167" s="3237" t="s">
        <v>4473</v>
      </c>
      <c r="C1167" s="3237" t="s">
        <v>4389</v>
      </c>
      <c r="D1167" s="3237" t="s">
        <v>4459</v>
      </c>
      <c r="E1167" s="3237" t="s">
        <v>4460</v>
      </c>
      <c r="F1167" s="3237" t="s">
        <v>4474</v>
      </c>
      <c r="G1167" s="3237" t="s">
        <v>4442</v>
      </c>
      <c r="H1167" s="3237" t="s">
        <v>3219</v>
      </c>
      <c r="I1167" s="3236" t="s">
        <v>4462</v>
      </c>
      <c r="J1167" s="3236">
        <v>29.09</v>
      </c>
    </row>
    <row r="1168" spans="1:10" ht="11.25" customHeight="1">
      <c r="A1168" s="3363" t="s">
        <v>5535</v>
      </c>
      <c r="B1168" s="3237" t="s">
        <v>4473</v>
      </c>
      <c r="C1168" s="3237" t="s">
        <v>4390</v>
      </c>
      <c r="D1168" s="3237" t="s">
        <v>4459</v>
      </c>
      <c r="E1168" s="3237" t="s">
        <v>4460</v>
      </c>
      <c r="F1168" s="3237" t="s">
        <v>4474</v>
      </c>
      <c r="G1168" s="3237" t="s">
        <v>4442</v>
      </c>
      <c r="H1168" s="3237" t="s">
        <v>3219</v>
      </c>
      <c r="I1168" s="3236" t="s">
        <v>4462</v>
      </c>
      <c r="J1168" s="3236">
        <v>29.09</v>
      </c>
    </row>
    <row r="1169" spans="1:10" ht="11.25" customHeight="1">
      <c r="A1169" s="3363" t="s">
        <v>5536</v>
      </c>
      <c r="B1169" s="3237" t="s">
        <v>4473</v>
      </c>
      <c r="C1169" s="3237" t="s">
        <v>4391</v>
      </c>
      <c r="D1169" s="3237" t="s">
        <v>4459</v>
      </c>
      <c r="E1169" s="3237" t="s">
        <v>4460</v>
      </c>
      <c r="F1169" s="3237" t="s">
        <v>4474</v>
      </c>
      <c r="G1169" s="3237" t="s">
        <v>4442</v>
      </c>
      <c r="H1169" s="3237" t="s">
        <v>3219</v>
      </c>
      <c r="I1169" s="3236" t="s">
        <v>4462</v>
      </c>
      <c r="J1169" s="3236">
        <v>29.09</v>
      </c>
    </row>
    <row r="1170" spans="1:10" ht="11.25" customHeight="1">
      <c r="A1170" s="3363" t="s">
        <v>5537</v>
      </c>
      <c r="B1170" s="3237" t="s">
        <v>4473</v>
      </c>
      <c r="C1170" s="3237" t="s">
        <v>4392</v>
      </c>
      <c r="D1170" s="3237" t="s">
        <v>4459</v>
      </c>
      <c r="E1170" s="3237" t="s">
        <v>4460</v>
      </c>
      <c r="F1170" s="3237" t="s">
        <v>4474</v>
      </c>
      <c r="G1170" s="3237" t="s">
        <v>4442</v>
      </c>
      <c r="H1170" s="3237" t="s">
        <v>3219</v>
      </c>
      <c r="I1170" s="3236" t="s">
        <v>4462</v>
      </c>
      <c r="J1170" s="3236">
        <v>29.09</v>
      </c>
    </row>
    <row r="1171" spans="1:10" ht="11.25" customHeight="1">
      <c r="A1171" s="3363" t="s">
        <v>5538</v>
      </c>
      <c r="B1171" s="3237" t="s">
        <v>4473</v>
      </c>
      <c r="C1171" s="3237" t="s">
        <v>4393</v>
      </c>
      <c r="D1171" s="3237" t="s">
        <v>4459</v>
      </c>
      <c r="E1171" s="3237" t="s">
        <v>4460</v>
      </c>
      <c r="F1171" s="3237" t="s">
        <v>4474</v>
      </c>
      <c r="G1171" s="3237" t="s">
        <v>4442</v>
      </c>
      <c r="H1171" s="3237" t="s">
        <v>3219</v>
      </c>
      <c r="I1171" s="3236" t="s">
        <v>4462</v>
      </c>
      <c r="J1171" s="3236">
        <v>29.09</v>
      </c>
    </row>
    <row r="1172" spans="1:10" ht="11.25" customHeight="1">
      <c r="A1172" s="3363" t="s">
        <v>5539</v>
      </c>
      <c r="B1172" s="3237" t="s">
        <v>4473</v>
      </c>
      <c r="C1172" s="3237" t="s">
        <v>4394</v>
      </c>
      <c r="D1172" s="3237" t="s">
        <v>4459</v>
      </c>
      <c r="E1172" s="3237" t="s">
        <v>4460</v>
      </c>
      <c r="F1172" s="3237" t="s">
        <v>4474</v>
      </c>
      <c r="G1172" s="3237" t="s">
        <v>4442</v>
      </c>
      <c r="H1172" s="3237" t="s">
        <v>3219</v>
      </c>
      <c r="I1172" s="3236" t="s">
        <v>4462</v>
      </c>
      <c r="J1172" s="3236">
        <v>29.09</v>
      </c>
    </row>
    <row r="1173" spans="1:10" ht="11.25" customHeight="1">
      <c r="A1173" s="3363" t="s">
        <v>5540</v>
      </c>
      <c r="B1173" s="3237" t="s">
        <v>4473</v>
      </c>
      <c r="C1173" s="3237" t="s">
        <v>4395</v>
      </c>
      <c r="D1173" s="3237" t="s">
        <v>4459</v>
      </c>
      <c r="E1173" s="3237" t="s">
        <v>4460</v>
      </c>
      <c r="F1173" s="3237" t="s">
        <v>4474</v>
      </c>
      <c r="G1173" s="3237" t="s">
        <v>4442</v>
      </c>
      <c r="H1173" s="3237" t="s">
        <v>3219</v>
      </c>
      <c r="I1173" s="3236" t="s">
        <v>4462</v>
      </c>
      <c r="J1173" s="3236">
        <v>29.09</v>
      </c>
    </row>
    <row r="1174" spans="1:10" ht="11.25" customHeight="1">
      <c r="A1174" s="3363" t="s">
        <v>5541</v>
      </c>
      <c r="B1174" s="3237" t="s">
        <v>4473</v>
      </c>
      <c r="C1174" s="3237" t="s">
        <v>4396</v>
      </c>
      <c r="D1174" s="3237" t="s">
        <v>4459</v>
      </c>
      <c r="E1174" s="3237" t="s">
        <v>4460</v>
      </c>
      <c r="F1174" s="3237" t="s">
        <v>4474</v>
      </c>
      <c r="G1174" s="3237" t="s">
        <v>4442</v>
      </c>
      <c r="H1174" s="3237" t="s">
        <v>3219</v>
      </c>
      <c r="I1174" s="3236" t="s">
        <v>4462</v>
      </c>
      <c r="J1174" s="3236">
        <v>29.09</v>
      </c>
    </row>
    <row r="1175" spans="1:10" ht="11.25" customHeight="1">
      <c r="A1175" s="3363" t="s">
        <v>5542</v>
      </c>
      <c r="B1175" s="3237" t="s">
        <v>4473</v>
      </c>
      <c r="C1175" s="3237" t="s">
        <v>4397</v>
      </c>
      <c r="D1175" s="3237" t="s">
        <v>4459</v>
      </c>
      <c r="E1175" s="3237" t="s">
        <v>4460</v>
      </c>
      <c r="F1175" s="3237" t="s">
        <v>4474</v>
      </c>
      <c r="G1175" s="3237" t="s">
        <v>4442</v>
      </c>
      <c r="H1175" s="3237" t="s">
        <v>3219</v>
      </c>
      <c r="I1175" s="3236" t="s">
        <v>4462</v>
      </c>
      <c r="J1175" s="3236">
        <v>29.09</v>
      </c>
    </row>
    <row r="1176" spans="1:10" ht="11.25" customHeight="1">
      <c r="A1176" s="3363" t="s">
        <v>5543</v>
      </c>
      <c r="B1176" s="3237" t="s">
        <v>4473</v>
      </c>
      <c r="C1176" s="3237" t="s">
        <v>4398</v>
      </c>
      <c r="D1176" s="3237" t="s">
        <v>4459</v>
      </c>
      <c r="E1176" s="3237" t="s">
        <v>4460</v>
      </c>
      <c r="F1176" s="3237" t="s">
        <v>4474</v>
      </c>
      <c r="G1176" s="3237" t="s">
        <v>4442</v>
      </c>
      <c r="H1176" s="3237" t="s">
        <v>3219</v>
      </c>
      <c r="I1176" s="3236" t="s">
        <v>4462</v>
      </c>
      <c r="J1176" s="3236">
        <v>29.09</v>
      </c>
    </row>
    <row r="1177" spans="1:10" ht="11.25" customHeight="1">
      <c r="A1177" s="3363" t="s">
        <v>5544</v>
      </c>
      <c r="B1177" s="3237" t="s">
        <v>4473</v>
      </c>
      <c r="C1177" s="3237" t="s">
        <v>4399</v>
      </c>
      <c r="D1177" s="3237" t="s">
        <v>4459</v>
      </c>
      <c r="E1177" s="3237" t="s">
        <v>4460</v>
      </c>
      <c r="F1177" s="3237" t="s">
        <v>4474</v>
      </c>
      <c r="G1177" s="3237" t="s">
        <v>4442</v>
      </c>
      <c r="H1177" s="3237" t="s">
        <v>3219</v>
      </c>
      <c r="I1177" s="3236" t="s">
        <v>4462</v>
      </c>
      <c r="J1177" s="3236">
        <v>29.09</v>
      </c>
    </row>
    <row r="1178" spans="1:10" ht="11.25" customHeight="1">
      <c r="A1178" s="3363" t="s">
        <v>5545</v>
      </c>
      <c r="B1178" s="3237" t="s">
        <v>4473</v>
      </c>
      <c r="C1178" s="3237" t="s">
        <v>4400</v>
      </c>
      <c r="D1178" s="3237" t="s">
        <v>4459</v>
      </c>
      <c r="E1178" s="3237" t="s">
        <v>4460</v>
      </c>
      <c r="F1178" s="3237" t="s">
        <v>4474</v>
      </c>
      <c r="G1178" s="3237" t="s">
        <v>4442</v>
      </c>
      <c r="H1178" s="3237" t="s">
        <v>3219</v>
      </c>
      <c r="I1178" s="3236" t="s">
        <v>4462</v>
      </c>
      <c r="J1178" s="3236">
        <v>29.09</v>
      </c>
    </row>
    <row r="1179" spans="1:10" ht="11.25" customHeight="1">
      <c r="A1179" s="3363" t="s">
        <v>5546</v>
      </c>
      <c r="B1179" s="3237" t="s">
        <v>4473</v>
      </c>
      <c r="C1179" s="3237" t="s">
        <v>4401</v>
      </c>
      <c r="D1179" s="3237" t="s">
        <v>4459</v>
      </c>
      <c r="E1179" s="3237" t="s">
        <v>4460</v>
      </c>
      <c r="F1179" s="3237" t="s">
        <v>4474</v>
      </c>
      <c r="G1179" s="3237" t="s">
        <v>4442</v>
      </c>
      <c r="H1179" s="3237" t="s">
        <v>3219</v>
      </c>
      <c r="I1179" s="3236" t="s">
        <v>4462</v>
      </c>
      <c r="J1179" s="3236">
        <v>29.09</v>
      </c>
    </row>
    <row r="1180" spans="1:10" ht="11.25" customHeight="1">
      <c r="A1180" s="3363" t="s">
        <v>5547</v>
      </c>
      <c r="B1180" s="3237" t="s">
        <v>4473</v>
      </c>
      <c r="C1180" s="3237" t="s">
        <v>4402</v>
      </c>
      <c r="D1180" s="3237" t="s">
        <v>4459</v>
      </c>
      <c r="E1180" s="3237" t="s">
        <v>4460</v>
      </c>
      <c r="F1180" s="3237" t="s">
        <v>4474</v>
      </c>
      <c r="G1180" s="3237" t="s">
        <v>4442</v>
      </c>
      <c r="H1180" s="3237" t="s">
        <v>3219</v>
      </c>
      <c r="I1180" s="3236" t="s">
        <v>4462</v>
      </c>
      <c r="J1180" s="3236">
        <v>29.09</v>
      </c>
    </row>
    <row r="1181" spans="1:10" ht="11.25" customHeight="1">
      <c r="A1181" s="3363" t="s">
        <v>5548</v>
      </c>
      <c r="B1181" s="3237" t="s">
        <v>4473</v>
      </c>
      <c r="C1181" s="3237" t="s">
        <v>4403</v>
      </c>
      <c r="D1181" s="3237" t="s">
        <v>4459</v>
      </c>
      <c r="E1181" s="3237" t="s">
        <v>4460</v>
      </c>
      <c r="F1181" s="3237" t="s">
        <v>4474</v>
      </c>
      <c r="G1181" s="3237" t="s">
        <v>4442</v>
      </c>
      <c r="H1181" s="3237" t="s">
        <v>3219</v>
      </c>
      <c r="I1181" s="3236" t="s">
        <v>4462</v>
      </c>
      <c r="J1181" s="3236">
        <v>29.09</v>
      </c>
    </row>
    <row r="1182" spans="1:10" ht="11.25" customHeight="1">
      <c r="A1182" s="3363" t="s">
        <v>5549</v>
      </c>
      <c r="B1182" s="3237" t="s">
        <v>4473</v>
      </c>
      <c r="C1182" s="3237" t="s">
        <v>4404</v>
      </c>
      <c r="D1182" s="3237" t="s">
        <v>4459</v>
      </c>
      <c r="E1182" s="3237" t="s">
        <v>4460</v>
      </c>
      <c r="F1182" s="3237" t="s">
        <v>4474</v>
      </c>
      <c r="G1182" s="3237" t="s">
        <v>4442</v>
      </c>
      <c r="H1182" s="3237" t="s">
        <v>3219</v>
      </c>
      <c r="I1182" s="3236" t="s">
        <v>4462</v>
      </c>
      <c r="J1182" s="3236">
        <v>29.09</v>
      </c>
    </row>
    <row r="1183" spans="1:10" ht="11.25" customHeight="1">
      <c r="A1183" s="3363" t="s">
        <v>5550</v>
      </c>
      <c r="B1183" s="3237" t="s">
        <v>4473</v>
      </c>
      <c r="C1183" s="3237" t="s">
        <v>4405</v>
      </c>
      <c r="D1183" s="3237" t="s">
        <v>4459</v>
      </c>
      <c r="E1183" s="3237" t="s">
        <v>4460</v>
      </c>
      <c r="F1183" s="3237" t="s">
        <v>4474</v>
      </c>
      <c r="G1183" s="3237" t="s">
        <v>4442</v>
      </c>
      <c r="H1183" s="3237" t="s">
        <v>3219</v>
      </c>
      <c r="I1183" s="3236" t="s">
        <v>4462</v>
      </c>
      <c r="J1183" s="3236">
        <v>29.09</v>
      </c>
    </row>
    <row r="1184" spans="1:10" ht="11.25" customHeight="1">
      <c r="A1184" s="3363" t="s">
        <v>5551</v>
      </c>
      <c r="B1184" s="3237" t="s">
        <v>4473</v>
      </c>
      <c r="C1184" s="3237" t="s">
        <v>4406</v>
      </c>
      <c r="D1184" s="3237" t="s">
        <v>4459</v>
      </c>
      <c r="E1184" s="3237" t="s">
        <v>4460</v>
      </c>
      <c r="F1184" s="3237" t="s">
        <v>4474</v>
      </c>
      <c r="G1184" s="3237" t="s">
        <v>4442</v>
      </c>
      <c r="H1184" s="3237" t="s">
        <v>3219</v>
      </c>
      <c r="I1184" s="3236" t="s">
        <v>4462</v>
      </c>
      <c r="J1184" s="3236">
        <v>29.09</v>
      </c>
    </row>
    <row r="1185" spans="1:10" ht="11.25" customHeight="1">
      <c r="A1185" s="3363" t="s">
        <v>5552</v>
      </c>
      <c r="B1185" s="3237" t="s">
        <v>4473</v>
      </c>
      <c r="C1185" s="3237" t="s">
        <v>4407</v>
      </c>
      <c r="D1185" s="3237" t="s">
        <v>4459</v>
      </c>
      <c r="E1185" s="3237" t="s">
        <v>4460</v>
      </c>
      <c r="F1185" s="3237" t="s">
        <v>4474</v>
      </c>
      <c r="G1185" s="3237" t="s">
        <v>4442</v>
      </c>
      <c r="H1185" s="3237" t="s">
        <v>3219</v>
      </c>
      <c r="I1185" s="3236" t="s">
        <v>4462</v>
      </c>
      <c r="J1185" s="3236">
        <v>29.09</v>
      </c>
    </row>
    <row r="1186" spans="1:10" ht="11.25" customHeight="1">
      <c r="A1186" s="3363" t="s">
        <v>5553</v>
      </c>
      <c r="B1186" s="3237" t="s">
        <v>4473</v>
      </c>
      <c r="C1186" s="3237" t="s">
        <v>4408</v>
      </c>
      <c r="D1186" s="3237" t="s">
        <v>4459</v>
      </c>
      <c r="E1186" s="3237" t="s">
        <v>4460</v>
      </c>
      <c r="F1186" s="3237" t="s">
        <v>4474</v>
      </c>
      <c r="G1186" s="3237" t="s">
        <v>4442</v>
      </c>
      <c r="H1186" s="3237" t="s">
        <v>3219</v>
      </c>
      <c r="I1186" s="3236" t="s">
        <v>4462</v>
      </c>
      <c r="J1186" s="3236">
        <v>29.09</v>
      </c>
    </row>
    <row r="1187" spans="1:10" ht="11.25" customHeight="1">
      <c r="A1187" s="3363" t="s">
        <v>5554</v>
      </c>
      <c r="B1187" s="3237" t="s">
        <v>4473</v>
      </c>
      <c r="C1187" s="3237" t="s">
        <v>4409</v>
      </c>
      <c r="D1187" s="3237" t="s">
        <v>4459</v>
      </c>
      <c r="E1187" s="3237" t="s">
        <v>4460</v>
      </c>
      <c r="F1187" s="3237" t="s">
        <v>4474</v>
      </c>
      <c r="G1187" s="3237" t="s">
        <v>4442</v>
      </c>
      <c r="H1187" s="3237" t="s">
        <v>3219</v>
      </c>
      <c r="I1187" s="3236" t="s">
        <v>4462</v>
      </c>
      <c r="J1187" s="3236">
        <v>29.09</v>
      </c>
    </row>
    <row r="1188" spans="1:10" ht="11.25" customHeight="1">
      <c r="A1188" s="3363" t="s">
        <v>5555</v>
      </c>
      <c r="B1188" s="3237" t="s">
        <v>4473</v>
      </c>
      <c r="C1188" s="3237" t="s">
        <v>4410</v>
      </c>
      <c r="D1188" s="3237" t="s">
        <v>4459</v>
      </c>
      <c r="E1188" s="3237" t="s">
        <v>4460</v>
      </c>
      <c r="F1188" s="3237" t="s">
        <v>4474</v>
      </c>
      <c r="G1188" s="3237" t="s">
        <v>4442</v>
      </c>
      <c r="H1188" s="3237" t="s">
        <v>3219</v>
      </c>
      <c r="I1188" s="3236" t="s">
        <v>4462</v>
      </c>
      <c r="J1188" s="3236">
        <v>29.09</v>
      </c>
    </row>
    <row r="1189" spans="1:10" ht="11.25" customHeight="1">
      <c r="A1189" s="3363" t="s">
        <v>5556</v>
      </c>
      <c r="B1189" s="3237" t="s">
        <v>4473</v>
      </c>
      <c r="C1189" s="3237" t="s">
        <v>4411</v>
      </c>
      <c r="D1189" s="3237" t="s">
        <v>4459</v>
      </c>
      <c r="E1189" s="3237" t="s">
        <v>4460</v>
      </c>
      <c r="F1189" s="3237" t="s">
        <v>4474</v>
      </c>
      <c r="G1189" s="3237" t="s">
        <v>4442</v>
      </c>
      <c r="H1189" s="3237" t="s">
        <v>3219</v>
      </c>
      <c r="I1189" s="3236" t="s">
        <v>4462</v>
      </c>
      <c r="J1189" s="3236">
        <v>29.09</v>
      </c>
    </row>
    <row r="1190" spans="1:10" ht="11.25" customHeight="1">
      <c r="A1190" s="3363" t="s">
        <v>5557</v>
      </c>
      <c r="B1190" s="3237" t="s">
        <v>4473</v>
      </c>
      <c r="C1190" s="3237" t="s">
        <v>4412</v>
      </c>
      <c r="D1190" s="3237" t="s">
        <v>4459</v>
      </c>
      <c r="E1190" s="3237" t="s">
        <v>4460</v>
      </c>
      <c r="F1190" s="3237" t="s">
        <v>4474</v>
      </c>
      <c r="G1190" s="3237" t="s">
        <v>4442</v>
      </c>
      <c r="H1190" s="3237" t="s">
        <v>3219</v>
      </c>
      <c r="I1190" s="3236" t="s">
        <v>4462</v>
      </c>
      <c r="J1190" s="3236">
        <v>29.09</v>
      </c>
    </row>
    <row r="1191" spans="1:10" ht="11.25" customHeight="1">
      <c r="A1191" s="3363" t="s">
        <v>5558</v>
      </c>
      <c r="B1191" s="3237" t="s">
        <v>4473</v>
      </c>
      <c r="C1191" s="3237" t="s">
        <v>4413</v>
      </c>
      <c r="D1191" s="3237" t="s">
        <v>4459</v>
      </c>
      <c r="E1191" s="3237" t="s">
        <v>4460</v>
      </c>
      <c r="F1191" s="3237" t="s">
        <v>4474</v>
      </c>
      <c r="G1191" s="3237" t="s">
        <v>4442</v>
      </c>
      <c r="H1191" s="3237" t="s">
        <v>3219</v>
      </c>
      <c r="I1191" s="3236" t="s">
        <v>4462</v>
      </c>
      <c r="J1191" s="3236">
        <v>29.09</v>
      </c>
    </row>
    <row r="1192" spans="1:10" ht="11.25" customHeight="1">
      <c r="A1192" s="3363" t="s">
        <v>5559</v>
      </c>
      <c r="B1192" s="3237" t="s">
        <v>4473</v>
      </c>
      <c r="C1192" s="3237" t="s">
        <v>4414</v>
      </c>
      <c r="D1192" s="3237" t="s">
        <v>4459</v>
      </c>
      <c r="E1192" s="3237" t="s">
        <v>4460</v>
      </c>
      <c r="F1192" s="3237" t="s">
        <v>4474</v>
      </c>
      <c r="G1192" s="3237" t="s">
        <v>4442</v>
      </c>
      <c r="H1192" s="3237" t="s">
        <v>3219</v>
      </c>
      <c r="I1192" s="3236" t="s">
        <v>4462</v>
      </c>
      <c r="J1192" s="3236">
        <v>29.09</v>
      </c>
    </row>
    <row r="1193" spans="1:10" ht="11.25" customHeight="1">
      <c r="A1193" s="3363" t="s">
        <v>5560</v>
      </c>
      <c r="B1193" s="3237" t="s">
        <v>4473</v>
      </c>
      <c r="C1193" s="3237" t="s">
        <v>4415</v>
      </c>
      <c r="D1193" s="3237" t="s">
        <v>4459</v>
      </c>
      <c r="E1193" s="3237" t="s">
        <v>4460</v>
      </c>
      <c r="F1193" s="3237" t="s">
        <v>4474</v>
      </c>
      <c r="G1193" s="3237" t="s">
        <v>4442</v>
      </c>
      <c r="H1193" s="3237" t="s">
        <v>3219</v>
      </c>
      <c r="I1193" s="3236" t="s">
        <v>4462</v>
      </c>
      <c r="J1193" s="3236">
        <v>29.09</v>
      </c>
    </row>
    <row r="1194" spans="1:10" ht="11.25" customHeight="1">
      <c r="A1194" s="3363" t="s">
        <v>5561</v>
      </c>
      <c r="B1194" s="3237" t="s">
        <v>4473</v>
      </c>
      <c r="C1194" s="3237" t="s">
        <v>4416</v>
      </c>
      <c r="D1194" s="3237" t="s">
        <v>4459</v>
      </c>
      <c r="E1194" s="3237" t="s">
        <v>4460</v>
      </c>
      <c r="F1194" s="3237" t="s">
        <v>4474</v>
      </c>
      <c r="G1194" s="3237" t="s">
        <v>4442</v>
      </c>
      <c r="H1194" s="3237" t="s">
        <v>3219</v>
      </c>
      <c r="I1194" s="3236" t="s">
        <v>4462</v>
      </c>
      <c r="J1194" s="3236">
        <v>29.09</v>
      </c>
    </row>
    <row r="1195" spans="1:10" ht="11.25" customHeight="1">
      <c r="A1195" s="3363" t="s">
        <v>5562</v>
      </c>
      <c r="B1195" s="3237" t="s">
        <v>4473</v>
      </c>
      <c r="C1195" s="3237" t="s">
        <v>4417</v>
      </c>
      <c r="D1195" s="3237" t="s">
        <v>4459</v>
      </c>
      <c r="E1195" s="3237" t="s">
        <v>4460</v>
      </c>
      <c r="F1195" s="3237" t="s">
        <v>4474</v>
      </c>
      <c r="G1195" s="3237" t="s">
        <v>4442</v>
      </c>
      <c r="H1195" s="3237" t="s">
        <v>3219</v>
      </c>
      <c r="I1195" s="3236" t="s">
        <v>4462</v>
      </c>
      <c r="J1195" s="3236">
        <v>29.09</v>
      </c>
    </row>
    <row r="1196" spans="1:10" ht="11.25" customHeight="1">
      <c r="A1196" s="3363" t="s">
        <v>5563</v>
      </c>
      <c r="B1196" s="3237" t="s">
        <v>4473</v>
      </c>
      <c r="C1196" s="3237" t="s">
        <v>4418</v>
      </c>
      <c r="D1196" s="3237" t="s">
        <v>4459</v>
      </c>
      <c r="E1196" s="3237" t="s">
        <v>4460</v>
      </c>
      <c r="F1196" s="3237" t="s">
        <v>4474</v>
      </c>
      <c r="G1196" s="3237" t="s">
        <v>4442</v>
      </c>
      <c r="H1196" s="3237" t="s">
        <v>3219</v>
      </c>
      <c r="I1196" s="3236" t="s">
        <v>4462</v>
      </c>
      <c r="J1196" s="3236">
        <v>29.09</v>
      </c>
    </row>
    <row r="1197" spans="1:10" ht="11.25" customHeight="1">
      <c r="A1197" s="3363" t="s">
        <v>5564</v>
      </c>
      <c r="B1197" s="3237" t="s">
        <v>4473</v>
      </c>
      <c r="C1197" s="3237" t="s">
        <v>4419</v>
      </c>
      <c r="D1197" s="3237" t="s">
        <v>4459</v>
      </c>
      <c r="E1197" s="3237" t="s">
        <v>4460</v>
      </c>
      <c r="F1197" s="3237" t="s">
        <v>4474</v>
      </c>
      <c r="G1197" s="3237" t="s">
        <v>4442</v>
      </c>
      <c r="H1197" s="3237" t="s">
        <v>3219</v>
      </c>
      <c r="I1197" s="3236" t="s">
        <v>4462</v>
      </c>
      <c r="J1197" s="3236">
        <v>29.09</v>
      </c>
    </row>
    <row r="1198" spans="1:10" ht="11.25" customHeight="1">
      <c r="A1198" s="3363" t="s">
        <v>5565</v>
      </c>
      <c r="B1198" s="3237" t="s">
        <v>4473</v>
      </c>
      <c r="C1198" s="3237" t="s">
        <v>4420</v>
      </c>
      <c r="D1198" s="3237" t="s">
        <v>4459</v>
      </c>
      <c r="E1198" s="3237" t="s">
        <v>4460</v>
      </c>
      <c r="F1198" s="3237" t="s">
        <v>4474</v>
      </c>
      <c r="G1198" s="3237" t="s">
        <v>4442</v>
      </c>
      <c r="H1198" s="3237" t="s">
        <v>3219</v>
      </c>
      <c r="I1198" s="3236" t="s">
        <v>4462</v>
      </c>
      <c r="J1198" s="3236">
        <v>29.09</v>
      </c>
    </row>
    <row r="1199" spans="1:10" ht="11.25" customHeight="1">
      <c r="A1199" s="3363" t="s">
        <v>5566</v>
      </c>
      <c r="B1199" s="3237" t="s">
        <v>4473</v>
      </c>
      <c r="C1199" s="3237" t="s">
        <v>4421</v>
      </c>
      <c r="D1199" s="3237" t="s">
        <v>4459</v>
      </c>
      <c r="E1199" s="3237" t="s">
        <v>4460</v>
      </c>
      <c r="F1199" s="3237" t="s">
        <v>4474</v>
      </c>
      <c r="G1199" s="3237" t="s">
        <v>4442</v>
      </c>
      <c r="H1199" s="3237" t="s">
        <v>3219</v>
      </c>
      <c r="I1199" s="3236" t="s">
        <v>4462</v>
      </c>
      <c r="J1199" s="3236">
        <v>29.09</v>
      </c>
    </row>
    <row r="1200" spans="1:10" ht="11.25" customHeight="1">
      <c r="A1200" s="3363" t="s">
        <v>5567</v>
      </c>
      <c r="B1200" s="3237" t="s">
        <v>4473</v>
      </c>
      <c r="C1200" s="3237" t="s">
        <v>4422</v>
      </c>
      <c r="D1200" s="3237" t="s">
        <v>4459</v>
      </c>
      <c r="E1200" s="3237" t="s">
        <v>4460</v>
      </c>
      <c r="F1200" s="3237" t="s">
        <v>4474</v>
      </c>
      <c r="G1200" s="3237" t="s">
        <v>4442</v>
      </c>
      <c r="H1200" s="3237" t="s">
        <v>3219</v>
      </c>
      <c r="I1200" s="3236" t="s">
        <v>4462</v>
      </c>
      <c r="J1200" s="3236">
        <v>29.09</v>
      </c>
    </row>
    <row r="1201" spans="1:10" ht="11.25" customHeight="1">
      <c r="A1201" s="3363" t="s">
        <v>5568</v>
      </c>
      <c r="B1201" s="3237" t="s">
        <v>4473</v>
      </c>
      <c r="C1201" s="3237" t="s">
        <v>4423</v>
      </c>
      <c r="D1201" s="3237" t="s">
        <v>4459</v>
      </c>
      <c r="E1201" s="3237" t="s">
        <v>4460</v>
      </c>
      <c r="F1201" s="3237" t="s">
        <v>4474</v>
      </c>
      <c r="G1201" s="3237" t="s">
        <v>4442</v>
      </c>
      <c r="H1201" s="3237" t="s">
        <v>3219</v>
      </c>
      <c r="I1201" s="3236" t="s">
        <v>4462</v>
      </c>
      <c r="J1201" s="3236">
        <v>29.09</v>
      </c>
    </row>
    <row r="1202" spans="1:10" ht="11.25" customHeight="1">
      <c r="A1202" s="3363" t="s">
        <v>5569</v>
      </c>
      <c r="B1202" s="3237" t="s">
        <v>4473</v>
      </c>
      <c r="C1202" s="3237" t="s">
        <v>4424</v>
      </c>
      <c r="D1202" s="3237" t="s">
        <v>4459</v>
      </c>
      <c r="E1202" s="3237" t="s">
        <v>4460</v>
      </c>
      <c r="F1202" s="3237" t="s">
        <v>4474</v>
      </c>
      <c r="G1202" s="3237" t="s">
        <v>4442</v>
      </c>
      <c r="H1202" s="3237" t="s">
        <v>3219</v>
      </c>
      <c r="I1202" s="3236" t="s">
        <v>4462</v>
      </c>
      <c r="J1202" s="3236">
        <v>29.09</v>
      </c>
    </row>
    <row r="1203" spans="1:10" ht="11.25" customHeight="1">
      <c r="A1203" s="3363" t="s">
        <v>5570</v>
      </c>
      <c r="B1203" s="3237" t="s">
        <v>4473</v>
      </c>
      <c r="C1203" s="3237" t="s">
        <v>4425</v>
      </c>
      <c r="D1203" s="3237" t="s">
        <v>4459</v>
      </c>
      <c r="E1203" s="3237" t="s">
        <v>4460</v>
      </c>
      <c r="F1203" s="3237" t="s">
        <v>4474</v>
      </c>
      <c r="G1203" s="3237" t="s">
        <v>4442</v>
      </c>
      <c r="H1203" s="3237" t="s">
        <v>3219</v>
      </c>
      <c r="I1203" s="3236" t="s">
        <v>4462</v>
      </c>
      <c r="J1203" s="3236">
        <v>29.09</v>
      </c>
    </row>
    <row r="1204" spans="1:10" ht="11.25" customHeight="1">
      <c r="A1204" s="3363" t="s">
        <v>5571</v>
      </c>
      <c r="B1204" s="3237" t="s">
        <v>4473</v>
      </c>
      <c r="C1204" s="3237" t="s">
        <v>4426</v>
      </c>
      <c r="D1204" s="3237" t="s">
        <v>4459</v>
      </c>
      <c r="E1204" s="3237" t="s">
        <v>4460</v>
      </c>
      <c r="F1204" s="3237" t="s">
        <v>4474</v>
      </c>
      <c r="G1204" s="3237" t="s">
        <v>4442</v>
      </c>
      <c r="H1204" s="3237" t="s">
        <v>3219</v>
      </c>
      <c r="I1204" s="3236" t="s">
        <v>4462</v>
      </c>
      <c r="J1204" s="3236">
        <v>29.09</v>
      </c>
    </row>
    <row r="1205" spans="1:10" ht="11.25" customHeight="1">
      <c r="A1205" s="3363" t="s">
        <v>5572</v>
      </c>
      <c r="B1205" s="3237" t="s">
        <v>4473</v>
      </c>
      <c r="C1205" s="3237" t="s">
        <v>4427</v>
      </c>
      <c r="D1205" s="3237" t="s">
        <v>4459</v>
      </c>
      <c r="E1205" s="3237" t="s">
        <v>4460</v>
      </c>
      <c r="F1205" s="3237" t="s">
        <v>4474</v>
      </c>
      <c r="G1205" s="3237" t="s">
        <v>4442</v>
      </c>
      <c r="H1205" s="3237" t="s">
        <v>3219</v>
      </c>
      <c r="I1205" s="3236" t="s">
        <v>4462</v>
      </c>
      <c r="J1205" s="3236">
        <v>29.09</v>
      </c>
    </row>
    <row r="1206" spans="1:10" ht="11.25" customHeight="1">
      <c r="A1206" s="3363" t="s">
        <v>5573</v>
      </c>
      <c r="B1206" s="3237" t="s">
        <v>4473</v>
      </c>
      <c r="C1206" s="3237" t="s">
        <v>4428</v>
      </c>
      <c r="D1206" s="3237" t="s">
        <v>4459</v>
      </c>
      <c r="E1206" s="3237" t="s">
        <v>4460</v>
      </c>
      <c r="F1206" s="3237" t="s">
        <v>4474</v>
      </c>
      <c r="G1206" s="3237" t="s">
        <v>4442</v>
      </c>
      <c r="H1206" s="3237" t="s">
        <v>3219</v>
      </c>
      <c r="I1206" s="3236" t="s">
        <v>4462</v>
      </c>
      <c r="J1206" s="3236">
        <v>29.09</v>
      </c>
    </row>
    <row r="1207" spans="1:10" ht="11.25" customHeight="1">
      <c r="A1207" s="3363" t="s">
        <v>5574</v>
      </c>
      <c r="B1207" s="3237" t="s">
        <v>4473</v>
      </c>
      <c r="C1207" s="3237" t="s">
        <v>4429</v>
      </c>
      <c r="D1207" s="3237" t="s">
        <v>4459</v>
      </c>
      <c r="E1207" s="3237" t="s">
        <v>4460</v>
      </c>
      <c r="F1207" s="3237" t="s">
        <v>4474</v>
      </c>
      <c r="G1207" s="3237" t="s">
        <v>4442</v>
      </c>
      <c r="H1207" s="3237" t="s">
        <v>3219</v>
      </c>
      <c r="I1207" s="3236" t="s">
        <v>4462</v>
      </c>
      <c r="J1207" s="3236">
        <v>29.09</v>
      </c>
    </row>
    <row r="1208" spans="1:10" ht="11.25" customHeight="1">
      <c r="A1208" s="3363" t="s">
        <v>5575</v>
      </c>
      <c r="B1208" s="3237" t="s">
        <v>4473</v>
      </c>
      <c r="C1208" s="3237" t="s">
        <v>4430</v>
      </c>
      <c r="D1208" s="3237" t="s">
        <v>4459</v>
      </c>
      <c r="E1208" s="3237" t="s">
        <v>4460</v>
      </c>
      <c r="F1208" s="3237" t="s">
        <v>4474</v>
      </c>
      <c r="G1208" s="3237" t="s">
        <v>4442</v>
      </c>
      <c r="H1208" s="3237" t="s">
        <v>3219</v>
      </c>
      <c r="I1208" s="3236" t="s">
        <v>4462</v>
      </c>
      <c r="J1208" s="3236">
        <v>29.09</v>
      </c>
    </row>
    <row r="1209" spans="1:10" ht="11.25" customHeight="1">
      <c r="A1209" s="3363" t="s">
        <v>5576</v>
      </c>
      <c r="B1209" s="3237" t="s">
        <v>4473</v>
      </c>
      <c r="C1209" s="3237" t="s">
        <v>4431</v>
      </c>
      <c r="D1209" s="3237" t="s">
        <v>4459</v>
      </c>
      <c r="E1209" s="3237" t="s">
        <v>4460</v>
      </c>
      <c r="F1209" s="3237" t="s">
        <v>4474</v>
      </c>
      <c r="G1209" s="3237" t="s">
        <v>4442</v>
      </c>
      <c r="H1209" s="3237" t="s">
        <v>3219</v>
      </c>
      <c r="I1209" s="3236" t="s">
        <v>4462</v>
      </c>
      <c r="J1209" s="3236">
        <v>29.09</v>
      </c>
    </row>
    <row r="1210" spans="1:10" ht="11.25" customHeight="1">
      <c r="A1210" s="3363" t="s">
        <v>5577</v>
      </c>
      <c r="B1210" s="3237" t="s">
        <v>4473</v>
      </c>
      <c r="C1210" s="3237" t="s">
        <v>4432</v>
      </c>
      <c r="D1210" s="3237" t="s">
        <v>4459</v>
      </c>
      <c r="E1210" s="3237" t="s">
        <v>4460</v>
      </c>
      <c r="F1210" s="3237" t="s">
        <v>4474</v>
      </c>
      <c r="G1210" s="3237" t="s">
        <v>4442</v>
      </c>
      <c r="H1210" s="3237" t="s">
        <v>3219</v>
      </c>
      <c r="I1210" s="3236" t="s">
        <v>4462</v>
      </c>
      <c r="J1210" s="3236">
        <v>29.09</v>
      </c>
    </row>
    <row r="1211" spans="1:10" ht="11.25" customHeight="1">
      <c r="A1211" s="3363" t="s">
        <v>5578</v>
      </c>
      <c r="B1211" s="3237" t="s">
        <v>4473</v>
      </c>
      <c r="C1211" s="3237" t="s">
        <v>4433</v>
      </c>
      <c r="D1211" s="3237" t="s">
        <v>4459</v>
      </c>
      <c r="E1211" s="3237" t="s">
        <v>4460</v>
      </c>
      <c r="F1211" s="3237" t="s">
        <v>4474</v>
      </c>
      <c r="G1211" s="3237" t="s">
        <v>4442</v>
      </c>
      <c r="H1211" s="3237" t="s">
        <v>3219</v>
      </c>
      <c r="I1211" s="3236" t="s">
        <v>4462</v>
      </c>
      <c r="J1211" s="3236">
        <v>29.09</v>
      </c>
    </row>
    <row r="1212" spans="1:10" ht="11.25" customHeight="1">
      <c r="A1212" s="3363" t="s">
        <v>5579</v>
      </c>
      <c r="B1212" s="3237" t="s">
        <v>4473</v>
      </c>
      <c r="C1212" s="3237" t="s">
        <v>4434</v>
      </c>
      <c r="D1212" s="3237" t="s">
        <v>4459</v>
      </c>
      <c r="E1212" s="3237" t="s">
        <v>4460</v>
      </c>
      <c r="F1212" s="3237" t="s">
        <v>4474</v>
      </c>
      <c r="G1212" s="3237" t="s">
        <v>4442</v>
      </c>
      <c r="H1212" s="3237" t="s">
        <v>3219</v>
      </c>
      <c r="I1212" s="3236" t="s">
        <v>4462</v>
      </c>
      <c r="J1212" s="3236">
        <v>29.09</v>
      </c>
    </row>
    <row r="1213" spans="1:10" ht="11.25" customHeight="1">
      <c r="A1213" s="3363" t="s">
        <v>5580</v>
      </c>
      <c r="B1213" s="3237" t="s">
        <v>4473</v>
      </c>
      <c r="C1213" s="3237" t="s">
        <v>4435</v>
      </c>
      <c r="D1213" s="3237" t="s">
        <v>4459</v>
      </c>
      <c r="E1213" s="3237" t="s">
        <v>4460</v>
      </c>
      <c r="F1213" s="3237" t="s">
        <v>4474</v>
      </c>
      <c r="G1213" s="3237" t="s">
        <v>4442</v>
      </c>
      <c r="H1213" s="3237" t="s">
        <v>3219</v>
      </c>
      <c r="I1213" s="3236" t="s">
        <v>4462</v>
      </c>
      <c r="J1213" s="3236">
        <v>29.09</v>
      </c>
    </row>
    <row r="1214" spans="1:10" ht="11.25" customHeight="1">
      <c r="A1214" s="3363" t="s">
        <v>5581</v>
      </c>
      <c r="B1214" s="3237" t="s">
        <v>4473</v>
      </c>
      <c r="C1214" s="3237" t="s">
        <v>4436</v>
      </c>
      <c r="D1214" s="3237" t="s">
        <v>4459</v>
      </c>
      <c r="E1214" s="3237" t="s">
        <v>4460</v>
      </c>
      <c r="F1214" s="3237" t="s">
        <v>4474</v>
      </c>
      <c r="G1214" s="3237" t="s">
        <v>4442</v>
      </c>
      <c r="H1214" s="3237" t="s">
        <v>3219</v>
      </c>
      <c r="I1214" s="3236" t="s">
        <v>4462</v>
      </c>
      <c r="J1214" s="3236">
        <v>29.09</v>
      </c>
    </row>
    <row r="1215" spans="1:10" ht="11.25" customHeight="1">
      <c r="A1215" s="3363" t="s">
        <v>5582</v>
      </c>
      <c r="B1215" s="3237" t="s">
        <v>4473</v>
      </c>
      <c r="C1215" s="3237" t="s">
        <v>4437</v>
      </c>
      <c r="D1215" s="3237" t="s">
        <v>4459</v>
      </c>
      <c r="E1215" s="3237" t="s">
        <v>4460</v>
      </c>
      <c r="F1215" s="3237" t="s">
        <v>4474</v>
      </c>
      <c r="G1215" s="3237" t="s">
        <v>4442</v>
      </c>
      <c r="H1215" s="3237" t="s">
        <v>3219</v>
      </c>
      <c r="I1215" s="3236" t="s">
        <v>4462</v>
      </c>
      <c r="J1215" s="3236">
        <v>29.09</v>
      </c>
    </row>
    <row r="1216" spans="1:10" ht="11.25" customHeight="1">
      <c r="A1216" s="3363" t="s">
        <v>5583</v>
      </c>
      <c r="B1216" s="3237" t="s">
        <v>4473</v>
      </c>
      <c r="C1216" s="3237" t="s">
        <v>4438</v>
      </c>
      <c r="D1216" s="3237" t="s">
        <v>4459</v>
      </c>
      <c r="E1216" s="3237" t="s">
        <v>4460</v>
      </c>
      <c r="F1216" s="3237" t="s">
        <v>4474</v>
      </c>
      <c r="G1216" s="3237" t="s">
        <v>4442</v>
      </c>
      <c r="H1216" s="3237" t="s">
        <v>3219</v>
      </c>
      <c r="I1216" s="3236" t="s">
        <v>4462</v>
      </c>
      <c r="J1216" s="3236">
        <v>29.09</v>
      </c>
    </row>
    <row r="1217" spans="1:10" ht="11.25" customHeight="1">
      <c r="A1217" s="3363" t="s">
        <v>5584</v>
      </c>
      <c r="B1217" s="3237" t="s">
        <v>4473</v>
      </c>
      <c r="C1217" s="3237" t="s">
        <v>4439</v>
      </c>
      <c r="D1217" s="3237" t="s">
        <v>4459</v>
      </c>
      <c r="E1217" s="3237" t="s">
        <v>4460</v>
      </c>
      <c r="F1217" s="3237" t="s">
        <v>4474</v>
      </c>
      <c r="G1217" s="3237" t="s">
        <v>4442</v>
      </c>
      <c r="H1217" s="3237" t="s">
        <v>3219</v>
      </c>
      <c r="I1217" s="3236" t="s">
        <v>4462</v>
      </c>
      <c r="J1217" s="3236">
        <v>29.09</v>
      </c>
    </row>
    <row r="1218" spans="1:10" ht="11.25" customHeight="1">
      <c r="A1218" s="3363" t="s">
        <v>5585</v>
      </c>
      <c r="B1218" s="3237" t="s">
        <v>4473</v>
      </c>
      <c r="C1218" s="3237" t="s">
        <v>4440</v>
      </c>
      <c r="D1218" s="3237" t="s">
        <v>4459</v>
      </c>
      <c r="E1218" s="3237" t="s">
        <v>4460</v>
      </c>
      <c r="F1218" s="3237" t="s">
        <v>4474</v>
      </c>
      <c r="G1218" s="3237" t="s">
        <v>4442</v>
      </c>
      <c r="H1218" s="3237" t="s">
        <v>3219</v>
      </c>
      <c r="I1218" s="3236" t="s">
        <v>4462</v>
      </c>
      <c r="J1218" s="3236">
        <v>29.09</v>
      </c>
    </row>
    <row r="1219" spans="1:10" ht="11.25" customHeight="1">
      <c r="A1219" s="3363" t="s">
        <v>5586</v>
      </c>
      <c r="B1219" s="3237" t="s">
        <v>4473</v>
      </c>
      <c r="C1219" s="3237" t="s">
        <v>4441</v>
      </c>
      <c r="D1219" s="3237" t="s">
        <v>4459</v>
      </c>
      <c r="E1219" s="3237" t="s">
        <v>4460</v>
      </c>
      <c r="F1219" s="3237" t="s">
        <v>4474</v>
      </c>
      <c r="G1219" s="3237" t="s">
        <v>4442</v>
      </c>
      <c r="H1219" s="3237" t="s">
        <v>3219</v>
      </c>
      <c r="I1219" s="3236" t="s">
        <v>4462</v>
      </c>
      <c r="J1219" s="3236">
        <v>29.09</v>
      </c>
    </row>
    <row r="1220" spans="1:10" ht="11.25" customHeight="1">
      <c r="A1220" s="3363"/>
      <c r="B1220" s="3245"/>
      <c r="C1220" s="3245"/>
      <c r="D1220" s="3245"/>
      <c r="E1220" s="3245"/>
      <c r="F1220" s="3245"/>
      <c r="G1220" s="3245"/>
      <c r="H1220" s="3490" t="s">
        <v>4475</v>
      </c>
      <c r="I1220" s="3490"/>
      <c r="J1220" s="3246">
        <f>SUM(J443:J1219)</f>
        <v>22562.870000000104</v>
      </c>
    </row>
    <row r="1221" spans="1:10" ht="11.25" customHeight="1">
      <c r="A1221" s="3363"/>
      <c r="B1221" s="3245"/>
      <c r="C1221" s="3245"/>
      <c r="D1221" s="3245"/>
      <c r="E1221" s="3245"/>
      <c r="F1221" s="3245"/>
      <c r="G1221" s="3245"/>
      <c r="H1221" s="3491" t="s">
        <v>4476</v>
      </c>
      <c r="I1221" s="3491"/>
      <c r="J1221" s="3246">
        <f>J339+J425+J442+J1220</f>
        <v>51698.540000000117</v>
      </c>
    </row>
    <row r="1222" spans="1:10" ht="39" customHeight="1">
      <c r="B1222" s="3492" t="s">
        <v>4477</v>
      </c>
      <c r="C1222" s="3492"/>
      <c r="D1222" s="3492"/>
      <c r="E1222" s="3492"/>
      <c r="F1222" s="3492"/>
      <c r="G1222" s="3492"/>
      <c r="H1222" s="3492"/>
      <c r="I1222" s="3492"/>
      <c r="J1222" s="3492"/>
    </row>
    <row r="1224" spans="1:10" ht="11.25" customHeight="1">
      <c r="B1224" s="3489" t="s">
        <v>4478</v>
      </c>
      <c r="C1224" s="3489"/>
      <c r="D1224" s="3489"/>
      <c r="E1224" s="3489"/>
      <c r="F1224" s="3489"/>
      <c r="G1224" s="3489"/>
      <c r="H1224" s="3489"/>
      <c r="I1224" s="3489"/>
      <c r="J1224" s="3489"/>
    </row>
  </sheetData>
  <mergeCells count="17">
    <mergeCell ref="B1:J2"/>
    <mergeCell ref="B4:B6"/>
    <mergeCell ref="C4:C6"/>
    <mergeCell ref="D4:D6"/>
    <mergeCell ref="E4:E6"/>
    <mergeCell ref="F4:G4"/>
    <mergeCell ref="H4:H6"/>
    <mergeCell ref="I4:I6"/>
    <mergeCell ref="J4:J6"/>
    <mergeCell ref="G5:G6"/>
    <mergeCell ref="A4:A6"/>
    <mergeCell ref="B1224:J1224"/>
    <mergeCell ref="H339:I339"/>
    <mergeCell ref="H442:I442"/>
    <mergeCell ref="H1220:I1220"/>
    <mergeCell ref="H1221:I1221"/>
    <mergeCell ref="B1222:J1222"/>
  </mergeCells>
  <phoneticPr fontId="14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0">
    <pageSetUpPr fitToPage="1"/>
  </sheetPr>
  <dimension ref="A1:Q91"/>
  <sheetViews>
    <sheetView workbookViewId="0">
      <selection activeCell="A17" sqref="A17:XFD17"/>
    </sheetView>
  </sheetViews>
  <sheetFormatPr defaultColWidth="9" defaultRowHeight="12.75"/>
  <cols>
    <col min="1" max="1" width="12.5" style="3306" customWidth="1"/>
    <col min="2" max="2" width="5.125" style="3306" customWidth="1"/>
    <col min="3" max="3" width="8.375" style="3306" customWidth="1"/>
    <col min="4" max="4" width="11.125" style="3306" customWidth="1"/>
    <col min="5" max="5" width="14.125" style="3306" customWidth="1"/>
    <col min="6" max="6" width="7.625" style="3306" customWidth="1"/>
    <col min="7" max="7" width="22.125" style="3306" customWidth="1"/>
    <col min="8" max="8" width="9.625" style="3306" customWidth="1"/>
    <col min="9" max="10" width="10.375" style="3305" customWidth="1"/>
    <col min="11" max="11" width="17.125" style="3307" customWidth="1"/>
    <col min="12" max="12" width="8.125" style="3305" customWidth="1"/>
    <col min="13" max="13" width="10.875" style="3306" customWidth="1"/>
    <col min="14" max="14" width="5" style="3305" customWidth="1"/>
    <col min="15" max="16384" width="9" style="3305"/>
  </cols>
  <sheetData>
    <row r="1" spans="1:17" s="3251" customFormat="1">
      <c r="A1" s="3505" t="s">
        <v>4491</v>
      </c>
      <c r="B1" s="3505"/>
      <c r="C1" s="3505"/>
      <c r="D1" s="3505"/>
      <c r="E1" s="3505"/>
      <c r="F1" s="3505"/>
      <c r="G1" s="3505"/>
      <c r="H1" s="3505"/>
      <c r="I1" s="3505"/>
      <c r="J1" s="3505"/>
      <c r="K1" s="3505"/>
      <c r="L1" s="3505"/>
      <c r="M1" s="3505"/>
    </row>
    <row r="2" spans="1:17" s="3252" customFormat="1">
      <c r="A2" s="3494" t="s">
        <v>4492</v>
      </c>
      <c r="B2" s="3494" t="s">
        <v>4493</v>
      </c>
      <c r="C2" s="3494" t="s">
        <v>4494</v>
      </c>
      <c r="D2" s="3494" t="s">
        <v>4495</v>
      </c>
      <c r="E2" s="3506" t="s">
        <v>4496</v>
      </c>
      <c r="F2" s="3494" t="s">
        <v>4497</v>
      </c>
      <c r="G2" s="3494" t="s">
        <v>4498</v>
      </c>
      <c r="H2" s="3494" t="s">
        <v>4499</v>
      </c>
      <c r="I2" s="3508" t="s">
        <v>4500</v>
      </c>
      <c r="J2" s="3509"/>
      <c r="K2" s="3496" t="s">
        <v>4501</v>
      </c>
      <c r="L2" s="3494" t="s">
        <v>4502</v>
      </c>
      <c r="M2" s="3494" t="s">
        <v>4503</v>
      </c>
    </row>
    <row r="3" spans="1:17" s="3252" customFormat="1">
      <c r="A3" s="3494"/>
      <c r="B3" s="3494"/>
      <c r="C3" s="3494"/>
      <c r="D3" s="3494"/>
      <c r="E3" s="3507"/>
      <c r="F3" s="3494"/>
      <c r="G3" s="3494"/>
      <c r="H3" s="3494"/>
      <c r="I3" s="3510"/>
      <c r="J3" s="3511"/>
      <c r="K3" s="3496"/>
      <c r="L3" s="3494"/>
      <c r="M3" s="3494"/>
    </row>
    <row r="4" spans="1:17" s="3262" customFormat="1" ht="24">
      <c r="A4" s="3253" t="s">
        <v>4504</v>
      </c>
      <c r="B4" s="3253">
        <v>2</v>
      </c>
      <c r="C4" s="3254" t="s">
        <v>4505</v>
      </c>
      <c r="D4" s="3255">
        <v>116.47</v>
      </c>
      <c r="E4" s="3256" t="s">
        <v>4506</v>
      </c>
      <c r="F4" s="3257" t="s">
        <v>4505</v>
      </c>
      <c r="G4" s="3257" t="s">
        <v>4507</v>
      </c>
      <c r="H4" s="3258">
        <v>107.72</v>
      </c>
      <c r="I4" s="3259">
        <v>44477</v>
      </c>
      <c r="J4" s="3259">
        <v>45572</v>
      </c>
      <c r="K4" s="3260">
        <v>492127.8</v>
      </c>
      <c r="L4" s="3261" t="s">
        <v>3240</v>
      </c>
      <c r="M4" s="3258"/>
      <c r="N4" s="3262">
        <v>2</v>
      </c>
      <c r="P4" s="3262">
        <f>K4/D4/365</f>
        <v>11.576331608703988</v>
      </c>
      <c r="Q4" s="3262">
        <f>K4/H4/365</f>
        <v>12.516666751445909</v>
      </c>
    </row>
    <row r="5" spans="1:17" s="3262" customFormat="1" ht="24">
      <c r="A5" s="3253"/>
      <c r="B5" s="3253"/>
      <c r="C5" s="3254" t="s">
        <v>4508</v>
      </c>
      <c r="D5" s="3258">
        <v>1075.9675675675701</v>
      </c>
      <c r="E5" s="3497">
        <v>1567.86</v>
      </c>
      <c r="F5" s="3257" t="s">
        <v>4508</v>
      </c>
      <c r="G5" s="3257" t="s">
        <v>4509</v>
      </c>
      <c r="H5" s="3258">
        <v>995.27</v>
      </c>
      <c r="I5" s="3259">
        <v>44166</v>
      </c>
      <c r="J5" s="3259">
        <v>44957</v>
      </c>
      <c r="K5" s="3260">
        <v>2249801.4248926998</v>
      </c>
      <c r="L5" s="3261" t="s">
        <v>3240</v>
      </c>
      <c r="M5" s="3258" t="s">
        <v>4510</v>
      </c>
      <c r="N5" s="3262">
        <v>2</v>
      </c>
      <c r="Q5" s="3262">
        <f t="shared" ref="Q5:Q67" si="0">K5/H5/365</f>
        <v>6.1931330395309541</v>
      </c>
    </row>
    <row r="6" spans="1:17" s="3262" customFormat="1" ht="12">
      <c r="A6" s="3253"/>
      <c r="B6" s="3253"/>
      <c r="C6" s="3254" t="s">
        <v>4511</v>
      </c>
      <c r="D6" s="3263">
        <v>491.89</v>
      </c>
      <c r="E6" s="3498"/>
      <c r="F6" s="3264" t="s">
        <v>4511</v>
      </c>
      <c r="G6" s="3264" t="s">
        <v>4512</v>
      </c>
      <c r="H6" s="3258">
        <v>455</v>
      </c>
      <c r="I6" s="3259">
        <v>44166</v>
      </c>
      <c r="J6" s="3259">
        <v>44957</v>
      </c>
      <c r="K6" s="3260">
        <v>1066859.6866359401</v>
      </c>
      <c r="L6" s="3261" t="s">
        <v>3240</v>
      </c>
      <c r="M6" s="3258" t="s">
        <v>4513</v>
      </c>
      <c r="N6" s="3262">
        <v>1</v>
      </c>
      <c r="Q6" s="3262">
        <f t="shared" si="0"/>
        <v>6.4239631891370772</v>
      </c>
    </row>
    <row r="7" spans="1:17" s="3274" customFormat="1" ht="24">
      <c r="A7" s="3265"/>
      <c r="B7" s="3266"/>
      <c r="C7" s="3267" t="s">
        <v>4514</v>
      </c>
      <c r="D7" s="3268">
        <v>88.8972972972973</v>
      </c>
      <c r="E7" s="3269" t="s">
        <v>4515</v>
      </c>
      <c r="F7" s="3270" t="s">
        <v>4514</v>
      </c>
      <c r="G7" s="3270" t="s">
        <v>4516</v>
      </c>
      <c r="H7" s="3268">
        <v>82.23</v>
      </c>
      <c r="I7" s="3271">
        <v>44150</v>
      </c>
      <c r="J7" s="3271">
        <v>45274</v>
      </c>
      <c r="K7" s="3272">
        <v>285912.10389610397</v>
      </c>
      <c r="L7" s="3273" t="s">
        <v>3240</v>
      </c>
      <c r="M7" s="3268"/>
      <c r="N7" s="3274">
        <v>2</v>
      </c>
      <c r="Q7" s="3274">
        <f t="shared" si="0"/>
        <v>9.5259738853467795</v>
      </c>
    </row>
    <row r="8" spans="1:17" s="3274" customFormat="1" ht="24">
      <c r="A8" s="3265"/>
      <c r="B8" s="3265"/>
      <c r="C8" s="3267" t="s">
        <v>4517</v>
      </c>
      <c r="D8" s="3275">
        <v>434.66</v>
      </c>
      <c r="E8" s="3499">
        <v>1245.71</v>
      </c>
      <c r="F8" s="3270" t="s">
        <v>4517</v>
      </c>
      <c r="G8" s="3270" t="s">
        <v>4518</v>
      </c>
      <c r="H8" s="3268">
        <v>402.06</v>
      </c>
      <c r="I8" s="3271">
        <v>44540</v>
      </c>
      <c r="J8" s="3271">
        <v>45269</v>
      </c>
      <c r="K8" s="3272">
        <v>1058814.96</v>
      </c>
      <c r="L8" s="3273" t="s">
        <v>3240</v>
      </c>
      <c r="M8" s="3268"/>
      <c r="N8" s="3274">
        <v>1</v>
      </c>
      <c r="Q8" s="3274">
        <f t="shared" si="0"/>
        <v>7.2150000102213321</v>
      </c>
    </row>
    <row r="9" spans="1:17" s="3274" customFormat="1" ht="24">
      <c r="A9" s="3265"/>
      <c r="B9" s="3265"/>
      <c r="C9" s="3267" t="s">
        <v>4519</v>
      </c>
      <c r="D9" s="3275">
        <v>705.44</v>
      </c>
      <c r="E9" s="3500"/>
      <c r="F9" s="3270" t="s">
        <v>4519</v>
      </c>
      <c r="G9" s="3270" t="s">
        <v>4520</v>
      </c>
      <c r="H9" s="3268">
        <v>652.53</v>
      </c>
      <c r="I9" s="3271">
        <v>44166</v>
      </c>
      <c r="J9" s="3271">
        <v>44957</v>
      </c>
      <c r="K9" s="3272">
        <v>1583798.5622119801</v>
      </c>
      <c r="L9" s="3273" t="s">
        <v>3240</v>
      </c>
      <c r="M9" s="3268"/>
      <c r="N9" s="3274">
        <v>0</v>
      </c>
      <c r="Q9" s="3274">
        <f t="shared" si="0"/>
        <v>6.6497695784814814</v>
      </c>
    </row>
    <row r="10" spans="1:17" s="3262" customFormat="1" ht="24">
      <c r="A10" s="3264"/>
      <c r="B10" s="3253"/>
      <c r="C10" s="3254" t="s">
        <v>4521</v>
      </c>
      <c r="D10" s="3255">
        <v>10.93</v>
      </c>
      <c r="E10" s="3256">
        <v>10.93</v>
      </c>
      <c r="F10" s="3257" t="s">
        <v>4521</v>
      </c>
      <c r="G10" s="3257" t="s">
        <v>4522</v>
      </c>
      <c r="H10" s="3258">
        <v>10.11</v>
      </c>
      <c r="I10" s="3259">
        <v>44666</v>
      </c>
      <c r="J10" s="3259">
        <v>45030</v>
      </c>
      <c r="K10" s="3260">
        <v>91257.4</v>
      </c>
      <c r="L10" s="3261" t="s">
        <v>3240</v>
      </c>
      <c r="M10" s="3258"/>
      <c r="N10" s="3262">
        <v>1</v>
      </c>
      <c r="Q10" s="3262">
        <f t="shared" si="0"/>
        <v>24.729997425578908</v>
      </c>
    </row>
    <row r="11" spans="1:17" s="3262" customFormat="1" ht="24">
      <c r="A11" s="3253"/>
      <c r="B11" s="3253"/>
      <c r="C11" s="3254" t="s">
        <v>4523</v>
      </c>
      <c r="D11" s="3255">
        <v>164.42162162162199</v>
      </c>
      <c r="E11" s="3256" t="s">
        <v>4524</v>
      </c>
      <c r="F11" s="3257" t="s">
        <v>4523</v>
      </c>
      <c r="G11" s="3257" t="s">
        <v>4525</v>
      </c>
      <c r="H11" s="3258">
        <v>152.09</v>
      </c>
      <c r="I11" s="3259">
        <v>43698</v>
      </c>
      <c r="J11" s="3259">
        <v>45524</v>
      </c>
      <c r="K11" s="3260">
        <v>700572.17599999998</v>
      </c>
      <c r="L11" s="3261" t="s">
        <v>3240</v>
      </c>
      <c r="M11" s="3258"/>
      <c r="N11" s="3262">
        <v>2</v>
      </c>
      <c r="Q11" s="3262">
        <f t="shared" si="0"/>
        <v>12.620000162124624</v>
      </c>
    </row>
    <row r="12" spans="1:17" s="3274" customFormat="1" ht="24">
      <c r="A12" s="3265"/>
      <c r="B12" s="3265"/>
      <c r="C12" s="3267" t="s">
        <v>4526</v>
      </c>
      <c r="D12" s="3275">
        <v>92.66</v>
      </c>
      <c r="E12" s="3276" t="s">
        <v>4527</v>
      </c>
      <c r="F12" s="3270" t="s">
        <v>4526</v>
      </c>
      <c r="G12" s="3270" t="s">
        <v>4528</v>
      </c>
      <c r="H12" s="3268">
        <v>89.14</v>
      </c>
      <c r="I12" s="3271">
        <v>44446</v>
      </c>
      <c r="J12" s="3271">
        <v>44811</v>
      </c>
      <c r="K12" s="3272">
        <v>346834.84</v>
      </c>
      <c r="L12" s="3273" t="s">
        <v>3240</v>
      </c>
      <c r="M12" s="3274" t="s">
        <v>4529</v>
      </c>
      <c r="N12" s="3277">
        <v>1</v>
      </c>
      <c r="Q12" s="3274">
        <f t="shared" si="0"/>
        <v>10.660000430291277</v>
      </c>
    </row>
    <row r="13" spans="1:17" s="3262" customFormat="1" ht="12">
      <c r="A13" s="3253"/>
      <c r="B13" s="3253"/>
      <c r="C13" s="3254" t="s">
        <v>4530</v>
      </c>
      <c r="D13" s="3255">
        <v>45.15</v>
      </c>
      <c r="E13" s="3256">
        <v>45.15</v>
      </c>
      <c r="F13" s="3257" t="s">
        <v>4530</v>
      </c>
      <c r="G13" s="3257" t="s">
        <v>4531</v>
      </c>
      <c r="H13" s="3258">
        <v>41.76</v>
      </c>
      <c r="I13" s="3259">
        <v>44175</v>
      </c>
      <c r="J13" s="3259">
        <v>45269</v>
      </c>
      <c r="K13" s="3260">
        <v>191596.97333333301</v>
      </c>
      <c r="L13" s="3261" t="s">
        <v>3240</v>
      </c>
      <c r="M13" s="3258"/>
      <c r="N13" s="3262">
        <v>1</v>
      </c>
      <c r="Q13" s="3262">
        <f t="shared" si="0"/>
        <v>12.570000349901131</v>
      </c>
    </row>
    <row r="14" spans="1:17" s="3262" customFormat="1" ht="12">
      <c r="A14" s="3253"/>
      <c r="B14" s="3253"/>
      <c r="C14" s="3254" t="s">
        <v>4532</v>
      </c>
      <c r="D14" s="3263">
        <v>97.481081081081101</v>
      </c>
      <c r="E14" s="3278">
        <v>97.45</v>
      </c>
      <c r="F14" s="3257" t="s">
        <v>4532</v>
      </c>
      <c r="G14" s="3257" t="s">
        <v>4533</v>
      </c>
      <c r="H14" s="3258">
        <v>90.17</v>
      </c>
      <c r="I14" s="3259">
        <v>44119</v>
      </c>
      <c r="J14" s="3259">
        <v>44848</v>
      </c>
      <c r="K14" s="3260">
        <v>307192.84000000003</v>
      </c>
      <c r="L14" s="3261" t="s">
        <v>3240</v>
      </c>
      <c r="M14" s="3258"/>
      <c r="N14" s="3262">
        <v>1</v>
      </c>
      <c r="Q14" s="3262">
        <f t="shared" si="0"/>
        <v>9.3337497968069449</v>
      </c>
    </row>
    <row r="15" spans="1:17" s="3262" customFormat="1" ht="12">
      <c r="A15" s="3253"/>
      <c r="B15" s="3253"/>
      <c r="C15" s="3254" t="s">
        <v>4534</v>
      </c>
      <c r="D15" s="3255">
        <v>70.540540540540505</v>
      </c>
      <c r="E15" s="3501">
        <v>1786.53</v>
      </c>
      <c r="F15" s="3257" t="s">
        <v>4534</v>
      </c>
      <c r="G15" s="3257" t="s">
        <v>4535</v>
      </c>
      <c r="H15" s="3258">
        <v>65.25</v>
      </c>
      <c r="I15" s="3259">
        <v>44183</v>
      </c>
      <c r="J15" s="3259">
        <v>45308</v>
      </c>
      <c r="K15" s="3260">
        <v>247274.01623376599</v>
      </c>
      <c r="L15" s="3261" t="s">
        <v>3240</v>
      </c>
      <c r="M15" s="3258"/>
      <c r="N15" s="3262">
        <v>1</v>
      </c>
      <c r="Q15" s="3262">
        <f t="shared" si="0"/>
        <v>10.382575604209983</v>
      </c>
    </row>
    <row r="16" spans="1:17" s="3262" customFormat="1" ht="12">
      <c r="A16" s="3253"/>
      <c r="B16" s="3253"/>
      <c r="C16" s="3254" t="s">
        <v>4536</v>
      </c>
      <c r="D16" s="3255">
        <v>18.3783783783784</v>
      </c>
      <c r="E16" s="3502"/>
      <c r="F16" s="3257" t="s">
        <v>4536</v>
      </c>
      <c r="G16" s="3257" t="s">
        <v>4537</v>
      </c>
      <c r="H16" s="3258">
        <v>17</v>
      </c>
      <c r="I16" s="3259">
        <v>44256</v>
      </c>
      <c r="J16" s="3259">
        <v>44985</v>
      </c>
      <c r="K16" s="3260">
        <v>112263.98</v>
      </c>
      <c r="L16" s="3261" t="s">
        <v>3240</v>
      </c>
      <c r="M16" s="3258"/>
      <c r="N16" s="3262">
        <v>0</v>
      </c>
      <c r="Q16" s="3262">
        <f t="shared" si="0"/>
        <v>18.092502820306205</v>
      </c>
    </row>
    <row r="17" spans="1:17" s="3262" customFormat="1" ht="24">
      <c r="A17" s="3253"/>
      <c r="B17" s="3253"/>
      <c r="C17" s="3254" t="s">
        <v>4538</v>
      </c>
      <c r="D17" s="3255">
        <v>1227.48</v>
      </c>
      <c r="E17" s="3503"/>
      <c r="F17" s="3257" t="s">
        <v>4538</v>
      </c>
      <c r="G17" s="3257" t="s">
        <v>4520</v>
      </c>
      <c r="H17" s="3258">
        <v>1135.42</v>
      </c>
      <c r="I17" s="3259">
        <v>44494</v>
      </c>
      <c r="J17" s="3259">
        <v>45223</v>
      </c>
      <c r="K17" s="3260">
        <v>2990100.18</v>
      </c>
      <c r="L17" s="3261" t="s">
        <v>3240</v>
      </c>
      <c r="M17" s="3258"/>
      <c r="N17" s="3262">
        <v>0</v>
      </c>
      <c r="Q17" s="3262">
        <f t="shared" si="0"/>
        <v>7.2149999891416687</v>
      </c>
    </row>
    <row r="18" spans="1:17" s="3262" customFormat="1" ht="12">
      <c r="A18" s="3253"/>
      <c r="B18" s="3253"/>
      <c r="C18" s="3254" t="s">
        <v>4539</v>
      </c>
      <c r="D18" s="3258">
        <v>87.03</v>
      </c>
      <c r="E18" s="3279">
        <v>87.03</v>
      </c>
      <c r="F18" s="3257" t="s">
        <v>4539</v>
      </c>
      <c r="G18" s="3257" t="s">
        <v>4540</v>
      </c>
      <c r="H18" s="3258">
        <v>80.5</v>
      </c>
      <c r="I18" s="3259">
        <v>44119</v>
      </c>
      <c r="J18" s="3259">
        <v>45213</v>
      </c>
      <c r="K18" s="3260">
        <v>305871.84000000003</v>
      </c>
      <c r="L18" s="3261" t="s">
        <v>3240</v>
      </c>
      <c r="M18" s="3258"/>
      <c r="N18" s="3262">
        <v>1</v>
      </c>
      <c r="Q18" s="3262">
        <f t="shared" si="0"/>
        <v>10.410000510507956</v>
      </c>
    </row>
    <row r="19" spans="1:17" s="3262" customFormat="1" ht="12">
      <c r="A19" s="3253"/>
      <c r="B19" s="3253"/>
      <c r="C19" s="3254" t="s">
        <v>4541</v>
      </c>
      <c r="D19" s="3255">
        <v>9.4270270270270302</v>
      </c>
      <c r="E19" s="3256"/>
      <c r="F19" s="3257" t="s">
        <v>4541</v>
      </c>
      <c r="G19" s="3257" t="s">
        <v>4542</v>
      </c>
      <c r="H19" s="3258">
        <v>8.7200000000000006</v>
      </c>
      <c r="I19" s="3259">
        <v>44287</v>
      </c>
      <c r="J19" s="3259">
        <v>45016</v>
      </c>
      <c r="K19" s="3260">
        <v>59629.54</v>
      </c>
      <c r="L19" s="3261" t="s">
        <v>3240</v>
      </c>
      <c r="M19" s="3258"/>
      <c r="N19" s="3262">
        <v>0</v>
      </c>
      <c r="Q19" s="3262">
        <f t="shared" si="0"/>
        <v>18.734931506849314</v>
      </c>
    </row>
    <row r="20" spans="1:17" s="3262" customFormat="1" ht="12">
      <c r="A20" s="3253"/>
      <c r="B20" s="3253"/>
      <c r="C20" s="3254" t="s">
        <v>4543</v>
      </c>
      <c r="D20" s="3255">
        <v>91.64</v>
      </c>
      <c r="E20" s="3256">
        <v>123.61</v>
      </c>
      <c r="F20" s="3257" t="s">
        <v>4543</v>
      </c>
      <c r="G20" s="3257" t="s">
        <v>4544</v>
      </c>
      <c r="H20" s="3258">
        <v>84.77</v>
      </c>
      <c r="I20" s="3259">
        <v>44602</v>
      </c>
      <c r="J20" s="3259">
        <v>45697</v>
      </c>
      <c r="K20" s="3260">
        <v>338804.506666667</v>
      </c>
      <c r="L20" s="3261" t="s">
        <v>3240</v>
      </c>
      <c r="M20" s="3258"/>
      <c r="N20" s="3262">
        <v>1</v>
      </c>
      <c r="Q20" s="3262">
        <f t="shared" si="0"/>
        <v>10.950000296262312</v>
      </c>
    </row>
    <row r="21" spans="1:17" s="3262" customFormat="1" ht="12">
      <c r="A21" s="3264"/>
      <c r="B21" s="3253"/>
      <c r="C21" s="3254" t="s">
        <v>4545</v>
      </c>
      <c r="D21" s="3255">
        <v>58.81</v>
      </c>
      <c r="E21" s="3256">
        <v>58.81</v>
      </c>
      <c r="F21" s="3257" t="s">
        <v>4545</v>
      </c>
      <c r="G21" s="3257" t="s">
        <v>4546</v>
      </c>
      <c r="H21" s="3258">
        <v>54.39</v>
      </c>
      <c r="I21" s="3259">
        <v>44635</v>
      </c>
      <c r="J21" s="3259">
        <v>45365</v>
      </c>
      <c r="K21" s="3260">
        <v>256790.16</v>
      </c>
      <c r="L21" s="3261" t="s">
        <v>3240</v>
      </c>
      <c r="M21" s="3258"/>
      <c r="N21" s="3262">
        <v>1</v>
      </c>
      <c r="Q21" s="3262">
        <f t="shared" si="0"/>
        <v>12.935000642241347</v>
      </c>
    </row>
    <row r="22" spans="1:17" s="3288" customFormat="1" ht="24">
      <c r="A22" s="3280"/>
      <c r="B22" s="3280"/>
      <c r="C22" s="3281" t="s">
        <v>4547</v>
      </c>
      <c r="D22" s="3282">
        <v>94.302702702702703</v>
      </c>
      <c r="E22" s="3283" t="s">
        <v>4548</v>
      </c>
      <c r="F22" s="3284" t="s">
        <v>4547</v>
      </c>
      <c r="G22" s="3284" t="s">
        <v>4549</v>
      </c>
      <c r="H22" s="3282">
        <v>87.23</v>
      </c>
      <c r="I22" s="3285">
        <v>44150</v>
      </c>
      <c r="J22" s="3285">
        <v>45274</v>
      </c>
      <c r="K22" s="3286">
        <v>300281.96103896102</v>
      </c>
      <c r="L22" s="3287" t="s">
        <v>3240</v>
      </c>
      <c r="M22" s="3282"/>
      <c r="N22" s="3288">
        <v>2</v>
      </c>
      <c r="Q22" s="3288">
        <f t="shared" si="0"/>
        <v>9.4312771319079616</v>
      </c>
    </row>
    <row r="23" spans="1:17" s="3262" customFormat="1" ht="24">
      <c r="A23" s="3253"/>
      <c r="B23" s="3253"/>
      <c r="C23" s="3254" t="s">
        <v>4550</v>
      </c>
      <c r="D23" s="3263">
        <v>127.24</v>
      </c>
      <c r="E23" s="3278">
        <v>127.25</v>
      </c>
      <c r="F23" s="3264" t="s">
        <v>4550</v>
      </c>
      <c r="G23" s="3264" t="s">
        <v>4551</v>
      </c>
      <c r="H23" s="3258">
        <v>117.7</v>
      </c>
      <c r="I23" s="3259">
        <v>44166</v>
      </c>
      <c r="J23" s="3259">
        <v>44957</v>
      </c>
      <c r="K23" s="3260">
        <v>391989.82488479302</v>
      </c>
      <c r="L23" s="3261" t="s">
        <v>3240</v>
      </c>
      <c r="M23" s="3258"/>
      <c r="N23" s="3262">
        <v>1</v>
      </c>
      <c r="Q23" s="3262">
        <f t="shared" si="0"/>
        <v>9.1244241776700239</v>
      </c>
    </row>
    <row r="24" spans="1:17" s="3262" customFormat="1" ht="24">
      <c r="A24" s="3253"/>
      <c r="B24" s="3253"/>
      <c r="C24" s="3254" t="s">
        <v>4552</v>
      </c>
      <c r="D24" s="3255">
        <v>129.43</v>
      </c>
      <c r="E24" s="3256">
        <v>129.43</v>
      </c>
      <c r="F24" s="3257" t="s">
        <v>4552</v>
      </c>
      <c r="G24" s="3257" t="s">
        <v>4509</v>
      </c>
      <c r="H24" s="3258">
        <v>119.71</v>
      </c>
      <c r="I24" s="3259">
        <v>44540</v>
      </c>
      <c r="J24" s="3259">
        <v>45269</v>
      </c>
      <c r="K24" s="3260">
        <v>423177.84</v>
      </c>
      <c r="L24" s="3261" t="s">
        <v>3240</v>
      </c>
      <c r="M24" s="3258"/>
      <c r="N24" s="3262">
        <v>1</v>
      </c>
      <c r="Q24" s="3262">
        <f t="shared" si="0"/>
        <v>9.6849999370625142</v>
      </c>
    </row>
    <row r="25" spans="1:17" s="3262" customFormat="1" ht="12">
      <c r="A25" s="3253"/>
      <c r="B25" s="3253"/>
      <c r="C25" s="3254" t="s">
        <v>4553</v>
      </c>
      <c r="D25" s="3255">
        <v>47.816216216216198</v>
      </c>
      <c r="E25" s="3256">
        <v>47.82</v>
      </c>
      <c r="F25" s="3257" t="s">
        <v>4553</v>
      </c>
      <c r="G25" s="3257" t="s">
        <v>4554</v>
      </c>
      <c r="H25" s="3258">
        <v>44.23</v>
      </c>
      <c r="I25" s="3259">
        <v>44301</v>
      </c>
      <c r="J25" s="3259">
        <v>45030</v>
      </c>
      <c r="K25" s="3260">
        <v>180960.23</v>
      </c>
      <c r="L25" s="3261" t="s">
        <v>3240</v>
      </c>
      <c r="M25" s="3258"/>
      <c r="N25" s="3262">
        <v>1</v>
      </c>
      <c r="Q25" s="3262">
        <f t="shared" si="0"/>
        <v>11.209166901532774</v>
      </c>
    </row>
    <row r="26" spans="1:17" s="3262" customFormat="1" ht="24">
      <c r="A26" s="3264"/>
      <c r="B26" s="3253"/>
      <c r="C26" s="3254" t="s">
        <v>4555</v>
      </c>
      <c r="D26" s="3255">
        <v>58.24</v>
      </c>
      <c r="E26" s="3256">
        <v>58.24</v>
      </c>
      <c r="F26" s="3257" t="s">
        <v>4555</v>
      </c>
      <c r="G26" s="3257" t="s">
        <v>4556</v>
      </c>
      <c r="H26" s="3258">
        <v>53.87</v>
      </c>
      <c r="I26" s="3259">
        <v>44687</v>
      </c>
      <c r="J26" s="3259">
        <v>45417</v>
      </c>
      <c r="K26" s="3260">
        <v>212290</v>
      </c>
      <c r="L26" s="3261" t="s">
        <v>3240</v>
      </c>
      <c r="M26" s="3258"/>
      <c r="N26" s="3262">
        <v>1</v>
      </c>
      <c r="Q26" s="3262">
        <f t="shared" si="0"/>
        <v>10.796666759906524</v>
      </c>
    </row>
    <row r="27" spans="1:17" s="3262" customFormat="1" ht="12">
      <c r="A27" s="3253"/>
      <c r="B27" s="3253"/>
      <c r="C27" s="3254" t="s">
        <v>4557</v>
      </c>
      <c r="D27" s="3258">
        <v>79.989189189189204</v>
      </c>
      <c r="E27" s="3279">
        <v>80</v>
      </c>
      <c r="F27" s="3257" t="s">
        <v>4557</v>
      </c>
      <c r="G27" s="3257" t="s">
        <v>4558</v>
      </c>
      <c r="H27" s="3258">
        <v>73.989999999999995</v>
      </c>
      <c r="I27" s="3259">
        <v>44090</v>
      </c>
      <c r="J27" s="3259">
        <v>45184</v>
      </c>
      <c r="K27" s="3260">
        <v>274902.14</v>
      </c>
      <c r="L27" s="3261" t="s">
        <v>3240</v>
      </c>
      <c r="M27" s="3258"/>
      <c r="N27" s="3262">
        <v>1</v>
      </c>
      <c r="Q27" s="3262">
        <f t="shared" si="0"/>
        <v>10.179166751523255</v>
      </c>
    </row>
    <row r="28" spans="1:17" s="3262" customFormat="1" ht="12">
      <c r="A28" s="3253"/>
      <c r="B28" s="3253"/>
      <c r="C28" s="3254" t="s">
        <v>4559</v>
      </c>
      <c r="D28" s="3263">
        <v>105.556756756757</v>
      </c>
      <c r="E28" s="3278">
        <v>105.57</v>
      </c>
      <c r="F28" s="3257" t="s">
        <v>4559</v>
      </c>
      <c r="G28" s="3257" t="s">
        <v>4560</v>
      </c>
      <c r="H28" s="3258">
        <v>97.64</v>
      </c>
      <c r="I28" s="3259">
        <v>44119</v>
      </c>
      <c r="J28" s="3259">
        <v>44848</v>
      </c>
      <c r="K28" s="3260">
        <v>339309.18</v>
      </c>
      <c r="L28" s="3261" t="s">
        <v>3240</v>
      </c>
      <c r="M28" s="3258"/>
      <c r="N28" s="3262">
        <v>1</v>
      </c>
      <c r="Q28" s="3262">
        <f t="shared" si="0"/>
        <v>9.5208335905450827</v>
      </c>
    </row>
    <row r="29" spans="1:17" s="3262" customFormat="1" ht="12">
      <c r="A29" s="3253"/>
      <c r="B29" s="3253"/>
      <c r="C29" s="3254" t="s">
        <v>4561</v>
      </c>
      <c r="D29" s="3258">
        <v>36.778378378378399</v>
      </c>
      <c r="E29" s="3279">
        <v>36.78</v>
      </c>
      <c r="F29" s="3257" t="s">
        <v>4561</v>
      </c>
      <c r="G29" s="3257" t="s">
        <v>4562</v>
      </c>
      <c r="H29" s="3258">
        <v>34.020000000000003</v>
      </c>
      <c r="I29" s="3259">
        <v>44150</v>
      </c>
      <c r="J29" s="3259">
        <v>44879</v>
      </c>
      <c r="K29" s="3260">
        <v>141356.745</v>
      </c>
      <c r="L29" s="3261" t="s">
        <v>3240</v>
      </c>
      <c r="M29" s="3258"/>
      <c r="N29" s="3262">
        <v>1</v>
      </c>
      <c r="Q29" s="3262">
        <f t="shared" si="0"/>
        <v>11.383855185909979</v>
      </c>
    </row>
    <row r="30" spans="1:17" s="3262" customFormat="1" ht="12">
      <c r="A30" s="3253"/>
      <c r="B30" s="3253"/>
      <c r="C30" s="3254" t="s">
        <v>4563</v>
      </c>
      <c r="D30" s="3263">
        <v>25.254054054054102</v>
      </c>
      <c r="E30" s="3278">
        <v>25.34</v>
      </c>
      <c r="F30" s="3257" t="s">
        <v>4563</v>
      </c>
      <c r="G30" s="3257" t="s">
        <v>4564</v>
      </c>
      <c r="H30" s="3258">
        <v>23.36</v>
      </c>
      <c r="I30" s="3259">
        <v>44114</v>
      </c>
      <c r="J30" s="3259">
        <v>44843</v>
      </c>
      <c r="K30" s="3260">
        <v>101865.96</v>
      </c>
      <c r="L30" s="3261" t="s">
        <v>3240</v>
      </c>
      <c r="M30" s="3258"/>
      <c r="N30" s="3262">
        <v>1</v>
      </c>
      <c r="Q30" s="3262">
        <f t="shared" si="0"/>
        <v>11.947124225933573</v>
      </c>
    </row>
    <row r="31" spans="1:17" s="3262" customFormat="1" ht="12">
      <c r="A31" s="3253"/>
      <c r="B31" s="3253"/>
      <c r="C31" s="3254" t="s">
        <v>4565</v>
      </c>
      <c r="D31" s="3255">
        <v>78.443243243243202</v>
      </c>
      <c r="E31" s="3256">
        <v>78.45</v>
      </c>
      <c r="F31" s="3257" t="s">
        <v>4565</v>
      </c>
      <c r="G31" s="3257" t="s">
        <v>4566</v>
      </c>
      <c r="H31" s="3258">
        <v>72.56</v>
      </c>
      <c r="I31" s="3259">
        <v>44477</v>
      </c>
      <c r="J31" s="3259">
        <v>45206</v>
      </c>
      <c r="K31" s="3260">
        <v>284574.88</v>
      </c>
      <c r="L31" s="3261" t="s">
        <v>3240</v>
      </c>
      <c r="M31" s="3258"/>
      <c r="N31" s="3262">
        <v>1</v>
      </c>
      <c r="Q31" s="3262">
        <f t="shared" si="0"/>
        <v>10.745000075516153</v>
      </c>
    </row>
    <row r="32" spans="1:17" s="3262" customFormat="1" ht="12">
      <c r="A32" s="3253"/>
      <c r="B32" s="3253"/>
      <c r="C32" s="3254" t="s">
        <v>4567</v>
      </c>
      <c r="D32" s="3258">
        <v>93.632432432432395</v>
      </c>
      <c r="E32" s="3279">
        <v>125.54</v>
      </c>
      <c r="F32" s="3257" t="s">
        <v>4567</v>
      </c>
      <c r="G32" s="3257" t="s">
        <v>4568</v>
      </c>
      <c r="H32" s="3258">
        <v>86.61</v>
      </c>
      <c r="I32" s="3259">
        <v>44013</v>
      </c>
      <c r="J32" s="3259">
        <v>44742</v>
      </c>
      <c r="K32" s="3260">
        <v>311068.48</v>
      </c>
      <c r="L32" s="3261" t="s">
        <v>3240</v>
      </c>
      <c r="M32" s="3258"/>
      <c r="N32" s="3262">
        <v>1</v>
      </c>
      <c r="Q32" s="3262">
        <f t="shared" si="0"/>
        <v>9.8400001265316241</v>
      </c>
    </row>
    <row r="33" spans="1:17" s="3262" customFormat="1" ht="24">
      <c r="A33" s="3253"/>
      <c r="B33" s="3253"/>
      <c r="C33" s="3254" t="s">
        <v>4569</v>
      </c>
      <c r="D33" s="3263">
        <v>72.918918918918905</v>
      </c>
      <c r="E33" s="3256" t="s">
        <v>4570</v>
      </c>
      <c r="F33" s="3264" t="s">
        <v>4569</v>
      </c>
      <c r="G33" s="3264" t="s">
        <v>4571</v>
      </c>
      <c r="H33" s="3258">
        <v>67.45</v>
      </c>
      <c r="I33" s="3259">
        <v>44067</v>
      </c>
      <c r="J33" s="3259">
        <v>44871</v>
      </c>
      <c r="K33" s="3260">
        <v>223581.99635987601</v>
      </c>
      <c r="L33" s="3261" t="s">
        <v>3240</v>
      </c>
      <c r="M33" s="3258"/>
      <c r="N33" s="3262">
        <v>2</v>
      </c>
      <c r="Q33" s="3262">
        <f t="shared" si="0"/>
        <v>9.081592508296394</v>
      </c>
    </row>
    <row r="34" spans="1:17" s="3262" customFormat="1" ht="24">
      <c r="A34" s="3253"/>
      <c r="B34" s="3253"/>
      <c r="C34" s="3254" t="s">
        <v>4572</v>
      </c>
      <c r="D34" s="3255">
        <v>97.437837837837804</v>
      </c>
      <c r="E34" s="3256">
        <v>97.45</v>
      </c>
      <c r="F34" s="3257" t="s">
        <v>4572</v>
      </c>
      <c r="G34" s="3257" t="s">
        <v>4573</v>
      </c>
      <c r="H34" s="3258">
        <v>90.13</v>
      </c>
      <c r="I34" s="3259">
        <v>44270</v>
      </c>
      <c r="J34" s="3259">
        <v>44999</v>
      </c>
      <c r="K34" s="3260">
        <v>313127.96500000003</v>
      </c>
      <c r="L34" s="3261" t="s">
        <v>3240</v>
      </c>
      <c r="M34" s="3258"/>
      <c r="N34" s="3262">
        <v>1</v>
      </c>
      <c r="Q34" s="3262">
        <f t="shared" si="0"/>
        <v>9.5183050661981419</v>
      </c>
    </row>
    <row r="35" spans="1:17" s="3262" customFormat="1" ht="12">
      <c r="A35" s="3264"/>
      <c r="B35" s="3253"/>
      <c r="C35" s="3254" t="s">
        <v>4574</v>
      </c>
      <c r="D35" s="3255">
        <v>75.070270270270299</v>
      </c>
      <c r="E35" s="3256">
        <v>96.98</v>
      </c>
      <c r="F35" s="3257" t="s">
        <v>4574</v>
      </c>
      <c r="G35" s="3257" t="s">
        <v>4575</v>
      </c>
      <c r="H35" s="3258">
        <v>69.44</v>
      </c>
      <c r="I35" s="3259">
        <v>44636</v>
      </c>
      <c r="J35" s="3259">
        <v>45366</v>
      </c>
      <c r="K35" s="3260">
        <v>254923.935</v>
      </c>
      <c r="L35" s="3261" t="s">
        <v>3240</v>
      </c>
      <c r="M35" s="3258"/>
      <c r="N35" s="3262">
        <v>1</v>
      </c>
      <c r="Q35" s="3262">
        <f t="shared" si="0"/>
        <v>10.057916758727353</v>
      </c>
    </row>
    <row r="36" spans="1:17" s="3262" customFormat="1" ht="12">
      <c r="A36" s="3253"/>
      <c r="B36" s="3253"/>
      <c r="C36" s="3254" t="s">
        <v>4576</v>
      </c>
      <c r="D36" s="3263">
        <v>132.95135135135101</v>
      </c>
      <c r="E36" s="3278">
        <v>132.96</v>
      </c>
      <c r="F36" s="3257" t="s">
        <v>4576</v>
      </c>
      <c r="G36" s="3257" t="s">
        <v>4577</v>
      </c>
      <c r="H36" s="3258">
        <v>122.98</v>
      </c>
      <c r="I36" s="3259">
        <v>44126</v>
      </c>
      <c r="J36" s="3259">
        <v>44886</v>
      </c>
      <c r="K36" s="3260">
        <v>394304.99519230798</v>
      </c>
      <c r="L36" s="3261" t="s">
        <v>3240</v>
      </c>
      <c r="M36" s="3258"/>
      <c r="N36" s="3262">
        <v>1</v>
      </c>
      <c r="Q36" s="3262">
        <f t="shared" si="0"/>
        <v>8.7842548224192356</v>
      </c>
    </row>
    <row r="37" spans="1:17" s="3262" customFormat="1" ht="24">
      <c r="A37" s="3253"/>
      <c r="B37" s="3253"/>
      <c r="C37" s="3254" t="s">
        <v>4578</v>
      </c>
      <c r="D37" s="3255">
        <v>108.972972972973</v>
      </c>
      <c r="E37" s="3256">
        <v>134.84</v>
      </c>
      <c r="F37" s="3257" t="s">
        <v>4578</v>
      </c>
      <c r="G37" s="3257" t="s">
        <v>4579</v>
      </c>
      <c r="H37" s="3258">
        <v>100.8</v>
      </c>
      <c r="I37" s="3259">
        <v>44298</v>
      </c>
      <c r="J37" s="3259">
        <v>45027</v>
      </c>
      <c r="K37" s="3260">
        <v>343407.33</v>
      </c>
      <c r="L37" s="3261" t="s">
        <v>3240</v>
      </c>
      <c r="M37" s="3258"/>
      <c r="N37" s="3262">
        <v>1</v>
      </c>
      <c r="O37" s="3289">
        <f>SUM(N4:N37)</f>
        <v>36</v>
      </c>
      <c r="P37" s="3262" t="s">
        <v>4580</v>
      </c>
      <c r="Q37" s="3262">
        <f t="shared" si="0"/>
        <v>9.3337500000000002</v>
      </c>
    </row>
    <row r="38" spans="1:17" s="3274" customFormat="1" ht="24">
      <c r="A38" s="3267"/>
      <c r="B38" s="3265"/>
      <c r="C38" s="3290" t="s">
        <v>3637</v>
      </c>
      <c r="D38" s="3268">
        <v>53.08</v>
      </c>
      <c r="E38" s="3291">
        <v>3840.45</v>
      </c>
      <c r="F38" s="3292" t="s">
        <v>4581</v>
      </c>
      <c r="G38" s="3270" t="s">
        <v>4582</v>
      </c>
      <c r="H38" s="3268">
        <v>40.340000000000003</v>
      </c>
      <c r="I38" s="3271">
        <v>44380</v>
      </c>
      <c r="J38" s="3271">
        <v>44744</v>
      </c>
      <c r="K38" s="3272">
        <v>62871.92</v>
      </c>
      <c r="L38" s="3273" t="s">
        <v>3240</v>
      </c>
      <c r="M38" s="3268"/>
      <c r="Q38" s="3274">
        <f t="shared" si="0"/>
        <v>4.2700008829062552</v>
      </c>
    </row>
    <row r="39" spans="1:17" s="3274" customFormat="1" ht="12.75" customHeight="1">
      <c r="A39" s="3267"/>
      <c r="B39" s="3265"/>
      <c r="C39" s="3265"/>
      <c r="D39" s="3275">
        <v>21.84</v>
      </c>
      <c r="E39" s="3276"/>
      <c r="F39" s="3292" t="s">
        <v>4583</v>
      </c>
      <c r="G39" s="3270" t="s">
        <v>4584</v>
      </c>
      <c r="H39" s="3275">
        <v>16.600000000000001</v>
      </c>
      <c r="I39" s="3271">
        <v>44621</v>
      </c>
      <c r="J39" s="3271">
        <v>45716</v>
      </c>
      <c r="K39" s="3272">
        <v>20317.84</v>
      </c>
      <c r="L39" s="3273" t="s">
        <v>3240</v>
      </c>
      <c r="M39" s="3268"/>
      <c r="Q39" s="3274">
        <f t="shared" si="0"/>
        <v>3.3533322330417557</v>
      </c>
    </row>
    <row r="40" spans="1:17" s="3274" customFormat="1" ht="12">
      <c r="A40" s="3267"/>
      <c r="B40" s="3265"/>
      <c r="C40" s="3265"/>
      <c r="D40" s="3275">
        <v>200.57894736842101</v>
      </c>
      <c r="E40" s="3276"/>
      <c r="F40" s="3292" t="s">
        <v>4585</v>
      </c>
      <c r="G40" s="3270" t="s">
        <v>4586</v>
      </c>
      <c r="H40" s="3275">
        <v>152.44</v>
      </c>
      <c r="I40" s="3271">
        <v>44265</v>
      </c>
      <c r="J40" s="3271">
        <v>46121</v>
      </c>
      <c r="K40" s="3272">
        <v>227472.93307086601</v>
      </c>
      <c r="L40" s="3273" t="s">
        <v>3240</v>
      </c>
      <c r="M40" s="3268"/>
      <c r="Q40" s="3274">
        <f t="shared" si="0"/>
        <v>4.0882544952941924</v>
      </c>
    </row>
    <row r="41" spans="1:17" s="3274" customFormat="1" ht="12">
      <c r="A41" s="3267"/>
      <c r="B41" s="3265"/>
      <c r="C41" s="3265"/>
      <c r="D41" s="3275">
        <v>251.51315789473699</v>
      </c>
      <c r="E41" s="3276"/>
      <c r="F41" s="3292" t="s">
        <v>4587</v>
      </c>
      <c r="G41" s="3270" t="s">
        <v>4586</v>
      </c>
      <c r="H41" s="3275">
        <v>191.15</v>
      </c>
      <c r="I41" s="3271">
        <v>44265</v>
      </c>
      <c r="J41" s="3271">
        <v>46121</v>
      </c>
      <c r="K41" s="3272">
        <v>285236.49803149601</v>
      </c>
      <c r="L41" s="3273" t="s">
        <v>3240</v>
      </c>
      <c r="M41" s="3268"/>
      <c r="Q41" s="3274">
        <f t="shared" si="0"/>
        <v>4.0882545520300138</v>
      </c>
    </row>
    <row r="42" spans="1:17" s="3274" customFormat="1" ht="24">
      <c r="A42" s="3267"/>
      <c r="B42" s="3265"/>
      <c r="C42" s="3265"/>
      <c r="D42" s="3268">
        <v>96.07</v>
      </c>
      <c r="E42" s="3291"/>
      <c r="F42" s="3292" t="s">
        <v>4588</v>
      </c>
      <c r="G42" s="3270" t="s">
        <v>4589</v>
      </c>
      <c r="H42" s="3268">
        <v>73.010000000000005</v>
      </c>
      <c r="I42" s="3271">
        <v>44604</v>
      </c>
      <c r="J42" s="3271">
        <v>44968</v>
      </c>
      <c r="K42" s="3272">
        <v>113789.72</v>
      </c>
      <c r="L42" s="3273" t="s">
        <v>3240</v>
      </c>
      <c r="M42" s="3268"/>
      <c r="Q42" s="3274">
        <f t="shared" si="0"/>
        <v>4.2699994183570276</v>
      </c>
    </row>
    <row r="43" spans="1:17" s="3274" customFormat="1" ht="12">
      <c r="A43" s="3267"/>
      <c r="B43" s="3265"/>
      <c r="C43" s="3265"/>
      <c r="D43" s="3293">
        <v>256.27631578947398</v>
      </c>
      <c r="E43" s="3294"/>
      <c r="F43" s="3292" t="s">
        <v>4590</v>
      </c>
      <c r="G43" s="3295" t="s">
        <v>4591</v>
      </c>
      <c r="H43" s="3293">
        <v>194.77</v>
      </c>
      <c r="I43" s="3271">
        <v>44173</v>
      </c>
      <c r="J43" s="3271">
        <v>46029</v>
      </c>
      <c r="K43" s="3272">
        <v>290638.31496063003</v>
      </c>
      <c r="L43" s="3273" t="s">
        <v>3240</v>
      </c>
      <c r="M43" s="3268"/>
      <c r="Q43" s="3274">
        <f t="shared" si="0"/>
        <v>4.0882546390949361</v>
      </c>
    </row>
    <row r="44" spans="1:17" s="3274" customFormat="1" ht="12">
      <c r="A44" s="3267"/>
      <c r="B44" s="3265"/>
      <c r="C44" s="3265"/>
      <c r="D44" s="3293">
        <v>204.394736842105</v>
      </c>
      <c r="E44" s="3294"/>
      <c r="F44" s="3292" t="s">
        <v>4592</v>
      </c>
      <c r="G44" s="3295" t="s">
        <v>4591</v>
      </c>
      <c r="H44" s="3293">
        <v>155.34</v>
      </c>
      <c r="I44" s="3271">
        <v>44173</v>
      </c>
      <c r="J44" s="3271">
        <v>46029</v>
      </c>
      <c r="K44" s="3272">
        <v>231800.36023622</v>
      </c>
      <c r="L44" s="3273" t="s">
        <v>3240</v>
      </c>
      <c r="M44" s="3268"/>
      <c r="Q44" s="3274">
        <f t="shared" si="0"/>
        <v>4.0882546678204772</v>
      </c>
    </row>
    <row r="45" spans="1:17" s="3274" customFormat="1" ht="12">
      <c r="A45" s="3267"/>
      <c r="B45" s="3265"/>
      <c r="C45" s="3265"/>
      <c r="D45" s="3268">
        <v>41.052631578947398</v>
      </c>
      <c r="E45" s="3291"/>
      <c r="F45" s="3292" t="s">
        <v>4593</v>
      </c>
      <c r="G45" s="3270" t="s">
        <v>4594</v>
      </c>
      <c r="H45" s="3268">
        <v>31.2</v>
      </c>
      <c r="I45" s="3271">
        <v>44347</v>
      </c>
      <c r="J45" s="3271">
        <v>45442</v>
      </c>
      <c r="K45" s="3272">
        <v>49360.653333333299</v>
      </c>
      <c r="L45" s="3273" t="s">
        <v>3240</v>
      </c>
      <c r="M45" s="3268"/>
      <c r="Q45" s="3274">
        <f t="shared" si="0"/>
        <v>4.3344444444444417</v>
      </c>
    </row>
    <row r="46" spans="1:17" s="3274" customFormat="1" ht="24">
      <c r="A46" s="3267"/>
      <c r="B46" s="3265"/>
      <c r="C46" s="3265"/>
      <c r="D46" s="3275">
        <v>115.04</v>
      </c>
      <c r="E46" s="3276"/>
      <c r="F46" s="3292" t="s">
        <v>4595</v>
      </c>
      <c r="G46" s="3270" t="s">
        <v>4596</v>
      </c>
      <c r="H46" s="3275">
        <v>87.43</v>
      </c>
      <c r="I46" s="3271">
        <v>44455</v>
      </c>
      <c r="J46" s="3271">
        <v>45184</v>
      </c>
      <c r="K46" s="3272">
        <v>142327.29999999999</v>
      </c>
      <c r="L46" s="3273" t="s">
        <v>3240</v>
      </c>
      <c r="M46" s="3268"/>
      <c r="Q46" s="3274">
        <f t="shared" si="0"/>
        <v>4.4600000940086701</v>
      </c>
    </row>
    <row r="47" spans="1:17" s="3274" customFormat="1" ht="12">
      <c r="A47" s="3267"/>
      <c r="B47" s="3265"/>
      <c r="C47" s="3265"/>
      <c r="D47" s="3268">
        <v>143</v>
      </c>
      <c r="E47" s="3291"/>
      <c r="F47" s="3292" t="s">
        <v>4597</v>
      </c>
      <c r="G47" s="3270" t="s">
        <v>4598</v>
      </c>
      <c r="H47" s="3268">
        <v>109</v>
      </c>
      <c r="I47" s="3271">
        <v>44593</v>
      </c>
      <c r="J47" s="3271">
        <v>44957</v>
      </c>
      <c r="K47" s="3272">
        <v>171075.52</v>
      </c>
      <c r="L47" s="3273" t="s">
        <v>3240</v>
      </c>
      <c r="M47" s="3268"/>
      <c r="Q47" s="3274">
        <f t="shared" si="0"/>
        <v>4.3000005027020229</v>
      </c>
    </row>
    <row r="48" spans="1:17" s="3274" customFormat="1" ht="12">
      <c r="A48" s="3267"/>
      <c r="B48" s="3265"/>
      <c r="C48" s="3265"/>
      <c r="D48" s="3275">
        <v>129.63</v>
      </c>
      <c r="E48" s="3276"/>
      <c r="F48" s="3292" t="s">
        <v>4599</v>
      </c>
      <c r="G48" s="3270" t="s">
        <v>4600</v>
      </c>
      <c r="H48" s="3275">
        <v>98.52</v>
      </c>
      <c r="I48" s="3271">
        <v>44564</v>
      </c>
      <c r="J48" s="3271">
        <v>44928</v>
      </c>
      <c r="K48" s="3272">
        <v>154627.16</v>
      </c>
      <c r="L48" s="3273" t="s">
        <v>3240</v>
      </c>
      <c r="M48" s="3268"/>
      <c r="Q48" s="3274">
        <f t="shared" si="0"/>
        <v>4.3000005561766192</v>
      </c>
    </row>
    <row r="49" spans="1:17" s="3274" customFormat="1" ht="24">
      <c r="A49" s="3267"/>
      <c r="B49" s="3265"/>
      <c r="C49" s="3265"/>
      <c r="D49" s="3275">
        <v>135.36842105263199</v>
      </c>
      <c r="E49" s="3276"/>
      <c r="F49" s="3292" t="s">
        <v>4601</v>
      </c>
      <c r="G49" s="3270" t="s">
        <v>4602</v>
      </c>
      <c r="H49" s="3275">
        <v>102.88</v>
      </c>
      <c r="I49" s="3271">
        <v>44331</v>
      </c>
      <c r="J49" s="3271">
        <v>45426</v>
      </c>
      <c r="K49" s="3272">
        <v>166424.83333333299</v>
      </c>
      <c r="L49" s="3273" t="s">
        <v>3240</v>
      </c>
      <c r="M49" s="3268"/>
      <c r="Q49" s="3274">
        <f t="shared" si="0"/>
        <v>4.4319444740336662</v>
      </c>
    </row>
    <row r="50" spans="1:17" s="3274" customFormat="1" ht="12">
      <c r="A50" s="3267"/>
      <c r="B50" s="3265"/>
      <c r="C50" s="3265"/>
      <c r="D50" s="3275">
        <v>82.934210526315795</v>
      </c>
      <c r="E50" s="3276"/>
      <c r="F50" s="3292" t="s">
        <v>4603</v>
      </c>
      <c r="G50" s="3270" t="s">
        <v>4604</v>
      </c>
      <c r="H50" s="3275">
        <v>63.03</v>
      </c>
      <c r="I50" s="3271">
        <v>44294</v>
      </c>
      <c r="J50" s="3271">
        <v>45023</v>
      </c>
      <c r="K50" s="3272">
        <v>94554.46</v>
      </c>
      <c r="L50" s="3273" t="s">
        <v>3240</v>
      </c>
      <c r="M50" s="3268"/>
      <c r="Q50" s="3274">
        <f t="shared" si="0"/>
        <v>4.1100002390685892</v>
      </c>
    </row>
    <row r="51" spans="1:17" s="3274" customFormat="1" ht="24">
      <c r="A51" s="3267"/>
      <c r="B51" s="3265"/>
      <c r="C51" s="3265"/>
      <c r="D51" s="3275">
        <v>54.75</v>
      </c>
      <c r="E51" s="3276"/>
      <c r="F51" s="3292" t="s">
        <v>4605</v>
      </c>
      <c r="G51" s="3270" t="s">
        <v>4606</v>
      </c>
      <c r="H51" s="3275">
        <v>41.61</v>
      </c>
      <c r="I51" s="3271">
        <v>44256</v>
      </c>
      <c r="J51" s="3271">
        <v>44985</v>
      </c>
      <c r="K51" s="3272">
        <v>44879.519999999997</v>
      </c>
      <c r="L51" s="3273" t="s">
        <v>3240</v>
      </c>
      <c r="M51" s="3268"/>
      <c r="Q51" s="3274">
        <f t="shared" si="0"/>
        <v>2.9550009382623381</v>
      </c>
    </row>
    <row r="52" spans="1:17" s="3274" customFormat="1" ht="12">
      <c r="A52" s="3267"/>
      <c r="B52" s="3265"/>
      <c r="C52" s="3265"/>
      <c r="D52" s="3275">
        <v>137.76315789473699</v>
      </c>
      <c r="E52" s="3276"/>
      <c r="F52" s="3292" t="s">
        <v>4607</v>
      </c>
      <c r="G52" s="3270" t="s">
        <v>4608</v>
      </c>
      <c r="H52" s="3275">
        <v>104.7</v>
      </c>
      <c r="I52" s="3271">
        <v>44306</v>
      </c>
      <c r="J52" s="3271">
        <v>45401</v>
      </c>
      <c r="K52" s="3272">
        <v>165642.96</v>
      </c>
      <c r="L52" s="3273" t="s">
        <v>3240</v>
      </c>
      <c r="M52" s="3268"/>
      <c r="Q52" s="3274">
        <f t="shared" si="0"/>
        <v>4.3344444008321226</v>
      </c>
    </row>
    <row r="53" spans="1:17" s="3274" customFormat="1" ht="12">
      <c r="A53" s="3267"/>
      <c r="B53" s="3265"/>
      <c r="C53" s="3265"/>
      <c r="D53" s="3275">
        <v>30.76</v>
      </c>
      <c r="E53" s="3276"/>
      <c r="F53" s="3292" t="s">
        <v>4609</v>
      </c>
      <c r="G53" s="3270" t="s">
        <v>4610</v>
      </c>
      <c r="H53" s="3275">
        <v>23.38</v>
      </c>
      <c r="I53" s="3271">
        <v>44336</v>
      </c>
      <c r="J53" s="3271">
        <v>44700</v>
      </c>
      <c r="K53" s="3272">
        <v>40193.72</v>
      </c>
      <c r="L53" s="3273" t="s">
        <v>3240</v>
      </c>
      <c r="M53" s="3268"/>
      <c r="Q53" s="3274">
        <f t="shared" si="0"/>
        <v>4.7099991797227467</v>
      </c>
    </row>
    <row r="54" spans="1:17" s="3274" customFormat="1" ht="12">
      <c r="A54" s="3267"/>
      <c r="B54" s="3265"/>
      <c r="C54" s="3265"/>
      <c r="D54" s="3268">
        <v>25.828947368421101</v>
      </c>
      <c r="E54" s="3291"/>
      <c r="F54" s="3292" t="s">
        <v>4611</v>
      </c>
      <c r="G54" s="3270" t="s">
        <v>4612</v>
      </c>
      <c r="H54" s="3268">
        <v>19.63</v>
      </c>
      <c r="I54" s="3271">
        <v>43973</v>
      </c>
      <c r="J54" s="3271">
        <v>44702</v>
      </c>
      <c r="K54" s="3272">
        <v>29233</v>
      </c>
      <c r="L54" s="3273" t="s">
        <v>3240</v>
      </c>
      <c r="M54" s="3268"/>
      <c r="Q54" s="3274">
        <f t="shared" si="0"/>
        <v>4.0800005582732606</v>
      </c>
    </row>
    <row r="55" spans="1:17" s="3274" customFormat="1" ht="12">
      <c r="A55" s="3267"/>
      <c r="B55" s="3265"/>
      <c r="C55" s="3265"/>
      <c r="D55" s="3268">
        <v>289.85526315789502</v>
      </c>
      <c r="E55" s="3291"/>
      <c r="F55" s="3292" t="s">
        <v>4613</v>
      </c>
      <c r="G55" s="3270" t="s">
        <v>4614</v>
      </c>
      <c r="H55" s="3268">
        <v>220.29</v>
      </c>
      <c r="I55" s="3271">
        <v>44337</v>
      </c>
      <c r="J55" s="3271">
        <v>45432</v>
      </c>
      <c r="K55" s="3272">
        <v>328290.38666666701</v>
      </c>
      <c r="L55" s="3273" t="s">
        <v>3240</v>
      </c>
      <c r="M55" s="3268"/>
      <c r="Q55" s="3274">
        <f t="shared" si="0"/>
        <v>4.0829166866175415</v>
      </c>
    </row>
    <row r="56" spans="1:17" s="3274" customFormat="1" ht="12">
      <c r="A56" s="3267"/>
      <c r="B56" s="3265"/>
      <c r="C56" s="3265"/>
      <c r="D56" s="3275">
        <v>224.57894736842101</v>
      </c>
      <c r="E56" s="3276"/>
      <c r="F56" s="3292" t="s">
        <v>4615</v>
      </c>
      <c r="G56" s="3270" t="s">
        <v>4616</v>
      </c>
      <c r="H56" s="3275">
        <v>170.68</v>
      </c>
      <c r="I56" s="3271">
        <v>44302</v>
      </c>
      <c r="J56" s="3271">
        <v>45031</v>
      </c>
      <c r="K56" s="3272">
        <v>255266.875</v>
      </c>
      <c r="L56" s="3273" t="s">
        <v>3240</v>
      </c>
      <c r="M56" s="3268"/>
      <c r="Q56" s="3274">
        <f t="shared" si="0"/>
        <v>4.0975000080259143</v>
      </c>
    </row>
    <row r="57" spans="1:17" s="3274" customFormat="1" ht="24">
      <c r="A57" s="3267"/>
      <c r="B57" s="3265"/>
      <c r="C57" s="3265"/>
      <c r="D57" s="3275">
        <v>393.42105263157902</v>
      </c>
      <c r="E57" s="3276"/>
      <c r="F57" s="3292" t="s">
        <v>4617</v>
      </c>
      <c r="G57" s="3270" t="s">
        <v>4618</v>
      </c>
      <c r="H57" s="3275">
        <v>299</v>
      </c>
      <c r="I57" s="3271">
        <v>44175</v>
      </c>
      <c r="J57" s="3271">
        <v>46000</v>
      </c>
      <c r="K57" s="3272">
        <v>516390.446</v>
      </c>
      <c r="L57" s="3273" t="s">
        <v>3240</v>
      </c>
      <c r="M57" s="3268"/>
      <c r="Q57" s="3274">
        <f t="shared" si="0"/>
        <v>4.7316667063728408</v>
      </c>
    </row>
    <row r="58" spans="1:17" s="3274" customFormat="1" ht="12">
      <c r="A58" s="3267"/>
      <c r="B58" s="3265"/>
      <c r="C58" s="3265"/>
      <c r="D58" s="3275">
        <v>80.697368421052602</v>
      </c>
      <c r="E58" s="3276"/>
      <c r="F58" s="3292" t="s">
        <v>4619</v>
      </c>
      <c r="G58" s="3270" t="s">
        <v>4600</v>
      </c>
      <c r="H58" s="3275">
        <v>61.33</v>
      </c>
      <c r="I58" s="3271">
        <v>43613</v>
      </c>
      <c r="J58" s="3271">
        <v>44708</v>
      </c>
      <c r="K58" s="3272">
        <v>107300.933333333</v>
      </c>
      <c r="L58" s="3273" t="s">
        <v>3240</v>
      </c>
      <c r="M58" s="3268"/>
      <c r="Q58" s="3274">
        <f t="shared" si="0"/>
        <v>4.7933337651614334</v>
      </c>
    </row>
    <row r="59" spans="1:17" s="3274" customFormat="1" ht="24">
      <c r="A59" s="3267"/>
      <c r="B59" s="3265"/>
      <c r="C59" s="3265"/>
      <c r="D59" s="3275">
        <v>232.93421052631601</v>
      </c>
      <c r="E59" s="3276"/>
      <c r="F59" s="3292" t="s">
        <v>4620</v>
      </c>
      <c r="G59" s="3270" t="s">
        <v>4621</v>
      </c>
      <c r="H59" s="3275">
        <v>177.03</v>
      </c>
      <c r="I59" s="3271">
        <v>44275</v>
      </c>
      <c r="J59" s="3271">
        <v>45385</v>
      </c>
      <c r="K59" s="3272">
        <v>256727.95394736799</v>
      </c>
      <c r="L59" s="3273" t="s">
        <v>3240</v>
      </c>
      <c r="M59" s="3268"/>
      <c r="Q59" s="3274">
        <f t="shared" si="0"/>
        <v>3.9731359509125532</v>
      </c>
    </row>
    <row r="60" spans="1:17" s="3274" customFormat="1" ht="12">
      <c r="A60" s="3267"/>
      <c r="B60" s="3265"/>
      <c r="C60" s="3265"/>
      <c r="D60" s="3268">
        <v>65.790000000000006</v>
      </c>
      <c r="E60" s="3291"/>
      <c r="F60" s="3292" t="s">
        <v>4622</v>
      </c>
      <c r="G60" s="3270" t="s">
        <v>4623</v>
      </c>
      <c r="H60" s="3268">
        <v>50</v>
      </c>
      <c r="I60" s="3271">
        <v>44652</v>
      </c>
      <c r="J60" s="3271">
        <v>45016</v>
      </c>
      <c r="K60" s="3272">
        <v>73798.357280219803</v>
      </c>
      <c r="L60" s="3273" t="s">
        <v>3240</v>
      </c>
      <c r="M60" s="3268"/>
      <c r="Q60" s="3274">
        <f t="shared" si="0"/>
        <v>4.0437456043956059</v>
      </c>
    </row>
    <row r="61" spans="1:17" s="3274" customFormat="1" ht="24">
      <c r="A61" s="3267"/>
      <c r="B61" s="3265"/>
      <c r="C61" s="3265"/>
      <c r="D61" s="3275">
        <v>102.81578947368401</v>
      </c>
      <c r="E61" s="3276"/>
      <c r="F61" s="3292" t="s">
        <v>4624</v>
      </c>
      <c r="G61" s="3270" t="s">
        <v>4625</v>
      </c>
      <c r="H61" s="3275">
        <v>78.14</v>
      </c>
      <c r="I61" s="3271">
        <v>44275</v>
      </c>
      <c r="J61" s="3271">
        <v>45370</v>
      </c>
      <c r="K61" s="3272">
        <v>115573.826666667</v>
      </c>
      <c r="L61" s="3273" t="s">
        <v>3240</v>
      </c>
      <c r="M61" s="3268"/>
      <c r="Q61" s="3274">
        <f t="shared" si="0"/>
        <v>4.0522219222493865</v>
      </c>
    </row>
    <row r="62" spans="1:17" s="3274" customFormat="1" ht="12">
      <c r="A62" s="3267"/>
      <c r="B62" s="3265"/>
      <c r="C62" s="3265"/>
      <c r="D62" s="3275">
        <v>65.618421052631604</v>
      </c>
      <c r="E62" s="3276"/>
      <c r="F62" s="3292" t="s">
        <v>4626</v>
      </c>
      <c r="G62" s="3270" t="s">
        <v>4627</v>
      </c>
      <c r="H62" s="3275">
        <v>49.87</v>
      </c>
      <c r="I62" s="3271">
        <v>44301</v>
      </c>
      <c r="J62" s="3271">
        <v>45030</v>
      </c>
      <c r="K62" s="3272">
        <v>69715.764999999999</v>
      </c>
      <c r="L62" s="3273" t="s">
        <v>3240</v>
      </c>
      <c r="M62" s="3268"/>
      <c r="Q62" s="3274">
        <f t="shared" si="0"/>
        <v>3.8299999175939639</v>
      </c>
    </row>
    <row r="63" spans="1:17" s="3274" customFormat="1" ht="24">
      <c r="A63" s="3267"/>
      <c r="B63" s="3265"/>
      <c r="C63" s="3265"/>
      <c r="D63" s="3268">
        <v>292.85526315789502</v>
      </c>
      <c r="E63" s="3291"/>
      <c r="F63" s="3292" t="s">
        <v>4628</v>
      </c>
      <c r="G63" s="3270" t="s">
        <v>4629</v>
      </c>
      <c r="H63" s="3268">
        <v>222.57</v>
      </c>
      <c r="I63" s="3271">
        <v>44348</v>
      </c>
      <c r="J63" s="3271">
        <v>46173</v>
      </c>
      <c r="K63" s="3272">
        <v>351577.978</v>
      </c>
      <c r="L63" s="3273" t="s">
        <v>3240</v>
      </c>
      <c r="M63" s="3268"/>
      <c r="Q63" s="3274">
        <f t="shared" si="0"/>
        <v>4.3277500875513386</v>
      </c>
    </row>
    <row r="64" spans="1:17" s="3274" customFormat="1" ht="12">
      <c r="A64" s="3267"/>
      <c r="B64" s="3265"/>
      <c r="C64" s="3265"/>
      <c r="D64" s="3275">
        <v>161.84</v>
      </c>
      <c r="E64" s="3276"/>
      <c r="F64" s="3292" t="s">
        <v>4630</v>
      </c>
      <c r="G64" s="3270" t="s">
        <v>4631</v>
      </c>
      <c r="H64" s="3275">
        <v>123</v>
      </c>
      <c r="I64" s="3271">
        <v>44542</v>
      </c>
      <c r="J64" s="3271">
        <v>44906</v>
      </c>
      <c r="K64" s="3272">
        <v>215047.06</v>
      </c>
      <c r="L64" s="3273" t="s">
        <v>3240</v>
      </c>
      <c r="M64" s="3268"/>
      <c r="Q64" s="3274">
        <f t="shared" si="0"/>
        <v>4.7900002227419529</v>
      </c>
    </row>
    <row r="65" spans="1:17" s="3274" customFormat="1" ht="12">
      <c r="A65" s="3267"/>
      <c r="B65" s="3265"/>
      <c r="C65" s="3265"/>
      <c r="D65" s="3275">
        <v>86.84</v>
      </c>
      <c r="E65" s="3276"/>
      <c r="F65" s="3292" t="s">
        <v>4632</v>
      </c>
      <c r="G65" s="3270" t="s">
        <v>4633</v>
      </c>
      <c r="H65" s="3275">
        <v>66</v>
      </c>
      <c r="I65" s="3271">
        <v>44602</v>
      </c>
      <c r="J65" s="3271">
        <v>45331</v>
      </c>
      <c r="K65" s="3272">
        <v>107441.42</v>
      </c>
      <c r="L65" s="3273" t="s">
        <v>3240</v>
      </c>
      <c r="M65" s="3268"/>
      <c r="Q65" s="3274">
        <f t="shared" si="0"/>
        <v>4.4600008302200083</v>
      </c>
    </row>
    <row r="66" spans="1:17" s="3274" customFormat="1" ht="12">
      <c r="A66" s="3267"/>
      <c r="B66" s="3265"/>
      <c r="C66" s="3265"/>
      <c r="D66" s="3275">
        <v>265.92105263157902</v>
      </c>
      <c r="E66" s="3276"/>
      <c r="F66" s="3292" t="s">
        <v>4634</v>
      </c>
      <c r="G66" s="3270" t="s">
        <v>4635</v>
      </c>
      <c r="H66" s="3275">
        <v>202.1</v>
      </c>
      <c r="I66" s="3271">
        <v>43916</v>
      </c>
      <c r="J66" s="3271">
        <v>44645</v>
      </c>
      <c r="K66" s="3272">
        <v>327523.26</v>
      </c>
      <c r="L66" s="3273" t="s">
        <v>3240</v>
      </c>
      <c r="M66" s="3268"/>
      <c r="Q66" s="3274">
        <f t="shared" si="0"/>
        <v>4.4400000000000004</v>
      </c>
    </row>
    <row r="67" spans="1:17" s="3274" customFormat="1" ht="12">
      <c r="A67" s="3267"/>
      <c r="B67" s="3265"/>
      <c r="C67" s="3265"/>
      <c r="D67" s="3268">
        <v>207.63157894736801</v>
      </c>
      <c r="E67" s="3291"/>
      <c r="F67" s="3292" t="s">
        <v>4636</v>
      </c>
      <c r="G67" s="3270" t="s">
        <v>4637</v>
      </c>
      <c r="H67" s="3268">
        <v>157.80000000000001</v>
      </c>
      <c r="I67" s="3271">
        <v>44068</v>
      </c>
      <c r="J67" s="3271">
        <v>44797</v>
      </c>
      <c r="K67" s="3272">
        <v>242195.4</v>
      </c>
      <c r="L67" s="3273" t="s">
        <v>3240</v>
      </c>
      <c r="M67" s="3268"/>
      <c r="Q67" s="3274">
        <f t="shared" si="0"/>
        <v>4.2050002604302303</v>
      </c>
    </row>
    <row r="68" spans="1:17" s="3274" customFormat="1" ht="24">
      <c r="A68" s="3267"/>
      <c r="B68" s="3265"/>
      <c r="C68" s="3265"/>
      <c r="D68" s="3275">
        <v>135.53</v>
      </c>
      <c r="E68" s="3276"/>
      <c r="F68" s="3292" t="s">
        <v>4638</v>
      </c>
      <c r="G68" s="3270" t="s">
        <v>4639</v>
      </c>
      <c r="H68" s="3275"/>
      <c r="I68" s="3271">
        <v>44136</v>
      </c>
      <c r="J68" s="3271">
        <v>45230</v>
      </c>
      <c r="K68" s="3272">
        <v>156520.51999999999</v>
      </c>
      <c r="L68" s="3273" t="s">
        <v>3240</v>
      </c>
      <c r="M68" s="3268"/>
    </row>
    <row r="69" spans="1:17" s="3274" customFormat="1" ht="12">
      <c r="A69" s="3267"/>
      <c r="B69" s="3265"/>
      <c r="C69" s="3296"/>
      <c r="D69" s="3275">
        <v>212.61842105263199</v>
      </c>
      <c r="E69" s="3276"/>
      <c r="F69" s="3292" t="s">
        <v>4640</v>
      </c>
      <c r="G69" s="3270" t="s">
        <v>4641</v>
      </c>
      <c r="H69" s="3275">
        <v>161.59</v>
      </c>
      <c r="I69" s="3271">
        <v>43590</v>
      </c>
      <c r="J69" s="3271">
        <v>44685</v>
      </c>
      <c r="K69" s="3272">
        <v>246144.653333333</v>
      </c>
      <c r="L69" s="3273" t="s">
        <v>3240</v>
      </c>
      <c r="M69" s="3268"/>
      <c r="Q69" s="3274">
        <f t="shared" ref="Q69:Q90" si="1">K69/H69/365</f>
        <v>4.1733332089981321</v>
      </c>
    </row>
    <row r="70" spans="1:17" s="3274" customFormat="1" ht="24">
      <c r="A70" s="3267"/>
      <c r="B70" s="3265"/>
      <c r="C70" s="3265"/>
      <c r="D70" s="3275">
        <v>215.86842105263199</v>
      </c>
      <c r="E70" s="3276"/>
      <c r="F70" s="3292" t="s">
        <v>4642</v>
      </c>
      <c r="G70" s="3270" t="s">
        <v>4643</v>
      </c>
      <c r="H70" s="3275">
        <v>164.06</v>
      </c>
      <c r="I70" s="3271">
        <v>44324</v>
      </c>
      <c r="J70" s="3271">
        <v>45419</v>
      </c>
      <c r="K70" s="3272">
        <v>239328.00333333301</v>
      </c>
      <c r="L70" s="3273" t="s">
        <v>3240</v>
      </c>
      <c r="M70" s="3268"/>
      <c r="Q70" s="3274">
        <f t="shared" si="1"/>
        <v>3.9966668280955182</v>
      </c>
    </row>
    <row r="71" spans="1:17" s="3274" customFormat="1" ht="12">
      <c r="A71" s="3267"/>
      <c r="B71" s="3265"/>
      <c r="C71" s="3265"/>
      <c r="D71" s="3275">
        <v>195.76315789473699</v>
      </c>
      <c r="E71" s="3276"/>
      <c r="F71" s="3292" t="s">
        <v>4644</v>
      </c>
      <c r="G71" s="3270" t="s">
        <v>4645</v>
      </c>
      <c r="H71" s="3275">
        <v>148.78</v>
      </c>
      <c r="I71" s="3271">
        <v>44607</v>
      </c>
      <c r="J71" s="3271">
        <v>45336</v>
      </c>
      <c r="K71" s="3272">
        <v>197533.35</v>
      </c>
      <c r="L71" s="3273" t="s">
        <v>3240</v>
      </c>
      <c r="M71" s="3268"/>
      <c r="Q71" s="3274">
        <f t="shared" si="1"/>
        <v>3.6375000690547963</v>
      </c>
    </row>
    <row r="72" spans="1:17" s="3274" customFormat="1" ht="12">
      <c r="A72" s="3267"/>
      <c r="B72" s="3265"/>
      <c r="C72" s="3265"/>
      <c r="D72" s="3297">
        <f>SUM(D38:D71)</f>
        <v>5210.4594736842118</v>
      </c>
      <c r="E72" s="3298"/>
      <c r="F72" s="3292"/>
      <c r="G72" s="3270"/>
      <c r="H72" s="3275">
        <f>SUM(H38:H71)</f>
        <v>3857.2700000000004</v>
      </c>
      <c r="I72" s="3271"/>
      <c r="J72" s="3271"/>
      <c r="K72" s="3272"/>
      <c r="L72" s="3273"/>
      <c r="M72" s="3268"/>
      <c r="Q72" s="3274">
        <f t="shared" si="1"/>
        <v>0</v>
      </c>
    </row>
    <row r="73" spans="1:17" s="3274" customFormat="1" ht="24">
      <c r="A73" s="3265" t="s">
        <v>4646</v>
      </c>
      <c r="B73" s="3265">
        <v>3</v>
      </c>
      <c r="C73" s="3267" t="s">
        <v>4647</v>
      </c>
      <c r="D73" s="3275">
        <v>213.95744680851101</v>
      </c>
      <c r="E73" s="3499">
        <v>676.95</v>
      </c>
      <c r="F73" s="3270" t="s">
        <v>4647</v>
      </c>
      <c r="G73" s="3270" t="s">
        <v>4648</v>
      </c>
      <c r="H73" s="3268">
        <v>201.12</v>
      </c>
      <c r="I73" s="3271">
        <v>44173</v>
      </c>
      <c r="J73" s="3271">
        <v>45998</v>
      </c>
      <c r="K73" s="3272">
        <v>536177.88</v>
      </c>
      <c r="L73" s="3273" t="s">
        <v>3240</v>
      </c>
      <c r="M73" s="3268" t="s">
        <v>3190</v>
      </c>
      <c r="Q73" s="3274">
        <f t="shared" si="1"/>
        <v>7.3040000653872559</v>
      </c>
    </row>
    <row r="74" spans="1:17" s="3274" customFormat="1" ht="12">
      <c r="A74" s="3265"/>
      <c r="B74" s="3266"/>
      <c r="C74" s="3267" t="s">
        <v>4649</v>
      </c>
      <c r="D74" s="3275">
        <v>169.563829787234</v>
      </c>
      <c r="E74" s="3500"/>
      <c r="F74" s="3270" t="s">
        <v>4649</v>
      </c>
      <c r="G74" s="3270" t="s">
        <v>4650</v>
      </c>
      <c r="H74" s="3268">
        <v>159.38999999999999</v>
      </c>
      <c r="I74" s="3271">
        <v>44173</v>
      </c>
      <c r="J74" s="3271">
        <v>46029</v>
      </c>
      <c r="K74" s="3272">
        <v>462593.91732283501</v>
      </c>
      <c r="L74" s="3273" t="s">
        <v>3240</v>
      </c>
      <c r="M74" s="3268" t="s">
        <v>3190</v>
      </c>
      <c r="Q74" s="3274">
        <f t="shared" si="1"/>
        <v>7.9514436000064466</v>
      </c>
    </row>
    <row r="75" spans="1:17" s="3274" customFormat="1" ht="26.25" customHeight="1">
      <c r="A75" s="3265"/>
      <c r="B75" s="3265"/>
      <c r="C75" s="3267" t="s">
        <v>4651</v>
      </c>
      <c r="D75" s="3293">
        <v>196.66</v>
      </c>
      <c r="E75" s="3294">
        <v>196.66</v>
      </c>
      <c r="F75" s="3295" t="s">
        <v>4651</v>
      </c>
      <c r="G75" s="3295" t="s">
        <v>4652</v>
      </c>
      <c r="H75" s="3268">
        <v>184.37</v>
      </c>
      <c r="I75" s="3271">
        <v>44440</v>
      </c>
      <c r="J75" s="3271">
        <v>45535</v>
      </c>
      <c r="K75" s="3272">
        <v>712878.89333333296</v>
      </c>
      <c r="L75" s="3273" t="s">
        <v>3240</v>
      </c>
      <c r="M75" s="3268" t="s">
        <v>3188</v>
      </c>
      <c r="Q75" s="3274">
        <f t="shared" si="1"/>
        <v>10.593333288753525</v>
      </c>
    </row>
    <row r="76" spans="1:17" s="3274" customFormat="1" ht="12">
      <c r="A76" s="3265"/>
      <c r="B76" s="3265"/>
      <c r="C76" s="3267" t="s">
        <v>4530</v>
      </c>
      <c r="D76" s="3293">
        <v>193.27</v>
      </c>
      <c r="E76" s="3294">
        <v>193.78</v>
      </c>
      <c r="F76" s="3295" t="s">
        <v>4530</v>
      </c>
      <c r="G76" s="3295" t="s">
        <v>4653</v>
      </c>
      <c r="H76" s="3268">
        <v>181.67</v>
      </c>
      <c r="I76" s="3271">
        <v>44409</v>
      </c>
      <c r="J76" s="3271">
        <v>45504</v>
      </c>
      <c r="K76" s="3272">
        <v>702439.16</v>
      </c>
      <c r="L76" s="3273" t="s">
        <v>3240</v>
      </c>
      <c r="M76" s="3268" t="s">
        <v>4471</v>
      </c>
      <c r="Q76" s="3274">
        <f t="shared" si="1"/>
        <v>10.593333237821703</v>
      </c>
    </row>
    <row r="77" spans="1:17" s="3274" customFormat="1" ht="12">
      <c r="A77" s="3265"/>
      <c r="B77" s="3266"/>
      <c r="C77" s="3267" t="s">
        <v>4654</v>
      </c>
      <c r="D77" s="3275">
        <v>127.68085106383</v>
      </c>
      <c r="E77" s="3276">
        <v>128.02000000000001</v>
      </c>
      <c r="F77" s="3270" t="s">
        <v>4654</v>
      </c>
      <c r="G77" s="3270" t="s">
        <v>4655</v>
      </c>
      <c r="H77" s="3268">
        <v>120.02</v>
      </c>
      <c r="I77" s="3271">
        <v>44363</v>
      </c>
      <c r="J77" s="3271">
        <v>45092</v>
      </c>
      <c r="K77" s="3272">
        <v>400207.07500000001</v>
      </c>
      <c r="L77" s="3273" t="s">
        <v>3240</v>
      </c>
      <c r="M77" s="3268" t="s">
        <v>3185</v>
      </c>
      <c r="Q77" s="3274">
        <f t="shared" si="1"/>
        <v>9.1356252268457538</v>
      </c>
    </row>
    <row r="78" spans="1:17" s="3274" customFormat="1" ht="12">
      <c r="A78" s="3265"/>
      <c r="B78" s="3266"/>
      <c r="C78" s="3267" t="s">
        <v>4532</v>
      </c>
      <c r="D78" s="3275">
        <v>204.095744680851</v>
      </c>
      <c r="E78" s="3276">
        <v>204.64</v>
      </c>
      <c r="F78" s="3270" t="s">
        <v>4532</v>
      </c>
      <c r="G78" s="3270" t="s">
        <v>4656</v>
      </c>
      <c r="H78" s="3268">
        <v>191.85</v>
      </c>
      <c r="I78" s="3271">
        <v>44352</v>
      </c>
      <c r="J78" s="3271">
        <v>45081</v>
      </c>
      <c r="K78" s="3272">
        <v>639566.87</v>
      </c>
      <c r="L78" s="3273" t="s">
        <v>3240</v>
      </c>
      <c r="M78" s="3268" t="s">
        <v>3186</v>
      </c>
      <c r="Q78" s="3274">
        <f t="shared" si="1"/>
        <v>9.1333750325775345</v>
      </c>
    </row>
    <row r="79" spans="1:17" s="3274" customFormat="1" ht="12">
      <c r="A79" s="3265"/>
      <c r="B79" s="3266"/>
      <c r="C79" s="3267" t="s">
        <v>4539</v>
      </c>
      <c r="D79" s="3275">
        <v>78.978723404255305</v>
      </c>
      <c r="E79" s="3276">
        <v>113.83</v>
      </c>
      <c r="F79" s="3270" t="s">
        <v>4539</v>
      </c>
      <c r="G79" s="3270" t="s">
        <v>4657</v>
      </c>
      <c r="H79" s="3268">
        <v>74.239999999999995</v>
      </c>
      <c r="I79" s="3271">
        <v>44287</v>
      </c>
      <c r="J79" s="3271">
        <v>45046</v>
      </c>
      <c r="K79" s="3272">
        <v>215391.18269230801</v>
      </c>
      <c r="L79" s="3273" t="s">
        <v>3240</v>
      </c>
      <c r="M79" s="3268" t="s">
        <v>3194</v>
      </c>
      <c r="Q79" s="3274">
        <f t="shared" si="1"/>
        <v>7.9487180669988495</v>
      </c>
    </row>
    <row r="80" spans="1:17" s="3274" customFormat="1" ht="24">
      <c r="A80" s="3265"/>
      <c r="B80" s="3266"/>
      <c r="C80" s="3267" t="s">
        <v>4658</v>
      </c>
      <c r="D80" s="3275">
        <v>146.81</v>
      </c>
      <c r="E80" s="3276">
        <v>147.19999999999999</v>
      </c>
      <c r="F80" s="3270" t="s">
        <v>4658</v>
      </c>
      <c r="G80" s="3270" t="s">
        <v>4659</v>
      </c>
      <c r="H80" s="3268">
        <v>138</v>
      </c>
      <c r="I80" s="3271">
        <v>44317</v>
      </c>
      <c r="J80" s="3271">
        <v>45046</v>
      </c>
      <c r="K80" s="3272">
        <v>490100.12</v>
      </c>
      <c r="L80" s="3273" t="s">
        <v>3240</v>
      </c>
      <c r="M80" s="3268" t="s">
        <v>3196</v>
      </c>
      <c r="Q80" s="3274">
        <f t="shared" si="1"/>
        <v>9.7300003970617439</v>
      </c>
    </row>
    <row r="81" spans="1:17" s="3274" customFormat="1" ht="12">
      <c r="A81" s="3265"/>
      <c r="B81" s="3265"/>
      <c r="C81" s="3267" t="s">
        <v>4550</v>
      </c>
      <c r="D81" s="3275">
        <v>164.840425531915</v>
      </c>
      <c r="E81" s="3276">
        <v>165.28</v>
      </c>
      <c r="F81" s="3270" t="s">
        <v>4550</v>
      </c>
      <c r="G81" s="3270" t="s">
        <v>4660</v>
      </c>
      <c r="H81" s="3268">
        <v>154.94999999999999</v>
      </c>
      <c r="I81" s="3271">
        <v>44193</v>
      </c>
      <c r="J81" s="3271">
        <v>45318</v>
      </c>
      <c r="K81" s="3272">
        <v>535024.40584415605</v>
      </c>
      <c r="L81" s="3273" t="s">
        <v>3240</v>
      </c>
      <c r="M81" s="3268" t="s">
        <v>3197</v>
      </c>
      <c r="Q81" s="3274">
        <f t="shared" si="1"/>
        <v>9.4599566956049639</v>
      </c>
    </row>
    <row r="82" spans="1:17" s="3274" customFormat="1" ht="12">
      <c r="A82" s="3265"/>
      <c r="B82" s="3265"/>
      <c r="C82" s="3267" t="s">
        <v>4552</v>
      </c>
      <c r="D82" s="3275">
        <v>168.968085106383</v>
      </c>
      <c r="E82" s="3276">
        <v>169.42</v>
      </c>
      <c r="F82" s="3270" t="s">
        <v>4552</v>
      </c>
      <c r="G82" s="3270" t="s">
        <v>4661</v>
      </c>
      <c r="H82" s="3268">
        <v>158.83000000000001</v>
      </c>
      <c r="I82" s="3271">
        <v>44256</v>
      </c>
      <c r="J82" s="3271">
        <v>45382</v>
      </c>
      <c r="K82" s="3272">
        <v>546758.95779220795</v>
      </c>
      <c r="L82" s="3273" t="s">
        <v>3240</v>
      </c>
      <c r="M82" s="3268" t="s">
        <v>3198</v>
      </c>
      <c r="Q82" s="3274">
        <f t="shared" si="1"/>
        <v>9.4312771351502374</v>
      </c>
    </row>
    <row r="83" spans="1:17" s="3274" customFormat="1" ht="12">
      <c r="A83" s="3265"/>
      <c r="B83" s="3266"/>
      <c r="C83" s="3267" t="s">
        <v>4553</v>
      </c>
      <c r="D83" s="3275">
        <v>147.595744680851</v>
      </c>
      <c r="E83" s="3276">
        <v>147.99</v>
      </c>
      <c r="F83" s="3270" t="s">
        <v>4553</v>
      </c>
      <c r="G83" s="3270" t="s">
        <v>4662</v>
      </c>
      <c r="H83" s="3268">
        <v>138.74</v>
      </c>
      <c r="I83" s="3271">
        <v>44287</v>
      </c>
      <c r="J83" s="3271">
        <v>45046</v>
      </c>
      <c r="K83" s="3272">
        <v>454482.73076923098</v>
      </c>
      <c r="L83" s="3273" t="s">
        <v>3240</v>
      </c>
      <c r="M83" s="3268" t="s">
        <v>3199</v>
      </c>
      <c r="Q83" s="3274">
        <f t="shared" si="1"/>
        <v>8.9747597411780582</v>
      </c>
    </row>
    <row r="84" spans="1:17" s="3274" customFormat="1" ht="12">
      <c r="A84" s="3265"/>
      <c r="B84" s="3266"/>
      <c r="C84" s="3267" t="s">
        <v>4555</v>
      </c>
      <c r="D84" s="3275">
        <v>148.223404255319</v>
      </c>
      <c r="E84" s="3276">
        <v>148.62</v>
      </c>
      <c r="F84" s="3270" t="s">
        <v>4555</v>
      </c>
      <c r="G84" s="3270" t="s">
        <v>4663</v>
      </c>
      <c r="H84" s="3268">
        <v>139.33000000000001</v>
      </c>
      <c r="I84" s="3271">
        <v>44301</v>
      </c>
      <c r="J84" s="3271">
        <v>46126</v>
      </c>
      <c r="K84" s="3272">
        <v>518331.45199999999</v>
      </c>
      <c r="L84" s="3273" t="s">
        <v>3240</v>
      </c>
      <c r="M84" s="3268" t="s">
        <v>3204</v>
      </c>
      <c r="Q84" s="3274">
        <f t="shared" si="1"/>
        <v>10.192249837529705</v>
      </c>
    </row>
    <row r="85" spans="1:17" s="3274" customFormat="1" ht="24">
      <c r="A85" s="3265"/>
      <c r="B85" s="3265"/>
      <c r="C85" s="3299" t="s">
        <v>3206</v>
      </c>
      <c r="D85" s="3275">
        <v>267.11</v>
      </c>
      <c r="E85" s="3276">
        <v>1068.29</v>
      </c>
      <c r="F85" s="3292" t="s">
        <v>4664</v>
      </c>
      <c r="G85" s="3270" t="s">
        <v>4665</v>
      </c>
      <c r="H85" s="3275">
        <v>203</v>
      </c>
      <c r="I85" s="3271">
        <v>44440</v>
      </c>
      <c r="J85" s="3271">
        <v>45169</v>
      </c>
      <c r="K85" s="3272">
        <v>310087.58</v>
      </c>
      <c r="L85" s="3273" t="s">
        <v>3240</v>
      </c>
      <c r="M85" s="3268"/>
      <c r="Q85" s="3274">
        <f t="shared" si="1"/>
        <v>4.1850000674809369</v>
      </c>
    </row>
    <row r="86" spans="1:17" s="3274" customFormat="1" ht="12">
      <c r="A86" s="3265"/>
      <c r="B86" s="3265"/>
      <c r="C86" s="3299" t="s">
        <v>3178</v>
      </c>
      <c r="D86" s="3275">
        <v>73.55</v>
      </c>
      <c r="E86" s="3499" t="s">
        <v>4666</v>
      </c>
      <c r="F86" s="3292" t="s">
        <v>4667</v>
      </c>
      <c r="G86" s="3270" t="s">
        <v>4668</v>
      </c>
      <c r="H86" s="3275">
        <v>55.9</v>
      </c>
      <c r="I86" s="3271">
        <v>44470</v>
      </c>
      <c r="J86" s="3271">
        <v>45199</v>
      </c>
      <c r="K86" s="3272">
        <v>85388.66</v>
      </c>
      <c r="L86" s="3273" t="s">
        <v>3240</v>
      </c>
      <c r="M86" s="3268"/>
      <c r="Q86" s="3274">
        <f t="shared" si="1"/>
        <v>4.1850006126399881</v>
      </c>
    </row>
    <row r="87" spans="1:17" s="3274" customFormat="1" ht="12">
      <c r="A87" s="3265"/>
      <c r="B87" s="3265"/>
      <c r="C87" s="3300"/>
      <c r="D87" s="3275">
        <v>76.05</v>
      </c>
      <c r="E87" s="3504"/>
      <c r="F87" s="3292" t="s">
        <v>4669</v>
      </c>
      <c r="G87" s="3270" t="s">
        <v>4668</v>
      </c>
      <c r="H87" s="3275">
        <v>57.8</v>
      </c>
      <c r="I87" s="3271">
        <v>44470</v>
      </c>
      <c r="J87" s="3271">
        <v>45199</v>
      </c>
      <c r="K87" s="3272">
        <v>88290.96</v>
      </c>
      <c r="L87" s="3273" t="s">
        <v>3240</v>
      </c>
      <c r="M87" s="3268"/>
      <c r="Q87" s="3274">
        <f t="shared" si="1"/>
        <v>4.1850007110015648</v>
      </c>
    </row>
    <row r="88" spans="1:17" s="3274" customFormat="1" ht="12">
      <c r="A88" s="3265"/>
      <c r="B88" s="3265"/>
      <c r="C88" s="3300"/>
      <c r="D88" s="3275">
        <v>78.03</v>
      </c>
      <c r="E88" s="3504"/>
      <c r="F88" s="3292" t="s">
        <v>4670</v>
      </c>
      <c r="G88" s="3270" t="s">
        <v>4668</v>
      </c>
      <c r="H88" s="3275">
        <v>59.3</v>
      </c>
      <c r="I88" s="3271">
        <v>44470</v>
      </c>
      <c r="J88" s="3271">
        <v>45199</v>
      </c>
      <c r="K88" s="3272">
        <v>90582.22</v>
      </c>
      <c r="L88" s="3273" t="s">
        <v>3240</v>
      </c>
      <c r="M88" s="3268"/>
      <c r="Q88" s="3274">
        <f t="shared" si="1"/>
        <v>4.184999422486082</v>
      </c>
    </row>
    <row r="89" spans="1:17" s="3274" customFormat="1" ht="12">
      <c r="A89" s="3265"/>
      <c r="B89" s="3265"/>
      <c r="C89" s="3267"/>
      <c r="D89" s="3275">
        <v>46.184210526315802</v>
      </c>
      <c r="E89" s="3504"/>
      <c r="F89" s="3292" t="s">
        <v>4671</v>
      </c>
      <c r="G89" s="3270" t="s">
        <v>4672</v>
      </c>
      <c r="H89" s="3275">
        <v>35.1</v>
      </c>
      <c r="I89" s="3271">
        <v>44175</v>
      </c>
      <c r="J89" s="3271">
        <v>44904</v>
      </c>
      <c r="K89" s="3272">
        <v>50135.67</v>
      </c>
      <c r="L89" s="3273" t="s">
        <v>3240</v>
      </c>
      <c r="M89" s="3268"/>
      <c r="Q89" s="3274">
        <f t="shared" si="1"/>
        <v>3.9133333333333331</v>
      </c>
    </row>
    <row r="90" spans="1:17" s="3274" customFormat="1" ht="12">
      <c r="A90" s="3265"/>
      <c r="B90" s="3265"/>
      <c r="C90" s="3267"/>
      <c r="D90" s="3293">
        <v>23.8815789473684</v>
      </c>
      <c r="E90" s="3500"/>
      <c r="F90" s="3292" t="s">
        <v>4613</v>
      </c>
      <c r="G90" s="3295" t="s">
        <v>4673</v>
      </c>
      <c r="H90" s="3293">
        <v>18.149999999999999</v>
      </c>
      <c r="I90" s="3271">
        <v>44201</v>
      </c>
      <c r="J90" s="3271">
        <v>44930</v>
      </c>
      <c r="K90" s="3272">
        <v>28753.224999999999</v>
      </c>
      <c r="L90" s="3273" t="s">
        <v>3240</v>
      </c>
      <c r="M90" s="3268"/>
      <c r="Q90" s="3274">
        <f t="shared" si="1"/>
        <v>4.3402732178572778</v>
      </c>
    </row>
    <row r="91" spans="1:17">
      <c r="A91" s="3494" t="s">
        <v>37</v>
      </c>
      <c r="B91" s="3494"/>
      <c r="C91" s="3301"/>
      <c r="D91" s="3302">
        <f>SUM(D86:D90)</f>
        <v>297.69578947368416</v>
      </c>
      <c r="E91" s="3303"/>
      <c r="F91" s="3301"/>
      <c r="G91" s="3301"/>
      <c r="H91" s="3301"/>
      <c r="I91" s="3495"/>
      <c r="J91" s="3495"/>
      <c r="K91" s="3304">
        <f>SUM(K4:K90)</f>
        <v>30140640.313627303</v>
      </c>
      <c r="L91" s="3273"/>
      <c r="M91" s="3268"/>
    </row>
  </sheetData>
  <mergeCells count="20">
    <mergeCell ref="A1:M1"/>
    <mergeCell ref="A2:A3"/>
    <mergeCell ref="B2:B3"/>
    <mergeCell ref="C2:C3"/>
    <mergeCell ref="D2:D3"/>
    <mergeCell ref="E2:E3"/>
    <mergeCell ref="F2:F3"/>
    <mergeCell ref="G2:G3"/>
    <mergeCell ref="H2:H3"/>
    <mergeCell ref="I2:J3"/>
    <mergeCell ref="L2:L3"/>
    <mergeCell ref="M2:M3"/>
    <mergeCell ref="A91:B91"/>
    <mergeCell ref="I91:J91"/>
    <mergeCell ref="K2:K3"/>
    <mergeCell ref="E5:E6"/>
    <mergeCell ref="E8:E9"/>
    <mergeCell ref="E15:E17"/>
    <mergeCell ref="E73:E74"/>
    <mergeCell ref="E86:E90"/>
  </mergeCells>
  <phoneticPr fontId="140" type="noConversion"/>
  <pageMargins left="0.7" right="0.7" top="0.75" bottom="0.75" header="0.3" footer="0.3"/>
  <pageSetup paperSize="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60"/>
  <sheetViews>
    <sheetView topLeftCell="A4" workbookViewId="0">
      <selection activeCell="C14" sqref="C14"/>
    </sheetView>
  </sheetViews>
  <sheetFormatPr defaultColWidth="8.875" defaultRowHeight="14.25"/>
  <cols>
    <col min="4" max="4" width="8.875" style="3398"/>
  </cols>
  <sheetData>
    <row r="1" spans="1:8" ht="21.75" thickBot="1">
      <c r="A1" s="3389" t="s">
        <v>4493</v>
      </c>
      <c r="B1" s="3390" t="s">
        <v>5603</v>
      </c>
      <c r="C1" s="3390" t="s">
        <v>5604</v>
      </c>
      <c r="D1" s="3396" t="s">
        <v>5605</v>
      </c>
      <c r="E1" s="3390" t="s">
        <v>5606</v>
      </c>
      <c r="F1" s="3390" t="s">
        <v>5607</v>
      </c>
      <c r="G1" s="3526" t="s">
        <v>5608</v>
      </c>
      <c r="H1" s="3527"/>
    </row>
    <row r="2" spans="1:8" ht="15" thickBot="1">
      <c r="A2" s="3391" t="s">
        <v>5609</v>
      </c>
      <c r="B2" s="3397" t="s">
        <v>5627</v>
      </c>
      <c r="C2" s="3392">
        <v>1</v>
      </c>
      <c r="D2" s="3397">
        <v>1</v>
      </c>
      <c r="E2" s="3393">
        <v>59.26</v>
      </c>
      <c r="F2" s="3512">
        <v>107.72</v>
      </c>
      <c r="G2" s="3519">
        <v>44477</v>
      </c>
      <c r="H2" s="3519">
        <v>45572</v>
      </c>
    </row>
    <row r="3" spans="1:8" ht="15" thickBot="1">
      <c r="A3" s="3391" t="s">
        <v>5609</v>
      </c>
      <c r="B3" s="3397" t="s">
        <v>5628</v>
      </c>
      <c r="C3" s="3392">
        <v>2</v>
      </c>
      <c r="D3" s="3397">
        <v>1</v>
      </c>
      <c r="E3" s="3393">
        <v>57.21</v>
      </c>
      <c r="F3" s="3518"/>
      <c r="G3" s="3520"/>
      <c r="H3" s="3520"/>
    </row>
    <row r="4" spans="1:8" ht="15" thickBot="1">
      <c r="A4" s="3391" t="s">
        <v>5609</v>
      </c>
      <c r="B4" s="3397" t="s">
        <v>5629</v>
      </c>
      <c r="C4" s="3392">
        <v>3</v>
      </c>
      <c r="D4" s="3397">
        <v>1</v>
      </c>
      <c r="E4" s="3393">
        <v>51.67</v>
      </c>
      <c r="F4" s="3524">
        <v>995.27</v>
      </c>
      <c r="G4" s="3528">
        <v>44166</v>
      </c>
      <c r="H4" s="3528">
        <v>44957</v>
      </c>
    </row>
    <row r="5" spans="1:8" ht="15" thickBot="1">
      <c r="A5" s="3512" t="s">
        <v>5609</v>
      </c>
      <c r="B5" s="3516" t="s">
        <v>5630</v>
      </c>
      <c r="C5" s="3392">
        <v>5</v>
      </c>
      <c r="D5" s="3397" t="s">
        <v>5626</v>
      </c>
      <c r="E5" s="3512">
        <v>1514.57</v>
      </c>
      <c r="F5" s="3518"/>
      <c r="G5" s="3520"/>
      <c r="H5" s="3520"/>
    </row>
    <row r="6" spans="1:8" ht="15" thickBot="1">
      <c r="A6" s="3518"/>
      <c r="B6" s="3523"/>
      <c r="C6" s="3392">
        <v>5</v>
      </c>
      <c r="D6" s="3397" t="s">
        <v>5626</v>
      </c>
      <c r="E6" s="3518"/>
      <c r="F6" s="3393">
        <v>455</v>
      </c>
      <c r="G6" s="3394">
        <v>44166</v>
      </c>
      <c r="H6" s="3394">
        <v>44957</v>
      </c>
    </row>
    <row r="7" spans="1:8" ht="15" thickBot="1">
      <c r="A7" s="3391" t="s">
        <v>5609</v>
      </c>
      <c r="B7" s="3397" t="s">
        <v>5631</v>
      </c>
      <c r="C7" s="3392">
        <v>6</v>
      </c>
      <c r="D7" s="3397">
        <v>1</v>
      </c>
      <c r="E7" s="3393">
        <v>42.57</v>
      </c>
      <c r="F7" s="3512">
        <v>82.23</v>
      </c>
      <c r="G7" s="3519">
        <v>44150</v>
      </c>
      <c r="H7" s="3519">
        <v>45274</v>
      </c>
    </row>
    <row r="8" spans="1:8" ht="15" thickBot="1">
      <c r="A8" s="3391" t="s">
        <v>5609</v>
      </c>
      <c r="B8" s="3397" t="s">
        <v>5632</v>
      </c>
      <c r="C8" s="3392">
        <v>8</v>
      </c>
      <c r="D8" s="3397">
        <v>1</v>
      </c>
      <c r="E8" s="3393">
        <v>46.34</v>
      </c>
      <c r="F8" s="3518"/>
      <c r="G8" s="3520"/>
      <c r="H8" s="3520"/>
    </row>
    <row r="9" spans="1:8" ht="15" thickBot="1">
      <c r="A9" s="3512" t="s">
        <v>5609</v>
      </c>
      <c r="B9" s="3516" t="s">
        <v>5633</v>
      </c>
      <c r="C9" s="3392">
        <v>7</v>
      </c>
      <c r="D9" s="3516" t="s">
        <v>5626</v>
      </c>
      <c r="E9" s="3512">
        <v>1245.71</v>
      </c>
      <c r="F9" s="3393">
        <v>402.06</v>
      </c>
      <c r="G9" s="3394">
        <v>44540</v>
      </c>
      <c r="H9" s="3394">
        <v>45269</v>
      </c>
    </row>
    <row r="10" spans="1:8" ht="15" thickBot="1">
      <c r="A10" s="3518"/>
      <c r="B10" s="3523"/>
      <c r="C10" s="3392" t="s">
        <v>4519</v>
      </c>
      <c r="D10" s="3523"/>
      <c r="E10" s="3518"/>
      <c r="F10" s="3393">
        <v>652.53</v>
      </c>
      <c r="G10" s="3394">
        <v>44166</v>
      </c>
      <c r="H10" s="3394">
        <v>44957</v>
      </c>
    </row>
    <row r="11" spans="1:8" ht="15" thickBot="1">
      <c r="A11" s="3391" t="s">
        <v>5609</v>
      </c>
      <c r="B11" s="3397" t="s">
        <v>5634</v>
      </c>
      <c r="C11" s="3392">
        <v>9</v>
      </c>
      <c r="D11" s="3397">
        <v>1</v>
      </c>
      <c r="E11" s="3393">
        <v>10.93</v>
      </c>
      <c r="F11" s="3393">
        <v>10.11</v>
      </c>
      <c r="G11" s="3394">
        <v>44666</v>
      </c>
      <c r="H11" s="3394">
        <v>45030</v>
      </c>
    </row>
    <row r="12" spans="1:8" ht="15" thickBot="1">
      <c r="A12" s="3391" t="s">
        <v>5609</v>
      </c>
      <c r="B12" s="3397" t="s">
        <v>5635</v>
      </c>
      <c r="C12" s="3392">
        <v>10</v>
      </c>
      <c r="D12" s="3397">
        <v>1</v>
      </c>
      <c r="E12" s="3393">
        <v>132.02000000000001</v>
      </c>
      <c r="F12" s="3393">
        <v>0</v>
      </c>
      <c r="G12" s="3392" t="s">
        <v>4717</v>
      </c>
      <c r="H12" s="3392" t="s">
        <v>4717</v>
      </c>
    </row>
    <row r="13" spans="1:8" ht="15" thickBot="1">
      <c r="A13" s="3391" t="s">
        <v>5609</v>
      </c>
      <c r="B13" s="3397" t="s">
        <v>5636</v>
      </c>
      <c r="C13" s="3392">
        <v>11</v>
      </c>
      <c r="D13" s="3397">
        <v>1</v>
      </c>
      <c r="E13" s="3393">
        <v>44.26</v>
      </c>
      <c r="F13" s="3512">
        <v>152.09</v>
      </c>
      <c r="G13" s="3519">
        <v>43698</v>
      </c>
      <c r="H13" s="3519">
        <v>45524</v>
      </c>
    </row>
    <row r="14" spans="1:8" ht="15" thickBot="1">
      <c r="A14" s="3391" t="s">
        <v>5609</v>
      </c>
      <c r="B14" s="3397" t="s">
        <v>5637</v>
      </c>
      <c r="C14" s="3392">
        <v>17</v>
      </c>
      <c r="D14" s="3397">
        <v>1</v>
      </c>
      <c r="E14" s="3393">
        <v>120.17</v>
      </c>
      <c r="F14" s="3518"/>
      <c r="G14" s="3520"/>
      <c r="H14" s="3520"/>
    </row>
    <row r="15" spans="1:8" ht="15" thickBot="1">
      <c r="A15" s="3391" t="s">
        <v>5609</v>
      </c>
      <c r="B15" s="3397" t="s">
        <v>5638</v>
      </c>
      <c r="C15" s="3392">
        <v>12</v>
      </c>
      <c r="D15" s="3397">
        <v>1</v>
      </c>
      <c r="E15" s="3393">
        <v>46.9</v>
      </c>
      <c r="F15" s="3393">
        <v>0</v>
      </c>
      <c r="G15" s="3392" t="s">
        <v>4717</v>
      </c>
      <c r="H15" s="3392" t="s">
        <v>4717</v>
      </c>
    </row>
    <row r="16" spans="1:8" ht="15" thickBot="1">
      <c r="A16" s="3391" t="s">
        <v>5609</v>
      </c>
      <c r="B16" s="3397" t="s">
        <v>5639</v>
      </c>
      <c r="C16" s="3392">
        <v>15</v>
      </c>
      <c r="D16" s="3397">
        <v>1</v>
      </c>
      <c r="E16" s="3393">
        <v>45.15</v>
      </c>
      <c r="F16" s="3393">
        <v>41.76</v>
      </c>
      <c r="G16" s="3394">
        <v>44175</v>
      </c>
      <c r="H16" s="3394">
        <v>45269</v>
      </c>
    </row>
    <row r="17" spans="1:8" ht="15" thickBot="1">
      <c r="A17" s="3391" t="s">
        <v>5609</v>
      </c>
      <c r="B17" s="3397" t="s">
        <v>5640</v>
      </c>
      <c r="C17" s="3392">
        <v>18</v>
      </c>
      <c r="D17" s="3397">
        <v>1</v>
      </c>
      <c r="E17" s="3393">
        <v>97.45</v>
      </c>
      <c r="F17" s="3393">
        <v>90.17</v>
      </c>
      <c r="G17" s="3394">
        <v>44119</v>
      </c>
      <c r="H17" s="3394">
        <v>44848</v>
      </c>
    </row>
    <row r="18" spans="1:8" ht="15" thickBot="1">
      <c r="A18" s="3512" t="s">
        <v>5609</v>
      </c>
      <c r="B18" s="3516" t="s">
        <v>5641</v>
      </c>
      <c r="C18" s="3392">
        <v>19</v>
      </c>
      <c r="D18" s="3516" t="s">
        <v>5626</v>
      </c>
      <c r="E18" s="3512">
        <v>1786.53</v>
      </c>
      <c r="F18" s="3393">
        <v>65.25</v>
      </c>
      <c r="G18" s="3394">
        <v>44183</v>
      </c>
      <c r="H18" s="3394">
        <v>45308</v>
      </c>
    </row>
    <row r="19" spans="1:8" ht="15" thickBot="1">
      <c r="A19" s="3521"/>
      <c r="B19" s="3522"/>
      <c r="C19" s="3392" t="s">
        <v>4538</v>
      </c>
      <c r="D19" s="3522"/>
      <c r="E19" s="3521"/>
      <c r="F19" s="3393">
        <v>1135.42</v>
      </c>
      <c r="G19" s="3394">
        <v>44494</v>
      </c>
      <c r="H19" s="3394">
        <v>45223</v>
      </c>
    </row>
    <row r="20" spans="1:8" ht="15" thickBot="1">
      <c r="A20" s="3518"/>
      <c r="B20" s="3523"/>
      <c r="C20" s="3392" t="s">
        <v>5610</v>
      </c>
      <c r="D20" s="3523"/>
      <c r="E20" s="3518"/>
      <c r="F20" s="3393">
        <v>17</v>
      </c>
      <c r="G20" s="3394">
        <v>44256</v>
      </c>
      <c r="H20" s="3394">
        <v>44985</v>
      </c>
    </row>
    <row r="21" spans="1:8" ht="15" thickBot="1">
      <c r="A21" s="3524" t="s">
        <v>5609</v>
      </c>
      <c r="B21" s="3525" t="s">
        <v>5642</v>
      </c>
      <c r="C21" s="3392">
        <v>20</v>
      </c>
      <c r="D21" s="3525">
        <v>1</v>
      </c>
      <c r="E21" s="3524">
        <v>87.03</v>
      </c>
      <c r="F21" s="3393">
        <v>80.5</v>
      </c>
      <c r="G21" s="3394">
        <v>44119</v>
      </c>
      <c r="H21" s="3394">
        <v>45213</v>
      </c>
    </row>
    <row r="22" spans="1:8" ht="15" thickBot="1">
      <c r="A22" s="3518"/>
      <c r="B22" s="3523"/>
      <c r="C22" s="3392" t="s">
        <v>4541</v>
      </c>
      <c r="D22" s="3523"/>
      <c r="E22" s="3518"/>
      <c r="F22" s="3393">
        <v>8.7200000000000006</v>
      </c>
      <c r="G22" s="3394">
        <v>44287</v>
      </c>
      <c r="H22" s="3394">
        <v>45016</v>
      </c>
    </row>
    <row r="23" spans="1:8" ht="15" thickBot="1">
      <c r="A23" s="3391" t="s">
        <v>5609</v>
      </c>
      <c r="B23" s="3397" t="s">
        <v>5643</v>
      </c>
      <c r="C23" s="3392">
        <v>21</v>
      </c>
      <c r="D23" s="3397">
        <v>1</v>
      </c>
      <c r="E23" s="3393">
        <v>123.61</v>
      </c>
      <c r="F23" s="3393">
        <v>84.77</v>
      </c>
      <c r="G23" s="3394">
        <v>44602</v>
      </c>
      <c r="H23" s="3394">
        <v>45697</v>
      </c>
    </row>
    <row r="24" spans="1:8" ht="15" thickBot="1">
      <c r="A24" s="3391" t="s">
        <v>5609</v>
      </c>
      <c r="B24" s="3397" t="s">
        <v>5644</v>
      </c>
      <c r="C24" s="3392">
        <v>22</v>
      </c>
      <c r="D24" s="3397">
        <v>1</v>
      </c>
      <c r="E24" s="3393">
        <v>85.91</v>
      </c>
      <c r="F24" s="3393">
        <v>0</v>
      </c>
      <c r="G24" s="3392" t="s">
        <v>4717</v>
      </c>
      <c r="H24" s="3392" t="s">
        <v>4717</v>
      </c>
    </row>
    <row r="25" spans="1:8" ht="15" thickBot="1">
      <c r="A25" s="3391" t="s">
        <v>5609</v>
      </c>
      <c r="B25" s="3397" t="s">
        <v>5645</v>
      </c>
      <c r="C25" s="3392">
        <v>23</v>
      </c>
      <c r="D25" s="3397">
        <v>1</v>
      </c>
      <c r="E25" s="3393">
        <v>58.81</v>
      </c>
      <c r="F25" s="3393">
        <v>58.81</v>
      </c>
      <c r="G25" s="3394">
        <v>44635</v>
      </c>
      <c r="H25" s="3394">
        <v>45365</v>
      </c>
    </row>
    <row r="26" spans="1:8" ht="15" thickBot="1">
      <c r="A26" s="3391" t="s">
        <v>5609</v>
      </c>
      <c r="B26" s="3397" t="s">
        <v>5646</v>
      </c>
      <c r="C26" s="3392">
        <v>25</v>
      </c>
      <c r="D26" s="3397">
        <v>1</v>
      </c>
      <c r="E26" s="3393">
        <v>88.45</v>
      </c>
      <c r="F26" s="3512">
        <v>87.23</v>
      </c>
      <c r="G26" s="3519">
        <v>44150</v>
      </c>
      <c r="H26" s="3519">
        <v>45274</v>
      </c>
    </row>
    <row r="27" spans="1:8" ht="15" thickBot="1">
      <c r="A27" s="3391" t="s">
        <v>5609</v>
      </c>
      <c r="B27" s="3397" t="s">
        <v>3657</v>
      </c>
      <c r="C27" s="3392">
        <v>76</v>
      </c>
      <c r="D27" s="3397">
        <v>1</v>
      </c>
      <c r="E27" s="3393">
        <v>99.51</v>
      </c>
      <c r="F27" s="3518"/>
      <c r="G27" s="3520"/>
      <c r="H27" s="3520"/>
    </row>
    <row r="28" spans="1:8" ht="15" thickBot="1">
      <c r="A28" s="3391" t="s">
        <v>5609</v>
      </c>
      <c r="B28" s="3397" t="s">
        <v>5647</v>
      </c>
      <c r="C28" s="3392">
        <v>26</v>
      </c>
      <c r="D28" s="3397">
        <v>1</v>
      </c>
      <c r="E28" s="3393">
        <v>127.25</v>
      </c>
      <c r="F28" s="3393">
        <v>117.7</v>
      </c>
      <c r="G28" s="3394">
        <v>44166</v>
      </c>
      <c r="H28" s="3394">
        <v>44957</v>
      </c>
    </row>
    <row r="29" spans="1:8" ht="15" thickBot="1">
      <c r="A29" s="3391" t="s">
        <v>5609</v>
      </c>
      <c r="B29" s="3397" t="s">
        <v>5648</v>
      </c>
      <c r="C29" s="3392">
        <v>27</v>
      </c>
      <c r="D29" s="3397">
        <v>1</v>
      </c>
      <c r="E29" s="3393">
        <v>210.49</v>
      </c>
      <c r="F29" s="3393">
        <v>0</v>
      </c>
      <c r="G29" s="3392" t="s">
        <v>4717</v>
      </c>
      <c r="H29" s="3392" t="s">
        <v>4717</v>
      </c>
    </row>
    <row r="30" spans="1:8" ht="15" thickBot="1">
      <c r="A30" s="3391" t="s">
        <v>5609</v>
      </c>
      <c r="B30" s="3397" t="s">
        <v>3637</v>
      </c>
      <c r="C30" s="3392">
        <v>27</v>
      </c>
      <c r="D30" s="3397">
        <v>-1</v>
      </c>
      <c r="E30" s="3393">
        <v>3840.45</v>
      </c>
      <c r="F30" s="3393">
        <v>3857.27</v>
      </c>
      <c r="G30" s="3394">
        <v>43590</v>
      </c>
      <c r="H30" s="3394">
        <v>46173</v>
      </c>
    </row>
    <row r="31" spans="1:8" ht="15" thickBot="1">
      <c r="A31" s="3391" t="s">
        <v>5609</v>
      </c>
      <c r="B31" s="3397" t="s">
        <v>5649</v>
      </c>
      <c r="C31" s="3392">
        <v>28</v>
      </c>
      <c r="D31" s="3397">
        <v>1</v>
      </c>
      <c r="E31" s="3393">
        <v>129.43</v>
      </c>
      <c r="F31" s="3393">
        <v>119.71</v>
      </c>
      <c r="G31" s="3394">
        <v>44540</v>
      </c>
      <c r="H31" s="3394">
        <v>45269</v>
      </c>
    </row>
    <row r="32" spans="1:8" ht="15" thickBot="1">
      <c r="A32" s="3391" t="s">
        <v>5609</v>
      </c>
      <c r="B32" s="3393" t="s">
        <v>3640</v>
      </c>
      <c r="C32" s="3392">
        <v>30</v>
      </c>
      <c r="D32" s="3397">
        <v>1</v>
      </c>
      <c r="E32" s="3393">
        <v>47.82</v>
      </c>
      <c r="F32" s="3393">
        <v>44.23</v>
      </c>
      <c r="G32" s="3394">
        <v>44301</v>
      </c>
      <c r="H32" s="3394">
        <v>45030</v>
      </c>
    </row>
    <row r="33" spans="1:8" ht="15" thickBot="1">
      <c r="A33" s="3391" t="s">
        <v>5609</v>
      </c>
      <c r="B33" s="3393" t="s">
        <v>3641</v>
      </c>
      <c r="C33" s="3392">
        <v>32</v>
      </c>
      <c r="D33" s="3397">
        <v>1</v>
      </c>
      <c r="E33" s="3393">
        <v>58.24</v>
      </c>
      <c r="F33" s="3393">
        <v>53.87</v>
      </c>
      <c r="G33" s="3394">
        <v>44687</v>
      </c>
      <c r="H33" s="3394">
        <v>45417</v>
      </c>
    </row>
    <row r="34" spans="1:8" ht="15" thickBot="1">
      <c r="A34" s="3391" t="s">
        <v>5609</v>
      </c>
      <c r="B34" s="3393" t="s">
        <v>3642</v>
      </c>
      <c r="C34" s="3392">
        <v>36</v>
      </c>
      <c r="D34" s="3397">
        <v>1</v>
      </c>
      <c r="E34" s="3393">
        <v>80</v>
      </c>
      <c r="F34" s="3393">
        <v>73.989999999999995</v>
      </c>
      <c r="G34" s="3394">
        <v>44090</v>
      </c>
      <c r="H34" s="3394">
        <v>45184</v>
      </c>
    </row>
    <row r="35" spans="1:8" ht="15" thickBot="1">
      <c r="A35" s="3391" t="s">
        <v>5609</v>
      </c>
      <c r="B35" s="3393" t="s">
        <v>3643</v>
      </c>
      <c r="C35" s="3392">
        <v>38</v>
      </c>
      <c r="D35" s="3397">
        <v>1</v>
      </c>
      <c r="E35" s="3393">
        <v>105.57</v>
      </c>
      <c r="F35" s="3393">
        <v>97.64</v>
      </c>
      <c r="G35" s="3394">
        <v>44119</v>
      </c>
      <c r="H35" s="3394">
        <v>44848</v>
      </c>
    </row>
    <row r="36" spans="1:8" ht="15" thickBot="1">
      <c r="A36" s="3391" t="s">
        <v>5609</v>
      </c>
      <c r="B36" s="3393" t="s">
        <v>3645</v>
      </c>
      <c r="C36" s="3392">
        <v>50</v>
      </c>
      <c r="D36" s="3397">
        <v>1</v>
      </c>
      <c r="E36" s="3393">
        <v>36.78</v>
      </c>
      <c r="F36" s="3393">
        <v>34.020000000000003</v>
      </c>
      <c r="G36" s="3394">
        <v>44150</v>
      </c>
      <c r="H36" s="3394">
        <v>44879</v>
      </c>
    </row>
    <row r="37" spans="1:8" ht="15" thickBot="1">
      <c r="A37" s="3391" t="s">
        <v>5609</v>
      </c>
      <c r="B37" s="3393" t="s">
        <v>3646</v>
      </c>
      <c r="C37" s="3392">
        <v>52</v>
      </c>
      <c r="D37" s="3397">
        <v>1</v>
      </c>
      <c r="E37" s="3393">
        <v>25.34</v>
      </c>
      <c r="F37" s="3393">
        <v>23.36</v>
      </c>
      <c r="G37" s="3394">
        <v>44114</v>
      </c>
      <c r="H37" s="3394">
        <v>44843</v>
      </c>
    </row>
    <row r="38" spans="1:8" ht="15" thickBot="1">
      <c r="A38" s="3391" t="s">
        <v>5609</v>
      </c>
      <c r="B38" s="3393" t="s">
        <v>3647</v>
      </c>
      <c r="C38" s="3392">
        <v>56</v>
      </c>
      <c r="D38" s="3397">
        <v>1</v>
      </c>
      <c r="E38" s="3393">
        <v>78.45</v>
      </c>
      <c r="F38" s="3393">
        <v>72.56</v>
      </c>
      <c r="G38" s="3394">
        <v>44477</v>
      </c>
      <c r="H38" s="3394">
        <v>45206</v>
      </c>
    </row>
    <row r="39" spans="1:8" ht="15" thickBot="1">
      <c r="A39" s="3391" t="s">
        <v>5609</v>
      </c>
      <c r="B39" s="3393" t="s">
        <v>3648</v>
      </c>
      <c r="C39" s="3392">
        <v>58</v>
      </c>
      <c r="D39" s="3397">
        <v>1</v>
      </c>
      <c r="E39" s="3393">
        <v>125.54</v>
      </c>
      <c r="F39" s="3393">
        <v>86.61</v>
      </c>
      <c r="G39" s="3394">
        <v>44013</v>
      </c>
      <c r="H39" s="3394">
        <v>44742</v>
      </c>
    </row>
    <row r="40" spans="1:8" ht="15" thickBot="1">
      <c r="A40" s="3391" t="s">
        <v>5609</v>
      </c>
      <c r="B40" s="3393" t="s">
        <v>3650</v>
      </c>
      <c r="C40" s="3392">
        <v>60</v>
      </c>
      <c r="D40" s="3397">
        <v>1</v>
      </c>
      <c r="E40" s="3393">
        <v>48.96</v>
      </c>
      <c r="F40" s="3512">
        <v>67.45</v>
      </c>
      <c r="G40" s="3519">
        <v>44067</v>
      </c>
      <c r="H40" s="3519">
        <v>44871</v>
      </c>
    </row>
    <row r="41" spans="1:8" ht="15" thickBot="1">
      <c r="A41" s="3391" t="s">
        <v>5609</v>
      </c>
      <c r="B41" s="3393" t="s">
        <v>3651</v>
      </c>
      <c r="C41" s="3392">
        <v>62</v>
      </c>
      <c r="D41" s="3397">
        <v>1</v>
      </c>
      <c r="E41" s="3393">
        <v>48.61</v>
      </c>
      <c r="F41" s="3518"/>
      <c r="G41" s="3520"/>
      <c r="H41" s="3520"/>
    </row>
    <row r="42" spans="1:8" ht="15" thickBot="1">
      <c r="A42" s="3391" t="s">
        <v>5609</v>
      </c>
      <c r="B42" s="3393" t="s">
        <v>3652</v>
      </c>
      <c r="C42" s="3392">
        <v>66</v>
      </c>
      <c r="D42" s="3397">
        <v>1</v>
      </c>
      <c r="E42" s="3393">
        <v>97.45</v>
      </c>
      <c r="F42" s="3393">
        <v>90.13</v>
      </c>
      <c r="G42" s="3394">
        <v>44270</v>
      </c>
      <c r="H42" s="3394">
        <v>44999</v>
      </c>
    </row>
    <row r="43" spans="1:8" ht="15" thickBot="1">
      <c r="A43" s="3391" t="s">
        <v>5609</v>
      </c>
      <c r="B43" s="3393" t="s">
        <v>3653</v>
      </c>
      <c r="C43" s="3392">
        <v>68</v>
      </c>
      <c r="D43" s="3397">
        <v>1</v>
      </c>
      <c r="E43" s="3393">
        <v>96.98</v>
      </c>
      <c r="F43" s="3393">
        <v>69.44</v>
      </c>
      <c r="G43" s="3394">
        <v>44636</v>
      </c>
      <c r="H43" s="3394">
        <v>45366</v>
      </c>
    </row>
    <row r="44" spans="1:8" ht="15" thickBot="1">
      <c r="A44" s="3391" t="s">
        <v>5609</v>
      </c>
      <c r="B44" s="3393" t="s">
        <v>3655</v>
      </c>
      <c r="C44" s="3392">
        <v>70</v>
      </c>
      <c r="D44" s="3397">
        <v>1</v>
      </c>
      <c r="E44" s="3393">
        <v>132.96</v>
      </c>
      <c r="F44" s="3393">
        <v>122.98</v>
      </c>
      <c r="G44" s="3394">
        <v>44126</v>
      </c>
      <c r="H44" s="3394">
        <v>44886</v>
      </c>
    </row>
    <row r="45" spans="1:8" ht="15" thickBot="1">
      <c r="A45" s="3391" t="s">
        <v>5609</v>
      </c>
      <c r="B45" s="3393" t="s">
        <v>3656</v>
      </c>
      <c r="C45" s="3392">
        <v>72</v>
      </c>
      <c r="D45" s="3397">
        <v>1</v>
      </c>
      <c r="E45" s="3393">
        <v>134.84</v>
      </c>
      <c r="F45" s="3393">
        <v>100.8</v>
      </c>
      <c r="G45" s="3394">
        <v>44298</v>
      </c>
      <c r="H45" s="3394">
        <v>45027</v>
      </c>
    </row>
    <row r="46" spans="1:8" ht="15" thickBot="1">
      <c r="A46" s="3512" t="s">
        <v>5611</v>
      </c>
      <c r="B46" s="3512" t="s">
        <v>5612</v>
      </c>
      <c r="C46" s="3514">
        <v>5</v>
      </c>
      <c r="D46" s="3516" t="s">
        <v>5626</v>
      </c>
      <c r="E46" s="3512">
        <v>676.95</v>
      </c>
      <c r="F46" s="3393">
        <v>201.12</v>
      </c>
      <c r="G46" s="3394">
        <v>44173</v>
      </c>
      <c r="H46" s="3394">
        <v>45998</v>
      </c>
    </row>
    <row r="47" spans="1:8" ht="15" thickBot="1">
      <c r="A47" s="3513"/>
      <c r="B47" s="3513"/>
      <c r="C47" s="3515"/>
      <c r="D47" s="3517"/>
      <c r="E47" s="3513"/>
      <c r="F47" s="3393">
        <v>159.38999999999999</v>
      </c>
      <c r="G47" s="3394">
        <v>44173</v>
      </c>
      <c r="H47" s="3394">
        <v>46029</v>
      </c>
    </row>
    <row r="48" spans="1:8" ht="15" thickBot="1">
      <c r="A48" s="3391" t="s">
        <v>5611</v>
      </c>
      <c r="B48" s="3393" t="s">
        <v>5613</v>
      </c>
      <c r="C48" s="3392">
        <v>11</v>
      </c>
      <c r="D48" s="3397" t="s">
        <v>5626</v>
      </c>
      <c r="E48" s="3393">
        <v>196.66</v>
      </c>
      <c r="F48" s="3393">
        <v>184.37</v>
      </c>
      <c r="G48" s="3394">
        <v>44440</v>
      </c>
      <c r="H48" s="3394">
        <v>45535</v>
      </c>
    </row>
    <row r="49" spans="1:8" ht="15" thickBot="1">
      <c r="A49" s="3391" t="s">
        <v>5611</v>
      </c>
      <c r="B49" s="3393" t="s">
        <v>5614</v>
      </c>
      <c r="C49" s="3392">
        <v>15</v>
      </c>
      <c r="D49" s="3397" t="s">
        <v>5626</v>
      </c>
      <c r="E49" s="3393">
        <v>193.78</v>
      </c>
      <c r="F49" s="3393">
        <v>181.67</v>
      </c>
      <c r="G49" s="3394">
        <v>44409</v>
      </c>
      <c r="H49" s="3394">
        <v>45504</v>
      </c>
    </row>
    <row r="50" spans="1:8" ht="15" thickBot="1">
      <c r="A50" s="3391" t="s">
        <v>5611</v>
      </c>
      <c r="B50" s="3393" t="s">
        <v>5615</v>
      </c>
      <c r="C50" s="3392">
        <v>16</v>
      </c>
      <c r="D50" s="3397" t="s">
        <v>5626</v>
      </c>
      <c r="E50" s="3393">
        <v>128.02000000000001</v>
      </c>
      <c r="F50" s="3393">
        <v>120.02</v>
      </c>
      <c r="G50" s="3394">
        <v>44363</v>
      </c>
      <c r="H50" s="3394">
        <v>45092</v>
      </c>
    </row>
    <row r="51" spans="1:8" ht="15" thickBot="1">
      <c r="A51" s="3391" t="s">
        <v>5611</v>
      </c>
      <c r="B51" s="3393" t="s">
        <v>5616</v>
      </c>
      <c r="C51" s="3392">
        <v>18</v>
      </c>
      <c r="D51" s="3397" t="s">
        <v>5626</v>
      </c>
      <c r="E51" s="3393">
        <v>204.64</v>
      </c>
      <c r="F51" s="3393">
        <v>191.85</v>
      </c>
      <c r="G51" s="3394">
        <v>44352</v>
      </c>
      <c r="H51" s="3394">
        <v>45081</v>
      </c>
    </row>
    <row r="52" spans="1:8" ht="15" thickBot="1">
      <c r="A52" s="3391" t="s">
        <v>5611</v>
      </c>
      <c r="B52" s="3393" t="s">
        <v>5617</v>
      </c>
      <c r="C52" s="3392">
        <v>20</v>
      </c>
      <c r="D52" s="3397" t="s">
        <v>5626</v>
      </c>
      <c r="E52" s="3393">
        <v>113.83</v>
      </c>
      <c r="F52" s="3393">
        <v>74.239999999999995</v>
      </c>
      <c r="G52" s="3394">
        <v>44287</v>
      </c>
      <c r="H52" s="3394">
        <v>45046</v>
      </c>
    </row>
    <row r="53" spans="1:8" ht="15" thickBot="1">
      <c r="A53" s="3391" t="s">
        <v>5611</v>
      </c>
      <c r="B53" s="3393" t="s">
        <v>5618</v>
      </c>
      <c r="C53" s="3392">
        <v>22</v>
      </c>
      <c r="D53" s="3397" t="s">
        <v>5626</v>
      </c>
      <c r="E53" s="3393">
        <v>147.19999999999999</v>
      </c>
      <c r="F53" s="3393">
        <v>138</v>
      </c>
      <c r="G53" s="3394">
        <v>44317</v>
      </c>
      <c r="H53" s="3394">
        <v>45046</v>
      </c>
    </row>
    <row r="54" spans="1:8" ht="15" thickBot="1">
      <c r="A54" s="3391" t="s">
        <v>5611</v>
      </c>
      <c r="B54" s="3393" t="s">
        <v>5619</v>
      </c>
      <c r="C54" s="3392">
        <v>26</v>
      </c>
      <c r="D54" s="3397" t="s">
        <v>5626</v>
      </c>
      <c r="E54" s="3393">
        <v>165.28</v>
      </c>
      <c r="F54" s="3393">
        <v>154.94999999999999</v>
      </c>
      <c r="G54" s="3394">
        <v>44193</v>
      </c>
      <c r="H54" s="3394">
        <v>45318</v>
      </c>
    </row>
    <row r="55" spans="1:8" ht="15" thickBot="1">
      <c r="A55" s="3391" t="s">
        <v>5611</v>
      </c>
      <c r="B55" s="3393" t="s">
        <v>5620</v>
      </c>
      <c r="C55" s="3392">
        <v>28</v>
      </c>
      <c r="D55" s="3397" t="s">
        <v>5626</v>
      </c>
      <c r="E55" s="3393">
        <v>169.42</v>
      </c>
      <c r="F55" s="3393">
        <v>158.83000000000001</v>
      </c>
      <c r="G55" s="3394">
        <v>44256</v>
      </c>
      <c r="H55" s="3394">
        <v>45382</v>
      </c>
    </row>
    <row r="56" spans="1:8" ht="15" thickBot="1">
      <c r="A56" s="3391" t="s">
        <v>5611</v>
      </c>
      <c r="B56" s="3393" t="s">
        <v>5621</v>
      </c>
      <c r="C56" s="3392">
        <v>30</v>
      </c>
      <c r="D56" s="3397" t="s">
        <v>5626</v>
      </c>
      <c r="E56" s="3393">
        <v>147.99</v>
      </c>
      <c r="F56" s="3393">
        <v>138.74</v>
      </c>
      <c r="G56" s="3394">
        <v>44287</v>
      </c>
      <c r="H56" s="3394">
        <v>45046</v>
      </c>
    </row>
    <row r="57" spans="1:8" ht="15" thickBot="1">
      <c r="A57" s="3391" t="s">
        <v>5611</v>
      </c>
      <c r="B57" s="3393" t="s">
        <v>5622</v>
      </c>
      <c r="C57" s="3392">
        <v>32</v>
      </c>
      <c r="D57" s="3397" t="s">
        <v>5626</v>
      </c>
      <c r="E57" s="3393">
        <v>148.62</v>
      </c>
      <c r="F57" s="3393">
        <v>139.33000000000001</v>
      </c>
      <c r="G57" s="3394">
        <v>44301</v>
      </c>
      <c r="H57" s="3394">
        <v>46126</v>
      </c>
    </row>
    <row r="58" spans="1:8" ht="15" thickBot="1">
      <c r="A58" s="3391" t="s">
        <v>5611</v>
      </c>
      <c r="B58" s="3393" t="s">
        <v>5623</v>
      </c>
      <c r="C58" s="3392">
        <v>36</v>
      </c>
      <c r="D58" s="3397" t="s">
        <v>5626</v>
      </c>
      <c r="E58" s="3393">
        <v>188.2</v>
      </c>
      <c r="F58" s="3393">
        <v>0</v>
      </c>
      <c r="G58" s="3392" t="s">
        <v>4717</v>
      </c>
      <c r="H58" s="3392" t="s">
        <v>4717</v>
      </c>
    </row>
    <row r="59" spans="1:8" ht="15" thickBot="1">
      <c r="A59" s="3391" t="s">
        <v>5611</v>
      </c>
      <c r="B59" s="3395" t="s">
        <v>3206</v>
      </c>
      <c r="C59" s="3392">
        <v>23</v>
      </c>
      <c r="D59" s="3397" t="s">
        <v>5626</v>
      </c>
      <c r="E59" s="3393">
        <v>154.85</v>
      </c>
      <c r="F59" s="3512">
        <v>376</v>
      </c>
      <c r="G59" s="3394">
        <v>44440</v>
      </c>
      <c r="H59" s="3394">
        <v>45169</v>
      </c>
    </row>
    <row r="60" spans="1:8" ht="15" thickBot="1">
      <c r="A60" s="3391" t="s">
        <v>5611</v>
      </c>
      <c r="B60" s="3395" t="s">
        <v>3206</v>
      </c>
      <c r="C60" s="3392" t="s">
        <v>5624</v>
      </c>
      <c r="D60" s="3397">
        <v>-1</v>
      </c>
      <c r="E60" s="3393">
        <v>913.44</v>
      </c>
      <c r="F60" s="3513"/>
      <c r="G60" s="3394">
        <v>44470</v>
      </c>
      <c r="H60" s="3394">
        <v>45199</v>
      </c>
    </row>
  </sheetData>
  <mergeCells count="40">
    <mergeCell ref="H7:H8"/>
    <mergeCell ref="G1:H1"/>
    <mergeCell ref="F2:F3"/>
    <mergeCell ref="G2:G3"/>
    <mergeCell ref="H2:H3"/>
    <mergeCell ref="F4:F5"/>
    <mergeCell ref="G4:G5"/>
    <mergeCell ref="H4:H5"/>
    <mergeCell ref="A5:A6"/>
    <mergeCell ref="B5:B6"/>
    <mergeCell ref="E5:E6"/>
    <mergeCell ref="F7:F8"/>
    <mergeCell ref="G7:G8"/>
    <mergeCell ref="A21:A22"/>
    <mergeCell ref="B21:B22"/>
    <mergeCell ref="D21:D22"/>
    <mergeCell ref="E21:E22"/>
    <mergeCell ref="A9:A10"/>
    <mergeCell ref="B9:B10"/>
    <mergeCell ref="D9:D10"/>
    <mergeCell ref="E9:E10"/>
    <mergeCell ref="H13:H14"/>
    <mergeCell ref="A18:A20"/>
    <mergeCell ref="B18:B20"/>
    <mergeCell ref="D18:D20"/>
    <mergeCell ref="E18:E20"/>
    <mergeCell ref="F13:F14"/>
    <mergeCell ref="G13:G14"/>
    <mergeCell ref="F59:F60"/>
    <mergeCell ref="F26:F27"/>
    <mergeCell ref="G26:G27"/>
    <mergeCell ref="H26:H27"/>
    <mergeCell ref="F40:F41"/>
    <mergeCell ref="G40:G41"/>
    <mergeCell ref="H40:H41"/>
    <mergeCell ref="A46:A47"/>
    <mergeCell ref="B46:B47"/>
    <mergeCell ref="C46:C47"/>
    <mergeCell ref="D46:D47"/>
    <mergeCell ref="E46:E47"/>
  </mergeCells>
  <phoneticPr fontId="27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AN66"/>
  <sheetViews>
    <sheetView topLeftCell="E1" zoomScale="90" zoomScaleNormal="90" workbookViewId="0">
      <selection activeCell="T8" sqref="T8"/>
    </sheetView>
  </sheetViews>
  <sheetFormatPr defaultColWidth="8.875" defaultRowHeight="14.25"/>
  <cols>
    <col min="1" max="1" width="5.5" style="3232" customWidth="1"/>
    <col min="2" max="2" width="8.125" style="3232" customWidth="1"/>
    <col min="3" max="3" width="5" style="3232" customWidth="1"/>
    <col min="4" max="4" width="4.5" style="3232" customWidth="1"/>
    <col min="5" max="5" width="8.625" style="3232" customWidth="1"/>
    <col min="6" max="6" width="8.375" style="3232" customWidth="1"/>
    <col min="7" max="7" width="6.125" style="3232" customWidth="1"/>
    <col min="8" max="8" width="10.375" style="3232" customWidth="1"/>
    <col min="9" max="9" width="10.625" style="3232" customWidth="1"/>
    <col min="10" max="10" width="9.625" style="3232" customWidth="1"/>
    <col min="11" max="11" width="11" style="3232" customWidth="1"/>
    <col min="12" max="12" width="7.5" style="3232" customWidth="1"/>
    <col min="13" max="13" width="6.625" style="3232" customWidth="1"/>
    <col min="14" max="14" width="8.125" style="3421" customWidth="1"/>
    <col min="15" max="15" width="2.875" style="3350" customWidth="1"/>
    <col min="16" max="16" width="8.5" style="3232" customWidth="1"/>
    <col min="17" max="17" width="7.375" style="3232" customWidth="1"/>
    <col min="18" max="18" width="7.875" style="3232" customWidth="1"/>
    <col min="19" max="19" width="7.625" style="3232" customWidth="1"/>
    <col min="20" max="20" width="8.375" style="3232" customWidth="1"/>
    <col min="21" max="21" width="8" style="3232" customWidth="1"/>
    <col min="22" max="22" width="8.875" style="3232" customWidth="1"/>
    <col min="23" max="23" width="7.625" style="3232" customWidth="1"/>
    <col min="24" max="16384" width="8.875" style="3232"/>
  </cols>
  <sheetData>
    <row r="1" spans="1:40">
      <c r="J1" s="3235">
        <v>44868</v>
      </c>
      <c r="Q1" s="3232">
        <v>0</v>
      </c>
      <c r="R1" s="3234"/>
    </row>
    <row r="2" spans="1:40" ht="25.5">
      <c r="A2" s="3308" t="s">
        <v>4674</v>
      </c>
      <c r="B2" s="3308" t="s">
        <v>4675</v>
      </c>
      <c r="C2" s="3309" t="s">
        <v>4676</v>
      </c>
      <c r="D2" s="3308" t="s">
        <v>4445</v>
      </c>
      <c r="E2" s="3308" t="s">
        <v>4677</v>
      </c>
      <c r="F2" s="3309" t="s">
        <v>4678</v>
      </c>
      <c r="G2" s="3309" t="s">
        <v>4679</v>
      </c>
      <c r="H2" s="3571" t="s">
        <v>4680</v>
      </c>
      <c r="I2" s="3571"/>
      <c r="J2" s="3308" t="s">
        <v>4681</v>
      </c>
      <c r="K2" s="3308" t="s">
        <v>4682</v>
      </c>
      <c r="L2" s="3308" t="s">
        <v>4683</v>
      </c>
      <c r="M2" s="3309" t="s">
        <v>4684</v>
      </c>
      <c r="N2" s="3421" t="s">
        <v>4823</v>
      </c>
      <c r="O2" s="3232"/>
      <c r="P2" s="3577" t="s">
        <v>4773</v>
      </c>
      <c r="Q2" s="3403" t="s">
        <v>4790</v>
      </c>
      <c r="R2" s="3403" t="s">
        <v>4788</v>
      </c>
      <c r="S2" s="3403" t="s">
        <v>4789</v>
      </c>
      <c r="T2" s="3406" t="s">
        <v>4770</v>
      </c>
      <c r="U2" s="3413" t="s">
        <v>4771</v>
      </c>
      <c r="V2" s="3404"/>
      <c r="AF2" s="3232">
        <v>3.51</v>
      </c>
    </row>
    <row r="3" spans="1:40">
      <c r="A3" s="3573" t="s">
        <v>4468</v>
      </c>
      <c r="B3" s="3573" t="s">
        <v>3190</v>
      </c>
      <c r="C3" s="3574" t="s">
        <v>4685</v>
      </c>
      <c r="D3" s="3575" t="s">
        <v>3662</v>
      </c>
      <c r="E3" s="3576">
        <v>676.95</v>
      </c>
      <c r="F3" s="3310">
        <v>201.12</v>
      </c>
      <c r="G3" s="3572">
        <f t="shared" ref="G3:G18" si="0">F3/E3</f>
        <v>0.29709727454021712</v>
      </c>
      <c r="H3" s="3311">
        <v>44173</v>
      </c>
      <c r="I3" s="3311">
        <v>45998</v>
      </c>
      <c r="J3" s="3312">
        <f>(I3-J1)/365</f>
        <v>3.095890410958904</v>
      </c>
      <c r="K3" s="3313">
        <v>536177.88</v>
      </c>
      <c r="L3" s="3576">
        <f>ROUND((K3+K4)/E3/365,2)</f>
        <v>4.04</v>
      </c>
      <c r="M3" s="3310">
        <f t="shared" ref="M3:M14" si="1">ROUND(K3/F3/365,2)</f>
        <v>7.3</v>
      </c>
      <c r="N3" s="3421" t="s">
        <v>4819</v>
      </c>
      <c r="O3" s="3232"/>
      <c r="P3" s="3578"/>
      <c r="Q3" s="3403" t="s">
        <v>4707</v>
      </c>
      <c r="R3" s="3403">
        <f>ROUND((L20+L25+L31+L34+L35+L39+L43+L46+L49+L50+L51+L52+L53+L54+L55+L56+L60+L62)/18,2)</f>
        <v>10.01</v>
      </c>
      <c r="S3" s="3405">
        <f>ROUND((M20+M25+M31+M34+M35+M39+M43+M46+M49+M50+M51+M52+M53+M54+M55+M56+M60+M62)/18,2)</f>
        <v>10.66</v>
      </c>
      <c r="T3" s="3406">
        <v>1</v>
      </c>
      <c r="U3" s="3407">
        <v>1</v>
      </c>
      <c r="V3" s="3404"/>
      <c r="AF3" s="3232">
        <v>2.78</v>
      </c>
    </row>
    <row r="4" spans="1:40">
      <c r="A4" s="3573"/>
      <c r="B4" s="3573"/>
      <c r="C4" s="3574"/>
      <c r="D4" s="3575"/>
      <c r="E4" s="3576"/>
      <c r="F4" s="3310">
        <v>159.38999999999999</v>
      </c>
      <c r="G4" s="3572"/>
      <c r="H4" s="3311">
        <v>44173</v>
      </c>
      <c r="I4" s="3311">
        <v>46029</v>
      </c>
      <c r="J4" s="3312">
        <f>(I4-J1)/365</f>
        <v>3.1808219178082191</v>
      </c>
      <c r="K4" s="3313">
        <v>462593.91732283501</v>
      </c>
      <c r="L4" s="3576"/>
      <c r="M4" s="3310">
        <f t="shared" si="1"/>
        <v>7.95</v>
      </c>
      <c r="N4" s="3421" t="s">
        <v>4819</v>
      </c>
      <c r="O4" s="3232"/>
      <c r="P4" s="3578"/>
      <c r="Q4" s="3403" t="s">
        <v>4794</v>
      </c>
      <c r="R4" s="3403">
        <f>ROUND((L22+L27+L36)/3,2)</f>
        <v>5.58</v>
      </c>
      <c r="S4" s="3405">
        <f>ROUND((M22+M27+M36)/3,2)</f>
        <v>7.93</v>
      </c>
      <c r="T4" s="3406">
        <f>ROUND(R4/R3,1)</f>
        <v>0.6</v>
      </c>
      <c r="U4" s="3407">
        <f>ROUND(S4/S3,1)</f>
        <v>0.7</v>
      </c>
      <c r="V4" s="3404"/>
      <c r="AA4" s="3232">
        <v>27742</v>
      </c>
      <c r="AF4" s="3232">
        <v>1.61</v>
      </c>
    </row>
    <row r="5" spans="1:40">
      <c r="A5" s="3360" t="s">
        <v>4468</v>
      </c>
      <c r="B5" s="3360" t="s">
        <v>3188</v>
      </c>
      <c r="C5" s="3340" t="s">
        <v>4686</v>
      </c>
      <c r="D5" s="3339" t="s">
        <v>3662</v>
      </c>
      <c r="E5" s="3341">
        <v>196.66</v>
      </c>
      <c r="F5" s="3310">
        <v>184.37</v>
      </c>
      <c r="G5" s="3317">
        <f>F5/E5</f>
        <v>0.93750635614766609</v>
      </c>
      <c r="H5" s="3311">
        <v>44440</v>
      </c>
      <c r="I5" s="3311">
        <v>45535</v>
      </c>
      <c r="J5" s="3312">
        <f>(I5-J1)/365</f>
        <v>1.8273972602739725</v>
      </c>
      <c r="K5" s="3313">
        <v>712878.89333333296</v>
      </c>
      <c r="L5" s="3341">
        <f t="shared" ref="L5:L17" si="2">ROUND(K5/E5/365,2)</f>
        <v>9.93</v>
      </c>
      <c r="M5" s="3310">
        <f t="shared" si="1"/>
        <v>10.59</v>
      </c>
      <c r="N5" s="3421" t="s">
        <v>4819</v>
      </c>
      <c r="O5" s="3232"/>
      <c r="P5" s="3578"/>
      <c r="Q5" s="3403" t="s">
        <v>4795</v>
      </c>
      <c r="R5" s="3403">
        <f>L18</f>
        <v>8.0399999999999991</v>
      </c>
      <c r="S5" s="3405">
        <f>M18</f>
        <v>8.82</v>
      </c>
      <c r="T5" s="3406">
        <f>ROUND(R5/R3,1)</f>
        <v>0.8</v>
      </c>
      <c r="U5" s="3407">
        <f>ROUND(S5/S3,1)</f>
        <v>0.8</v>
      </c>
      <c r="V5" s="3404"/>
      <c r="AA5" s="3232">
        <v>22024</v>
      </c>
      <c r="AB5" s="3232">
        <f>AA5/AA4</f>
        <v>0.79388652584528874</v>
      </c>
      <c r="AF5" s="3232">
        <f>(AD11*AF4+AD12*AF2+AD13*AF3)/AD14</f>
        <v>2.5152409358669985</v>
      </c>
    </row>
    <row r="6" spans="1:40">
      <c r="A6" s="3360" t="s">
        <v>4468</v>
      </c>
      <c r="B6" s="3360" t="s">
        <v>4471</v>
      </c>
      <c r="C6" s="3315" t="s">
        <v>4687</v>
      </c>
      <c r="D6" s="3314" t="s">
        <v>3662</v>
      </c>
      <c r="E6" s="3316">
        <v>193.78</v>
      </c>
      <c r="F6" s="3310">
        <v>181.67</v>
      </c>
      <c r="G6" s="3317">
        <f t="shared" si="0"/>
        <v>0.93750645061409843</v>
      </c>
      <c r="H6" s="3311">
        <v>44409</v>
      </c>
      <c r="I6" s="3311">
        <v>45504</v>
      </c>
      <c r="J6" s="3312">
        <f>(I6-J1)/365</f>
        <v>1.7424657534246575</v>
      </c>
      <c r="K6" s="3313">
        <v>702439.16</v>
      </c>
      <c r="L6" s="3316">
        <f t="shared" si="2"/>
        <v>9.93</v>
      </c>
      <c r="M6" s="3310">
        <f t="shared" si="1"/>
        <v>10.59</v>
      </c>
      <c r="N6" s="3421" t="s">
        <v>4821</v>
      </c>
      <c r="O6" s="3232"/>
      <c r="P6" s="3579"/>
      <c r="Q6" s="3403" t="s">
        <v>4708</v>
      </c>
      <c r="R6" s="3403">
        <f>L48</f>
        <v>4.3499999999999996</v>
      </c>
      <c r="S6" s="3405">
        <f>M48</f>
        <v>4.33</v>
      </c>
      <c r="T6" s="3406">
        <f>ROUND(R6/R3,1)</f>
        <v>0.4</v>
      </c>
      <c r="U6" s="3407">
        <f>ROUND(S6/S3,1)</f>
        <v>0.4</v>
      </c>
      <c r="V6" s="3404"/>
    </row>
    <row r="7" spans="1:40">
      <c r="A7" s="3314" t="s">
        <v>4688</v>
      </c>
      <c r="B7" s="3314" t="s">
        <v>4689</v>
      </c>
      <c r="C7" s="3315" t="s">
        <v>4690</v>
      </c>
      <c r="D7" s="3314" t="s">
        <v>4691</v>
      </c>
      <c r="E7" s="3316">
        <v>128.02000000000001</v>
      </c>
      <c r="F7" s="3317">
        <v>120.02</v>
      </c>
      <c r="G7" s="3317">
        <f>F7/E7</f>
        <v>0.93750976409935938</v>
      </c>
      <c r="H7" s="3318">
        <v>44363</v>
      </c>
      <c r="I7" s="3318">
        <v>45092</v>
      </c>
      <c r="J7" s="3319">
        <f>(I7-J1)/365</f>
        <v>0.61369863013698633</v>
      </c>
      <c r="K7" s="3313">
        <v>400207.08</v>
      </c>
      <c r="L7" s="3316">
        <f t="shared" si="2"/>
        <v>8.56</v>
      </c>
      <c r="M7" s="3310">
        <f t="shared" si="1"/>
        <v>9.14</v>
      </c>
      <c r="N7" s="3421" t="s">
        <v>4821</v>
      </c>
      <c r="O7" s="3232"/>
      <c r="P7" s="3404"/>
      <c r="Q7" s="3404"/>
      <c r="R7" s="3404"/>
      <c r="S7" s="3404"/>
      <c r="T7" s="3404"/>
      <c r="U7" s="3408"/>
      <c r="V7" s="3404"/>
    </row>
    <row r="8" spans="1:40">
      <c r="A8" s="3314" t="s">
        <v>4468</v>
      </c>
      <c r="B8" s="3314" t="s">
        <v>3186</v>
      </c>
      <c r="C8" s="3315" t="s">
        <v>4692</v>
      </c>
      <c r="D8" s="3314" t="s">
        <v>3662</v>
      </c>
      <c r="E8" s="3316">
        <v>204.64</v>
      </c>
      <c r="F8" s="3310">
        <v>191.85</v>
      </c>
      <c r="G8" s="3317">
        <f>F8/E8</f>
        <v>0.9375</v>
      </c>
      <c r="H8" s="3311">
        <v>44352</v>
      </c>
      <c r="I8" s="3311">
        <v>45081</v>
      </c>
      <c r="J8" s="3319">
        <f>(I8-J1)/365</f>
        <v>0.58356164383561648</v>
      </c>
      <c r="K8" s="3313">
        <v>639566.87</v>
      </c>
      <c r="L8" s="3316">
        <f t="shared" si="2"/>
        <v>8.56</v>
      </c>
      <c r="M8" s="3310">
        <f t="shared" si="1"/>
        <v>9.1300000000000008</v>
      </c>
      <c r="N8" s="3421" t="s">
        <v>4821</v>
      </c>
      <c r="O8" s="3232"/>
      <c r="P8" s="3409" t="s">
        <v>5670</v>
      </c>
      <c r="Q8" s="3403" t="s">
        <v>4707</v>
      </c>
      <c r="R8" s="3403" t="s">
        <v>4702</v>
      </c>
      <c r="S8" s="3403" t="str">
        <f>P20</f>
        <v>负1层</v>
      </c>
      <c r="T8" s="3409" t="s">
        <v>4801</v>
      </c>
      <c r="U8" s="3410" t="s">
        <v>4803</v>
      </c>
      <c r="V8" s="3404"/>
      <c r="X8" s="3232" t="s">
        <v>5678</v>
      </c>
      <c r="Y8" s="3232">
        <f ca="1">商业标准户型修正!K58</f>
        <v>55823</v>
      </c>
    </row>
    <row r="9" spans="1:40">
      <c r="A9" s="3314" t="s">
        <v>4468</v>
      </c>
      <c r="B9" s="3314" t="s">
        <v>3194</v>
      </c>
      <c r="C9" s="3315" t="s">
        <v>4693</v>
      </c>
      <c r="D9" s="3314" t="s">
        <v>3662</v>
      </c>
      <c r="E9" s="3316">
        <v>113.83</v>
      </c>
      <c r="F9" s="3310">
        <v>74.239999999999995</v>
      </c>
      <c r="G9" s="3320">
        <f t="shared" si="0"/>
        <v>0.65220065009224282</v>
      </c>
      <c r="H9" s="3311">
        <v>44287</v>
      </c>
      <c r="I9" s="3311">
        <v>45046</v>
      </c>
      <c r="J9" s="3319">
        <f>(I9-J1)/365</f>
        <v>0.48767123287671232</v>
      </c>
      <c r="K9" s="3313">
        <v>215391.18269230801</v>
      </c>
      <c r="L9" s="3316">
        <f t="shared" si="2"/>
        <v>5.18</v>
      </c>
      <c r="M9" s="3310">
        <f t="shared" si="1"/>
        <v>7.95</v>
      </c>
      <c r="N9" s="3421" t="s">
        <v>4821</v>
      </c>
      <c r="O9" s="3232"/>
      <c r="P9" s="3403">
        <v>1</v>
      </c>
      <c r="Q9" s="3403">
        <v>11.11</v>
      </c>
      <c r="R9" s="3403">
        <v>7.23</v>
      </c>
      <c r="S9" s="3403">
        <v>3.64</v>
      </c>
      <c r="T9" s="3403" t="s">
        <v>4802</v>
      </c>
      <c r="U9" s="3411" t="s">
        <v>4804</v>
      </c>
      <c r="V9" s="3404"/>
      <c r="X9" s="3232" t="s">
        <v>5679</v>
      </c>
      <c r="Y9" s="3232">
        <v>16160</v>
      </c>
      <c r="AB9" s="3232" t="s">
        <v>4825</v>
      </c>
      <c r="AC9" s="3365" t="s">
        <v>4826</v>
      </c>
      <c r="AD9" s="3369" t="s">
        <v>4835</v>
      </c>
      <c r="AE9"/>
      <c r="AF9" s="1359"/>
      <c r="AG9" s="1359"/>
      <c r="AH9" s="1359"/>
      <c r="AI9" s="1359"/>
      <c r="AJ9" s="1359"/>
      <c r="AK9" s="1359"/>
      <c r="AL9" s="1359"/>
      <c r="AM9" s="1359"/>
      <c r="AN9" s="1359"/>
    </row>
    <row r="10" spans="1:40">
      <c r="A10" s="3314" t="s">
        <v>4468</v>
      </c>
      <c r="B10" s="3314" t="s">
        <v>3196</v>
      </c>
      <c r="C10" s="3315" t="s">
        <v>4694</v>
      </c>
      <c r="D10" s="3314" t="s">
        <v>3662</v>
      </c>
      <c r="E10" s="3316">
        <v>147.19999999999999</v>
      </c>
      <c r="F10" s="3310">
        <v>138</v>
      </c>
      <c r="G10" s="3317">
        <f t="shared" si="0"/>
        <v>0.93750000000000011</v>
      </c>
      <c r="H10" s="3311">
        <v>44317</v>
      </c>
      <c r="I10" s="3311">
        <v>45046</v>
      </c>
      <c r="J10" s="3319">
        <f>(I10-J1)/365</f>
        <v>0.48767123287671232</v>
      </c>
      <c r="K10" s="3313">
        <v>490100.12</v>
      </c>
      <c r="L10" s="3316">
        <f t="shared" si="2"/>
        <v>9.1199999999999992</v>
      </c>
      <c r="M10" s="3310">
        <f t="shared" si="1"/>
        <v>9.73</v>
      </c>
      <c r="N10" s="3421" t="s">
        <v>4821</v>
      </c>
      <c r="O10" s="3232"/>
      <c r="P10" s="3403">
        <v>2</v>
      </c>
      <c r="Q10" s="3403">
        <v>11.25</v>
      </c>
      <c r="R10" s="3403">
        <v>7.3</v>
      </c>
      <c r="S10" s="3403">
        <v>3.27</v>
      </c>
      <c r="T10" s="3403" t="s">
        <v>4805</v>
      </c>
      <c r="U10" s="3412" t="s">
        <v>4806</v>
      </c>
      <c r="V10" s="3404">
        <f>11/11.5</f>
        <v>0.95652173913043481</v>
      </c>
      <c r="Y10" s="3232">
        <f ca="1">Y8+Y9</f>
        <v>71983</v>
      </c>
      <c r="AC10" s="3366"/>
      <c r="AD10" s="3366" t="s">
        <v>4827</v>
      </c>
      <c r="AE10" s="3366" t="s">
        <v>4828</v>
      </c>
      <c r="AF10" s="1359"/>
      <c r="AG10" s="3230" t="s">
        <v>4829</v>
      </c>
      <c r="AH10" s="1359"/>
      <c r="AI10" s="1359"/>
      <c r="AJ10" s="3230" t="s">
        <v>1079</v>
      </c>
      <c r="AK10" s="1359"/>
      <c r="AL10" s="1359"/>
      <c r="AM10" s="1359"/>
      <c r="AN10" s="1359"/>
    </row>
    <row r="11" spans="1:40">
      <c r="A11" s="3314" t="s">
        <v>4468</v>
      </c>
      <c r="B11" s="3314" t="s">
        <v>3197</v>
      </c>
      <c r="C11" s="3315" t="s">
        <v>4695</v>
      </c>
      <c r="D11" s="3314" t="s">
        <v>3662</v>
      </c>
      <c r="E11" s="3316">
        <v>165.28</v>
      </c>
      <c r="F11" s="3310">
        <v>154.94999999999999</v>
      </c>
      <c r="G11" s="3317">
        <f t="shared" si="0"/>
        <v>0.93749999999999989</v>
      </c>
      <c r="H11" s="3311">
        <v>44193</v>
      </c>
      <c r="I11" s="3311">
        <v>45318</v>
      </c>
      <c r="J11" s="3312">
        <f>(I11-J1)/365</f>
        <v>1.2328767123287672</v>
      </c>
      <c r="K11" s="3313">
        <v>535024.40584415605</v>
      </c>
      <c r="L11" s="3316">
        <f t="shared" si="2"/>
        <v>8.8699999999999992</v>
      </c>
      <c r="M11" s="3310">
        <f t="shared" si="1"/>
        <v>9.4600000000000009</v>
      </c>
      <c r="N11" s="3421" t="s">
        <v>4821</v>
      </c>
      <c r="O11" s="3232"/>
      <c r="P11" s="3403">
        <v>3</v>
      </c>
      <c r="Q11" s="3403">
        <v>11.67</v>
      </c>
      <c r="R11" s="3403">
        <v>7.02</v>
      </c>
      <c r="S11" s="3403">
        <v>3.16</v>
      </c>
      <c r="T11" s="3403" t="s">
        <v>4702</v>
      </c>
      <c r="U11" s="3411" t="s">
        <v>4807</v>
      </c>
      <c r="V11" s="3404"/>
      <c r="AC11" s="3366" t="s">
        <v>4830</v>
      </c>
      <c r="AD11" s="3366">
        <v>14096.86</v>
      </c>
      <c r="AE11" s="3366">
        <f>AD11</f>
        <v>14096.86</v>
      </c>
      <c r="AF11" s="1359"/>
      <c r="AG11"/>
      <c r="AH11" s="1359"/>
      <c r="AI11" s="1359"/>
      <c r="AJ11">
        <v>3.2</v>
      </c>
      <c r="AK11" s="1359"/>
      <c r="AL11" s="1359"/>
      <c r="AM11" s="1359">
        <v>20000</v>
      </c>
      <c r="AN11" s="1359"/>
    </row>
    <row r="12" spans="1:40">
      <c r="A12" s="3314" t="s">
        <v>4468</v>
      </c>
      <c r="B12" s="3314" t="s">
        <v>3198</v>
      </c>
      <c r="C12" s="3315" t="s">
        <v>4696</v>
      </c>
      <c r="D12" s="3314" t="s">
        <v>3662</v>
      </c>
      <c r="E12" s="3316">
        <v>169.42</v>
      </c>
      <c r="F12" s="3310">
        <v>158.83000000000001</v>
      </c>
      <c r="G12" s="3317">
        <f t="shared" si="0"/>
        <v>0.93749262188643623</v>
      </c>
      <c r="H12" s="3311">
        <v>44256</v>
      </c>
      <c r="I12" s="3311">
        <v>45382</v>
      </c>
      <c r="J12" s="3312">
        <f>(I12-J1)/365</f>
        <v>1.4082191780821918</v>
      </c>
      <c r="K12" s="3313">
        <v>546758.95779220795</v>
      </c>
      <c r="L12" s="3316">
        <f t="shared" si="2"/>
        <v>8.84</v>
      </c>
      <c r="M12" s="3310">
        <f t="shared" si="1"/>
        <v>9.43</v>
      </c>
      <c r="N12" s="3421" t="s">
        <v>4821</v>
      </c>
      <c r="O12" s="3232"/>
      <c r="P12" s="3403" t="s">
        <v>4772</v>
      </c>
      <c r="Q12" s="3403">
        <f>ROUND((Q9+Q10+Q11)/3,2)</f>
        <v>11.34</v>
      </c>
      <c r="R12" s="3403">
        <f t="shared" ref="R12:S12" si="3">ROUND((R9+R10+R11)/3,2)</f>
        <v>7.18</v>
      </c>
      <c r="S12" s="3403">
        <f t="shared" si="3"/>
        <v>3.36</v>
      </c>
      <c r="T12" s="3403" t="str">
        <f>Q6</f>
        <v>负1层</v>
      </c>
      <c r="U12" s="3411" t="s">
        <v>4808</v>
      </c>
      <c r="V12" s="3404"/>
      <c r="AC12" s="3366" t="s">
        <v>4831</v>
      </c>
      <c r="AD12" s="3366">
        <v>10095.82</v>
      </c>
      <c r="AE12" s="3366">
        <f>AD12-107.54</f>
        <v>9988.2799999999988</v>
      </c>
      <c r="AF12" s="1359"/>
      <c r="AG12">
        <f>AD14-AE14</f>
        <v>155.31999999999971</v>
      </c>
      <c r="AH12" s="1359"/>
      <c r="AI12" s="1359"/>
      <c r="AJ12">
        <v>8.5</v>
      </c>
      <c r="AK12" s="1359"/>
      <c r="AL12" s="1359"/>
      <c r="AM12" s="1359">
        <v>50000</v>
      </c>
      <c r="AN12" s="1359"/>
    </row>
    <row r="13" spans="1:40">
      <c r="A13" s="3314" t="s">
        <v>4468</v>
      </c>
      <c r="B13" s="3314" t="s">
        <v>3199</v>
      </c>
      <c r="C13" s="3315" t="s">
        <v>4697</v>
      </c>
      <c r="D13" s="3314" t="s">
        <v>3662</v>
      </c>
      <c r="E13" s="3316">
        <v>147.99</v>
      </c>
      <c r="F13" s="3310">
        <v>138.74</v>
      </c>
      <c r="G13" s="3317">
        <f t="shared" si="0"/>
        <v>0.93749577674167173</v>
      </c>
      <c r="H13" s="3311">
        <v>44287</v>
      </c>
      <c r="I13" s="3311">
        <v>45046</v>
      </c>
      <c r="J13" s="3319">
        <f>(I13-J1)/365</f>
        <v>0.48767123287671232</v>
      </c>
      <c r="K13" s="3313">
        <v>454482.73076923098</v>
      </c>
      <c r="L13" s="3316">
        <f t="shared" si="2"/>
        <v>8.41</v>
      </c>
      <c r="M13" s="3310">
        <f t="shared" si="1"/>
        <v>8.9700000000000006</v>
      </c>
      <c r="N13" s="3421" t="s">
        <v>4821</v>
      </c>
      <c r="O13" s="3232"/>
      <c r="P13" s="3404"/>
      <c r="Q13" s="3404"/>
      <c r="R13" s="3404"/>
      <c r="S13" s="3404"/>
      <c r="T13" s="3404"/>
      <c r="U13" s="3408"/>
      <c r="V13" s="3404"/>
      <c r="AC13" s="3366" t="s">
        <v>4832</v>
      </c>
      <c r="AD13" s="3366">
        <v>10266.49</v>
      </c>
      <c r="AE13" s="3366">
        <f>AD13-47.78</f>
        <v>10218.709999999999</v>
      </c>
      <c r="AF13" s="1359"/>
      <c r="AG13" s="1359"/>
      <c r="AH13" s="1359"/>
      <c r="AI13" s="1359"/>
      <c r="AJ13">
        <v>6.8</v>
      </c>
      <c r="AK13" s="1359"/>
      <c r="AL13" s="1359"/>
      <c r="AM13" s="1359">
        <v>40000</v>
      </c>
      <c r="AN13" s="1359"/>
    </row>
    <row r="14" spans="1:40" ht="25.5">
      <c r="A14" s="3314" t="s">
        <v>4468</v>
      </c>
      <c r="B14" s="3314" t="s">
        <v>3204</v>
      </c>
      <c r="C14" s="3315" t="s">
        <v>4698</v>
      </c>
      <c r="D14" s="3314" t="s">
        <v>3662</v>
      </c>
      <c r="E14" s="3316">
        <v>148.62</v>
      </c>
      <c r="F14" s="3310">
        <v>139.33000000000001</v>
      </c>
      <c r="G14" s="3317">
        <f t="shared" si="0"/>
        <v>0.93749158928811738</v>
      </c>
      <c r="H14" s="3311">
        <v>44301</v>
      </c>
      <c r="I14" s="3311">
        <v>46126</v>
      </c>
      <c r="J14" s="3312">
        <f>(I14-J1)/365</f>
        <v>3.4465753424657533</v>
      </c>
      <c r="K14" s="3313">
        <v>518331.45199999999</v>
      </c>
      <c r="L14" s="3316">
        <f t="shared" si="2"/>
        <v>9.56</v>
      </c>
      <c r="M14" s="3310">
        <f t="shared" si="1"/>
        <v>10.19</v>
      </c>
      <c r="N14" s="3421" t="s">
        <v>4821</v>
      </c>
      <c r="O14" s="3232"/>
      <c r="P14" s="3409" t="s">
        <v>4791</v>
      </c>
      <c r="Q14" s="3406" t="s">
        <v>4792</v>
      </c>
      <c r="R14" s="3406" t="s">
        <v>4774</v>
      </c>
      <c r="S14" s="3406" t="s">
        <v>4823</v>
      </c>
      <c r="T14" s="3406" t="s">
        <v>4775</v>
      </c>
      <c r="U14" s="3406" t="s">
        <v>4776</v>
      </c>
      <c r="V14" s="3413" t="s">
        <v>4720</v>
      </c>
      <c r="W14" s="3343" t="s">
        <v>4777</v>
      </c>
      <c r="AC14" s="3367" t="s">
        <v>4833</v>
      </c>
      <c r="AD14" s="3368">
        <f>AD11+AD12+AD13</f>
        <v>34459.17</v>
      </c>
      <c r="AE14" s="3368">
        <f>AE11+AE12+AE13</f>
        <v>34303.85</v>
      </c>
      <c r="AF14" s="1359"/>
      <c r="AG14" s="1359"/>
      <c r="AH14" s="1359"/>
      <c r="AI14" s="1359"/>
      <c r="AJ14">
        <f>ROUND((AE11*AJ11+AE12*AJ12+AE13*AJ13)/AE14,1)</f>
        <v>5.8</v>
      </c>
      <c r="AK14" s="1359">
        <f>(AJ11*AD11+AJ12*AD12+AJ13*AD13)/AD14</f>
        <v>5.8253450097608273</v>
      </c>
      <c r="AL14" s="1359"/>
      <c r="AM14" s="1359">
        <f>(AM11*AD11+AM12*AD12+AM13*AD13)/AD14</f>
        <v>34748.016275493581</v>
      </c>
      <c r="AN14" s="1359"/>
    </row>
    <row r="15" spans="1:40">
      <c r="A15" s="3314" t="s">
        <v>4468</v>
      </c>
      <c r="B15" s="3314" t="s">
        <v>4470</v>
      </c>
      <c r="C15" s="3315" t="s">
        <v>4699</v>
      </c>
      <c r="D15" s="3314" t="s">
        <v>3662</v>
      </c>
      <c r="E15" s="3316">
        <v>188.2</v>
      </c>
      <c r="F15" s="3310">
        <v>0</v>
      </c>
      <c r="G15" s="3317">
        <f>F15/E15</f>
        <v>0</v>
      </c>
      <c r="H15" s="3314" t="s">
        <v>4700</v>
      </c>
      <c r="I15" s="3314" t="s">
        <v>4700</v>
      </c>
      <c r="J15" s="3319" t="s">
        <v>4700</v>
      </c>
      <c r="K15" s="3313" t="s">
        <v>4701</v>
      </c>
      <c r="L15" s="3316">
        <f t="shared" si="2"/>
        <v>0</v>
      </c>
      <c r="M15" s="3310">
        <v>0</v>
      </c>
      <c r="N15" s="3421" t="s">
        <v>4821</v>
      </c>
      <c r="O15" s="3232"/>
      <c r="P15" s="3529" t="s">
        <v>4707</v>
      </c>
      <c r="Q15" s="3529">
        <f>'比较法-商业'!C49</f>
        <v>11.66</v>
      </c>
      <c r="R15" s="3531">
        <f>T3</f>
        <v>1</v>
      </c>
      <c r="S15" s="3406" t="s">
        <v>4819</v>
      </c>
      <c r="T15" s="3414">
        <f ca="1">'结果表-商业'!G20</f>
        <v>58749</v>
      </c>
      <c r="U15" s="3415">
        <f>E20+E22+E29+E32+E34+E41+E43+E47</f>
        <v>680.09</v>
      </c>
      <c r="V15" s="3416">
        <f ca="1">ROUND(T15*U15/10000,4)</f>
        <v>3995.4607000000001</v>
      </c>
      <c r="W15" s="3533">
        <f ca="1">ROUND(V21/U21*10000,0)</f>
        <v>37876</v>
      </c>
      <c r="X15" s="3356">
        <f>SUM(U15:U19)</f>
        <v>10064.210000000001</v>
      </c>
      <c r="AC15" s="1359"/>
      <c r="AD15" s="1359"/>
      <c r="AE15" s="1359"/>
      <c r="AF15" s="1359"/>
      <c r="AG15" s="1359"/>
      <c r="AH15" s="1359"/>
      <c r="AI15" s="1359"/>
      <c r="AJ15" s="1359"/>
      <c r="AK15" s="1359"/>
      <c r="AL15" s="1359"/>
      <c r="AM15" s="1359"/>
      <c r="AN15" s="1359"/>
    </row>
    <row r="16" spans="1:40">
      <c r="A16" s="3360" t="s">
        <v>4468</v>
      </c>
      <c r="B16" s="3360" t="s">
        <v>3206</v>
      </c>
      <c r="C16" s="3315" t="s">
        <v>4797</v>
      </c>
      <c r="D16" s="3314" t="s">
        <v>3662</v>
      </c>
      <c r="E16" s="3316">
        <v>154.85</v>
      </c>
      <c r="F16" s="3540">
        <f>'租赁台账-今典底稿'!H85+'租赁台账-今典底稿'!H86+'租赁台账-今典底稿'!H87+'租赁台账-今典底稿'!H88</f>
        <v>376</v>
      </c>
      <c r="G16" s="3569">
        <f>F16/(E16+E17)</f>
        <v>0.35196435424837824</v>
      </c>
      <c r="H16" s="3311">
        <v>44440</v>
      </c>
      <c r="I16" s="3311">
        <v>45169</v>
      </c>
      <c r="J16" s="3319">
        <f>(I16-J1)/365</f>
        <v>0.8246575342465754</v>
      </c>
      <c r="K16" s="3313">
        <v>310087.58</v>
      </c>
      <c r="L16" s="3316">
        <f t="shared" si="2"/>
        <v>5.49</v>
      </c>
      <c r="M16" s="3310">
        <f>ROUND(K16/'租赁台账-今典底稿'!H85/365,2)</f>
        <v>4.1900000000000004</v>
      </c>
      <c r="N16" s="3421" t="s">
        <v>4820</v>
      </c>
      <c r="O16" s="3232"/>
      <c r="P16" s="3530"/>
      <c r="Q16" s="3530"/>
      <c r="R16" s="3532"/>
      <c r="S16" s="3406" t="s">
        <v>4824</v>
      </c>
      <c r="T16" s="3414">
        <f ca="1">ROUND(T15*商业标准户型修正!O21,0)</f>
        <v>57574</v>
      </c>
      <c r="U16" s="3415">
        <f>E21+E25+E26+E30+E31+E33+E35+E39+E42+E44+E45+E46+SUM(E49:E63)</f>
        <v>2201.87</v>
      </c>
      <c r="V16" s="3416">
        <f t="shared" ref="V16:V20" ca="1" si="4">ROUND(T16*U16/10000,4)</f>
        <v>12677.0463</v>
      </c>
      <c r="W16" s="3534"/>
      <c r="X16" s="3356">
        <f ca="1">SUM(V15:V19)</f>
        <v>44953.0213</v>
      </c>
      <c r="AC16" s="1359"/>
      <c r="AD16" s="1359"/>
      <c r="AE16" s="1359"/>
      <c r="AF16" s="1359"/>
      <c r="AG16" s="1359"/>
      <c r="AH16" s="1359"/>
      <c r="AI16" s="1359"/>
      <c r="AJ16" s="1359"/>
      <c r="AK16" s="1359"/>
      <c r="AL16" s="1359"/>
      <c r="AM16" s="1359"/>
      <c r="AN16" s="1359"/>
    </row>
    <row r="17" spans="1:40">
      <c r="A17" s="3314" t="s">
        <v>4468</v>
      </c>
      <c r="B17" s="3314" t="s">
        <v>3206</v>
      </c>
      <c r="C17" s="3315"/>
      <c r="D17" s="3314" t="s">
        <v>3663</v>
      </c>
      <c r="E17" s="3316">
        <v>913.44</v>
      </c>
      <c r="F17" s="3541"/>
      <c r="G17" s="3570"/>
      <c r="H17" s="3311">
        <v>44470</v>
      </c>
      <c r="I17" s="3311">
        <v>45199</v>
      </c>
      <c r="J17" s="3319">
        <f>(I17-J1)/365</f>
        <v>0.9068493150684932</v>
      </c>
      <c r="K17" s="3313">
        <f>'租赁台账-今典底稿'!K86+'租赁台账-今典底稿'!K87+'租赁台账-今典底稿'!K88</f>
        <v>264261.83999999997</v>
      </c>
      <c r="L17" s="3316">
        <f t="shared" si="2"/>
        <v>0.79</v>
      </c>
      <c r="M17" s="3310">
        <f>K17/('租赁台账-今典底稿'!H86+'租赁台账-今典底稿'!H87+'租赁台账-今典底稿'!H88)/365</f>
        <v>4.1850002375484987</v>
      </c>
      <c r="N17" s="3421" t="s">
        <v>4822</v>
      </c>
      <c r="O17" s="3232"/>
      <c r="P17" s="3406" t="str">
        <f>Q4</f>
        <v>2#1-2层</v>
      </c>
      <c r="Q17" s="3406">
        <f>R4</f>
        <v>5.58</v>
      </c>
      <c r="R17" s="3417">
        <f>T4</f>
        <v>0.6</v>
      </c>
      <c r="S17" s="3406" t="s">
        <v>4819</v>
      </c>
      <c r="T17" s="3406">
        <f ca="1">ROUND(T15*R17,0)</f>
        <v>35249</v>
      </c>
      <c r="U17" s="3415">
        <f>E23+E27+E36</f>
        <v>4546.8099999999995</v>
      </c>
      <c r="V17" s="3416">
        <f t="shared" ca="1" si="4"/>
        <v>16027.0506</v>
      </c>
      <c r="W17" s="3534"/>
      <c r="X17" s="3356">
        <f ca="1">X16/X15</f>
        <v>4.4666219504561209</v>
      </c>
      <c r="AC17" s="1359"/>
      <c r="AD17" s="1359"/>
      <c r="AE17" s="1359"/>
      <c r="AF17" s="1359"/>
      <c r="AG17" s="1359"/>
      <c r="AH17" s="1359"/>
      <c r="AI17"/>
      <c r="AJ17"/>
      <c r="AK17" s="3230" t="s">
        <v>4834</v>
      </c>
      <c r="AL17" s="1359"/>
      <c r="AM17" s="1359"/>
      <c r="AN17" s="1359"/>
    </row>
    <row r="18" spans="1:40">
      <c r="A18" s="3321" t="s">
        <v>4778</v>
      </c>
      <c r="B18" s="3321"/>
      <c r="C18" s="3321"/>
      <c r="D18" s="3321"/>
      <c r="E18" s="3322">
        <f>SUM(E3:E17)</f>
        <v>3548.88</v>
      </c>
      <c r="F18" s="3322">
        <f>SUM(F3:F17)</f>
        <v>2218.5099999999998</v>
      </c>
      <c r="G18" s="3323">
        <f t="shared" si="0"/>
        <v>0.62512961835846792</v>
      </c>
      <c r="H18" s="3321"/>
      <c r="I18" s="3321"/>
      <c r="J18" s="3321"/>
      <c r="K18" s="3321"/>
      <c r="L18" s="3321">
        <f>ROUND((L3+L5+L6+L7+L8+L9+L10+L11+L12+L13+L14+L16)/12,2)</f>
        <v>8.0399999999999991</v>
      </c>
      <c r="M18" s="3321">
        <f>ROUND(SUM(M3:M16)/13,2)</f>
        <v>8.82</v>
      </c>
      <c r="O18" s="3232"/>
      <c r="P18" s="3529" t="str">
        <f>Q5</f>
        <v>3#1-2层</v>
      </c>
      <c r="Q18" s="3529">
        <f>R12</f>
        <v>7.18</v>
      </c>
      <c r="R18" s="3536">
        <f>T5</f>
        <v>0.8</v>
      </c>
      <c r="S18" s="3406" t="s">
        <v>4819</v>
      </c>
      <c r="T18" s="3406">
        <f ca="1">ROUND(T15*R18,0)</f>
        <v>46999</v>
      </c>
      <c r="U18" s="3415">
        <f>E3+E5+E6+E16</f>
        <v>1222.24</v>
      </c>
      <c r="V18" s="3416">
        <f t="shared" ca="1" si="4"/>
        <v>5744.4058000000005</v>
      </c>
      <c r="W18" s="3534"/>
      <c r="Z18" s="3232" t="s">
        <v>4836</v>
      </c>
      <c r="AC18" s="1359"/>
      <c r="AD18" s="1359"/>
      <c r="AE18" s="1359"/>
      <c r="AF18" s="1359"/>
      <c r="AG18" s="1359"/>
      <c r="AH18" s="1359"/>
      <c r="AI18">
        <f>130000/AD14</f>
        <v>3.7725807092858012</v>
      </c>
      <c r="AJ18"/>
      <c r="AK18">
        <f>AI18/0.8</f>
        <v>4.7157258866072516</v>
      </c>
      <c r="AL18" s="1359"/>
      <c r="AM18" s="1359"/>
      <c r="AN18" s="1359"/>
    </row>
    <row r="19" spans="1:40" ht="24">
      <c r="A19" s="3308" t="s">
        <v>4674</v>
      </c>
      <c r="B19" s="3308" t="s">
        <v>4675</v>
      </c>
      <c r="C19" s="3309" t="s">
        <v>4676</v>
      </c>
      <c r="D19" s="3308" t="s">
        <v>4445</v>
      </c>
      <c r="E19" s="3308" t="s">
        <v>4677</v>
      </c>
      <c r="F19" s="3309" t="s">
        <v>4678</v>
      </c>
      <c r="G19" s="3309" t="s">
        <v>4679</v>
      </c>
      <c r="H19" s="3571" t="s">
        <v>4680</v>
      </c>
      <c r="I19" s="3571"/>
      <c r="J19" s="3308" t="s">
        <v>4681</v>
      </c>
      <c r="K19" s="3308" t="s">
        <v>4682</v>
      </c>
      <c r="L19" s="3308" t="s">
        <v>4683</v>
      </c>
      <c r="M19" s="3309" t="s">
        <v>4684</v>
      </c>
      <c r="O19" s="3232"/>
      <c r="P19" s="3530"/>
      <c r="Q19" s="3530"/>
      <c r="R19" s="3537"/>
      <c r="S19" s="3406" t="s">
        <v>4824</v>
      </c>
      <c r="T19" s="3406">
        <f ca="1">ROUND(T18*商业标准户型修正!O21,0)</f>
        <v>46059</v>
      </c>
      <c r="U19" s="3415">
        <f>SUM(E7:E15)</f>
        <v>1413.2</v>
      </c>
      <c r="V19" s="3416">
        <f t="shared" ca="1" si="4"/>
        <v>6509.0578999999998</v>
      </c>
      <c r="W19" s="3534"/>
      <c r="AC19" s="1359"/>
      <c r="AD19" s="1359"/>
      <c r="AE19" s="1359"/>
      <c r="AF19" s="1359"/>
      <c r="AG19" s="1359"/>
      <c r="AH19" s="1359"/>
      <c r="AI19" s="1359"/>
      <c r="AJ19" s="1359"/>
      <c r="AK19" s="1359"/>
      <c r="AL19" s="1359"/>
      <c r="AM19" s="1359"/>
      <c r="AN19" s="1359"/>
    </row>
    <row r="20" spans="1:40">
      <c r="A20" s="3360" t="s">
        <v>4464</v>
      </c>
      <c r="B20" s="3360" t="s">
        <v>3621</v>
      </c>
      <c r="C20" s="3361">
        <v>1</v>
      </c>
      <c r="D20" s="3316" t="s">
        <v>3661</v>
      </c>
      <c r="E20" s="3316">
        <v>59.26</v>
      </c>
      <c r="F20" s="3538">
        <v>107.72</v>
      </c>
      <c r="G20" s="3538">
        <f>F20/(E21+E20)</f>
        <v>0.92487335794625225</v>
      </c>
      <c r="H20" s="3542">
        <v>44477</v>
      </c>
      <c r="I20" s="3542">
        <v>45572</v>
      </c>
      <c r="J20" s="3544">
        <f>(I20-$J1)/365</f>
        <v>1.9287671232876713</v>
      </c>
      <c r="K20" s="3562">
        <f>'租赁台账-今典底稿'!K4</f>
        <v>492127.8</v>
      </c>
      <c r="L20" s="3560">
        <f>ROUND(K20/(E20+E21)/365,2)</f>
        <v>11.58</v>
      </c>
      <c r="M20" s="3556">
        <f>ROUND(K20/F20/365,2)</f>
        <v>12.52</v>
      </c>
      <c r="N20" s="3421" t="s">
        <v>4819</v>
      </c>
      <c r="O20" s="3232"/>
      <c r="P20" s="3406" t="str">
        <f>Q6</f>
        <v>负1层</v>
      </c>
      <c r="Q20" s="3406">
        <f>S12</f>
        <v>3.36</v>
      </c>
      <c r="R20" s="3417">
        <f>T6</f>
        <v>0.4</v>
      </c>
      <c r="S20" s="3406"/>
      <c r="T20" s="3406">
        <f ca="1">ROUND(T15*R20,0)</f>
        <v>23500</v>
      </c>
      <c r="U20" s="3415">
        <f>E48+E17</f>
        <v>4753.8899999999994</v>
      </c>
      <c r="V20" s="3416">
        <f t="shared" ca="1" si="4"/>
        <v>11171.6415</v>
      </c>
      <c r="W20" s="3534"/>
    </row>
    <row r="21" spans="1:40">
      <c r="A21" s="3314" t="s">
        <v>4464</v>
      </c>
      <c r="B21" s="3314" t="s">
        <v>3629</v>
      </c>
      <c r="C21" s="3324">
        <v>2</v>
      </c>
      <c r="D21" s="3316" t="s">
        <v>3661</v>
      </c>
      <c r="E21" s="3316">
        <v>57.21</v>
      </c>
      <c r="F21" s="3539"/>
      <c r="G21" s="3539"/>
      <c r="H21" s="3543"/>
      <c r="I21" s="3543"/>
      <c r="J21" s="3545"/>
      <c r="K21" s="3563"/>
      <c r="L21" s="3561"/>
      <c r="M21" s="3557"/>
      <c r="N21" s="3421" t="s">
        <v>4821</v>
      </c>
      <c r="O21" s="3232"/>
      <c r="P21" s="3406"/>
      <c r="Q21" s="3406"/>
      <c r="R21" s="3414"/>
      <c r="S21" s="3406"/>
      <c r="T21" s="3406"/>
      <c r="U21" s="3418">
        <f>SUM(U15:U20)</f>
        <v>14818.1</v>
      </c>
      <c r="V21" s="3416">
        <f ca="1">SUM(V15:V20)</f>
        <v>56124.662799999998</v>
      </c>
      <c r="W21" s="3535"/>
      <c r="X21" s="3232">
        <v>35617</v>
      </c>
    </row>
    <row r="22" spans="1:40">
      <c r="A22" s="3360" t="s">
        <v>4464</v>
      </c>
      <c r="B22" s="3360" t="s">
        <v>3639</v>
      </c>
      <c r="C22" s="3361">
        <v>3</v>
      </c>
      <c r="D22" s="3316" t="s">
        <v>3661</v>
      </c>
      <c r="E22" s="3316">
        <v>51.67</v>
      </c>
      <c r="F22" s="3538">
        <f>'租赁台账-今典底稿'!H5</f>
        <v>995.27</v>
      </c>
      <c r="G22" s="3538">
        <f>(F22+F24)/(E22+E23)</f>
        <v>0.92595643068750633</v>
      </c>
      <c r="H22" s="3542">
        <v>44166</v>
      </c>
      <c r="I22" s="3542">
        <v>44957</v>
      </c>
      <c r="J22" s="3546">
        <f>(I22-J1)/365</f>
        <v>0.24383561643835616</v>
      </c>
      <c r="K22" s="3562">
        <f>'租赁台账-今典底稿'!K5</f>
        <v>2249801.4248926998</v>
      </c>
      <c r="L22" s="3560">
        <f>ROUND((K24+K22)/(E23+E22)/365,2)</f>
        <v>5.8</v>
      </c>
      <c r="M22" s="3556">
        <f>ROUND(K22/F22/365,2)</f>
        <v>6.19</v>
      </c>
      <c r="N22" s="3421" t="s">
        <v>4819</v>
      </c>
      <c r="O22" s="3232"/>
      <c r="P22" s="3404"/>
      <c r="Q22" s="3404"/>
      <c r="R22" s="3404"/>
      <c r="S22" s="3404"/>
      <c r="T22" s="3419"/>
      <c r="U22" s="3408"/>
      <c r="V22" s="3404"/>
      <c r="X22" s="3232">
        <f ca="1">W15-X21</f>
        <v>2259</v>
      </c>
    </row>
    <row r="23" spans="1:40">
      <c r="A23" s="3558" t="s">
        <v>4464</v>
      </c>
      <c r="B23" s="3558" t="s">
        <v>3644</v>
      </c>
      <c r="C23" s="3324">
        <v>5</v>
      </c>
      <c r="D23" s="3351" t="s">
        <v>3662</v>
      </c>
      <c r="E23" s="3550">
        <v>1514.57</v>
      </c>
      <c r="F23" s="3539"/>
      <c r="G23" s="3568"/>
      <c r="H23" s="3543"/>
      <c r="I23" s="3543"/>
      <c r="J23" s="3547"/>
      <c r="K23" s="3563"/>
      <c r="L23" s="3580"/>
      <c r="M23" s="3557"/>
      <c r="N23" s="3421" t="s">
        <v>4819</v>
      </c>
      <c r="O23" s="3232"/>
      <c r="P23" s="3420" t="s">
        <v>4784</v>
      </c>
      <c r="Q23" s="3420" t="s">
        <v>4785</v>
      </c>
      <c r="R23" s="3420" t="s">
        <v>4786</v>
      </c>
      <c r="S23" s="3421"/>
      <c r="T23" s="3421"/>
      <c r="U23" s="3422"/>
      <c r="V23" s="3421"/>
    </row>
    <row r="24" spans="1:40">
      <c r="A24" s="3559"/>
      <c r="B24" s="3559"/>
      <c r="C24" s="3324">
        <v>5</v>
      </c>
      <c r="D24" s="3351" t="s">
        <v>3662</v>
      </c>
      <c r="E24" s="3552"/>
      <c r="F24" s="3310">
        <f>'租赁台账-今典底稿'!H6</f>
        <v>455</v>
      </c>
      <c r="G24" s="3539"/>
      <c r="H24" s="3311">
        <v>44166</v>
      </c>
      <c r="I24" s="3311">
        <v>44957</v>
      </c>
      <c r="J24" s="3325">
        <f>(I24-J1)/365</f>
        <v>0.24383561643835616</v>
      </c>
      <c r="K24" s="3313">
        <f>'租赁台账-今典底稿'!K6</f>
        <v>1066859.6866359401</v>
      </c>
      <c r="L24" s="3561"/>
      <c r="M24" s="3324">
        <f>ROUND(K24/F24/365,2)</f>
        <v>6.42</v>
      </c>
      <c r="N24" s="3421" t="s">
        <v>4819</v>
      </c>
      <c r="O24" s="3232"/>
      <c r="P24" s="3420" t="s">
        <v>4780</v>
      </c>
      <c r="Q24" s="3420" t="e">
        <f>[2]汇总表!$Q$4</f>
        <v>#REF!</v>
      </c>
      <c r="R24" s="3420">
        <v>5.8163999999999998</v>
      </c>
      <c r="S24" s="3421"/>
      <c r="T24" s="3232" t="s">
        <v>4748</v>
      </c>
      <c r="U24" s="3232" t="s">
        <v>4798</v>
      </c>
      <c r="V24" s="3356">
        <v>9.1199999999999992</v>
      </c>
    </row>
    <row r="25" spans="1:40">
      <c r="A25" s="3314" t="s">
        <v>4464</v>
      </c>
      <c r="B25" s="3314" t="s">
        <v>3649</v>
      </c>
      <c r="C25" s="3324">
        <v>6</v>
      </c>
      <c r="D25" s="3316" t="s">
        <v>3661</v>
      </c>
      <c r="E25" s="3316">
        <v>42.57</v>
      </c>
      <c r="F25" s="3538">
        <f>'租赁台账-今典底稿'!H7</f>
        <v>82.23</v>
      </c>
      <c r="G25" s="3538">
        <f>F25/(E25+E26)</f>
        <v>0.92486784388707688</v>
      </c>
      <c r="H25" s="3542">
        <v>44150</v>
      </c>
      <c r="I25" s="3542">
        <v>45274</v>
      </c>
      <c r="J25" s="3544">
        <f>(I25-J1)/365</f>
        <v>1.1123287671232878</v>
      </c>
      <c r="K25" s="3562">
        <f>'租赁台账-今典底稿'!K7</f>
        <v>285912.10389610397</v>
      </c>
      <c r="L25" s="3560">
        <f>ROUND(K25/(E25+E26)/365,2)</f>
        <v>8.81</v>
      </c>
      <c r="M25" s="3556">
        <f>ROUND(K25/F25/365,2)</f>
        <v>9.5299999999999994</v>
      </c>
      <c r="N25" s="3421" t="s">
        <v>4821</v>
      </c>
      <c r="O25" s="3232"/>
      <c r="P25" s="3420" t="s">
        <v>4781</v>
      </c>
      <c r="Q25" s="3423" t="e">
        <f>O64+[2]汇总表!$Z$4</f>
        <v>#REF!</v>
      </c>
      <c r="R25" s="3420">
        <v>11.008699999999999</v>
      </c>
      <c r="S25" s="3421"/>
      <c r="U25" s="3232" t="s">
        <v>4799</v>
      </c>
      <c r="V25" s="3356">
        <f>ROUND((M3+M4+M5+M6+M14)/5,2)</f>
        <v>9.32</v>
      </c>
    </row>
    <row r="26" spans="1:40">
      <c r="A26" s="3314" t="s">
        <v>4464</v>
      </c>
      <c r="B26" s="3314" t="s">
        <v>3658</v>
      </c>
      <c r="C26" s="3324">
        <v>8</v>
      </c>
      <c r="D26" s="3316" t="s">
        <v>3661</v>
      </c>
      <c r="E26" s="3316">
        <v>46.34</v>
      </c>
      <c r="F26" s="3539"/>
      <c r="G26" s="3539"/>
      <c r="H26" s="3543"/>
      <c r="I26" s="3543"/>
      <c r="J26" s="3545"/>
      <c r="K26" s="3563"/>
      <c r="L26" s="3561"/>
      <c r="M26" s="3557"/>
      <c r="N26" s="3421" t="s">
        <v>4821</v>
      </c>
      <c r="O26" s="3232"/>
      <c r="P26" s="3420" t="s">
        <v>4782</v>
      </c>
      <c r="Q26" s="3423" t="e">
        <f>O18+[3]汇总表!$AI$31</f>
        <v>#REF!</v>
      </c>
      <c r="R26" s="3420">
        <v>8.5817999999999994</v>
      </c>
      <c r="S26" s="3421"/>
      <c r="T26" s="3232" t="s">
        <v>4737</v>
      </c>
      <c r="U26" s="3232" t="s">
        <v>4798</v>
      </c>
      <c r="V26" s="3232">
        <v>8.8000000000000007</v>
      </c>
    </row>
    <row r="27" spans="1:40">
      <c r="A27" s="3558" t="s">
        <v>4464</v>
      </c>
      <c r="B27" s="3558" t="s">
        <v>3654</v>
      </c>
      <c r="C27" s="3324">
        <v>7</v>
      </c>
      <c r="D27" s="3550" t="s">
        <v>3662</v>
      </c>
      <c r="E27" s="3550">
        <v>1245.71</v>
      </c>
      <c r="F27" s="3310">
        <f>'租赁台账-今典底稿'!H8</f>
        <v>402.06</v>
      </c>
      <c r="G27" s="3540">
        <f>(F27+F28)/E27</f>
        <v>0.84657745382151539</v>
      </c>
      <c r="H27" s="3311">
        <v>44540</v>
      </c>
      <c r="I27" s="3311">
        <v>45269</v>
      </c>
      <c r="J27" s="3326">
        <f>(I27-J1)/365</f>
        <v>1.0986301369863014</v>
      </c>
      <c r="K27" s="3313">
        <f>'租赁台账-今典底稿'!K8</f>
        <v>1058814.96</v>
      </c>
      <c r="L27" s="3560">
        <f>ROUND((K27+K28)/E27/365,2)</f>
        <v>5.81</v>
      </c>
      <c r="M27" s="3324">
        <f>ROUND(K27/F27/365,2)</f>
        <v>7.22</v>
      </c>
      <c r="N27" s="3421" t="s">
        <v>4819</v>
      </c>
      <c r="O27" s="3232"/>
      <c r="P27" s="3420" t="s">
        <v>4783</v>
      </c>
      <c r="Q27" s="3420" t="e">
        <f>[2]汇总表!$H$4</f>
        <v>#REF!</v>
      </c>
      <c r="R27" s="3420">
        <v>8.0464000000000002</v>
      </c>
      <c r="S27" s="3421"/>
      <c r="U27" s="3232" t="s">
        <v>4799</v>
      </c>
      <c r="V27" s="3232">
        <f>ROUND((L20+L43+L31+L34+L41+L29)/6,2)</f>
        <v>12.87</v>
      </c>
      <c r="W27" s="3232">
        <f>ROUND(V26/V27,1)</f>
        <v>0.7</v>
      </c>
    </row>
    <row r="28" spans="1:40">
      <c r="A28" s="3559"/>
      <c r="B28" s="3559"/>
      <c r="C28" s="3324" t="s">
        <v>4703</v>
      </c>
      <c r="D28" s="3552"/>
      <c r="E28" s="3552"/>
      <c r="F28" s="3310">
        <f>'租赁台账-今典底稿'!H9</f>
        <v>652.53</v>
      </c>
      <c r="G28" s="3541"/>
      <c r="H28" s="3311">
        <v>44166</v>
      </c>
      <c r="I28" s="3311">
        <v>44957</v>
      </c>
      <c r="J28" s="3325">
        <f>(I28-J1)/365</f>
        <v>0.24383561643835616</v>
      </c>
      <c r="K28" s="3313">
        <f>'租赁台账-今典底稿'!K9</f>
        <v>1583798.5622119801</v>
      </c>
      <c r="L28" s="3561"/>
      <c r="M28" s="3324">
        <f>ROUND(K28/F28/365,2)</f>
        <v>6.65</v>
      </c>
      <c r="N28" s="3421" t="s">
        <v>4819</v>
      </c>
      <c r="O28" s="3232"/>
      <c r="P28" s="3420" t="s">
        <v>4779</v>
      </c>
      <c r="Q28" s="3424" t="e">
        <f>SUM(Q24:Q27)</f>
        <v>#REF!</v>
      </c>
      <c r="R28" s="3425">
        <f>SUM(R24:R27)</f>
        <v>33.453299999999999</v>
      </c>
      <c r="S28" s="3421"/>
    </row>
    <row r="29" spans="1:40">
      <c r="A29" s="3360" t="s">
        <v>4464</v>
      </c>
      <c r="B29" s="3360" t="s">
        <v>3659</v>
      </c>
      <c r="C29" s="3324">
        <v>9</v>
      </c>
      <c r="D29" s="3316" t="s">
        <v>3661</v>
      </c>
      <c r="E29" s="3316">
        <v>10.93</v>
      </c>
      <c r="F29" s="3310">
        <f>'租赁台账-今典底稿'!H10</f>
        <v>10.11</v>
      </c>
      <c r="G29" s="3310">
        <f>F29/E29</f>
        <v>0.92497712717291858</v>
      </c>
      <c r="H29" s="3311">
        <v>44666</v>
      </c>
      <c r="I29" s="3311">
        <v>45030</v>
      </c>
      <c r="J29" s="3325">
        <f>(I29-J1)/365</f>
        <v>0.44383561643835617</v>
      </c>
      <c r="K29" s="3313">
        <f>'租赁台账-今典底稿'!K10</f>
        <v>91257.4</v>
      </c>
      <c r="L29" s="3344">
        <f>ROUND(K29/E29/365,2)</f>
        <v>22.87</v>
      </c>
      <c r="M29" s="3324">
        <f>ROUND(K29/F29/365,2)</f>
        <v>24.73</v>
      </c>
      <c r="N29" s="3421" t="s">
        <v>4819</v>
      </c>
      <c r="O29" s="3232"/>
      <c r="P29" s="3420" t="s">
        <v>4793</v>
      </c>
      <c r="Q29" s="3425">
        <v>13.634499999999999</v>
      </c>
      <c r="R29" s="3420"/>
      <c r="S29" s="3421"/>
      <c r="T29" s="3421"/>
      <c r="U29" s="3422"/>
      <c r="V29" s="3421"/>
    </row>
    <row r="30" spans="1:40">
      <c r="A30" s="3314" t="s">
        <v>4464</v>
      </c>
      <c r="B30" s="3314" t="s">
        <v>3622</v>
      </c>
      <c r="C30" s="3324">
        <v>10</v>
      </c>
      <c r="D30" s="3316" t="s">
        <v>3661</v>
      </c>
      <c r="E30" s="3316">
        <v>132.02000000000001</v>
      </c>
      <c r="F30" s="3310">
        <v>0</v>
      </c>
      <c r="G30" s="3310">
        <f t="shared" ref="G30:G64" si="5">F30/E30</f>
        <v>0</v>
      </c>
      <c r="H30" s="3311" t="s">
        <v>4700</v>
      </c>
      <c r="I30" s="3311" t="s">
        <v>4700</v>
      </c>
      <c r="J30" s="3325" t="s">
        <v>4700</v>
      </c>
      <c r="K30" s="3313">
        <v>0</v>
      </c>
      <c r="L30" s="3327">
        <f t="shared" ref="L30:L63" si="6">ROUND(K30/E30/365,2)</f>
        <v>0</v>
      </c>
      <c r="M30" s="3324">
        <v>0</v>
      </c>
      <c r="N30" s="3421" t="s">
        <v>4821</v>
      </c>
      <c r="O30" s="3232"/>
      <c r="P30" s="3421"/>
      <c r="Q30" s="3421"/>
      <c r="R30" s="3421"/>
      <c r="S30" s="3421"/>
      <c r="T30" s="3421"/>
      <c r="U30" s="3422"/>
      <c r="V30" s="3421"/>
    </row>
    <row r="31" spans="1:40">
      <c r="A31" s="3314" t="s">
        <v>4464</v>
      </c>
      <c r="B31" s="3314" t="s">
        <v>3623</v>
      </c>
      <c r="C31" s="3324">
        <v>11</v>
      </c>
      <c r="D31" s="3316" t="s">
        <v>3661</v>
      </c>
      <c r="E31" s="3316">
        <v>44.26</v>
      </c>
      <c r="F31" s="3538">
        <f>'租赁台账-今典底稿'!H11</f>
        <v>152.09</v>
      </c>
      <c r="G31" s="3538">
        <f>F31/(E31+E32)</f>
        <v>0.9249528674816031</v>
      </c>
      <c r="H31" s="3542">
        <v>43698</v>
      </c>
      <c r="I31" s="3542">
        <v>45524</v>
      </c>
      <c r="J31" s="3544">
        <f>(I31-J1)/365</f>
        <v>1.7972602739726027</v>
      </c>
      <c r="K31" s="3562">
        <f>'租赁台账-今典底稿'!K11</f>
        <v>700572.17599999998</v>
      </c>
      <c r="L31" s="3560">
        <f>ROUND(K31/(E31+E32)/365,2)</f>
        <v>11.67</v>
      </c>
      <c r="M31" s="3556">
        <f t="shared" ref="M31:M63" si="7">ROUND(K31/F31/365,2)</f>
        <v>12.62</v>
      </c>
      <c r="N31" s="3421" t="s">
        <v>4821</v>
      </c>
      <c r="O31" s="3232"/>
    </row>
    <row r="32" spans="1:40">
      <c r="A32" s="3360" t="s">
        <v>4464</v>
      </c>
      <c r="B32" s="3360" t="s">
        <v>3626</v>
      </c>
      <c r="C32" s="3324">
        <v>17</v>
      </c>
      <c r="D32" s="3316" t="s">
        <v>3661</v>
      </c>
      <c r="E32" s="3316">
        <v>120.17</v>
      </c>
      <c r="F32" s="3539"/>
      <c r="G32" s="3539"/>
      <c r="H32" s="3543"/>
      <c r="I32" s="3543"/>
      <c r="J32" s="3545"/>
      <c r="K32" s="3563"/>
      <c r="L32" s="3561"/>
      <c r="M32" s="3557"/>
      <c r="N32" s="3421" t="s">
        <v>4819</v>
      </c>
      <c r="O32" s="3232"/>
    </row>
    <row r="33" spans="1:15">
      <c r="A33" s="3314" t="s">
        <v>4464</v>
      </c>
      <c r="B33" s="3314" t="s">
        <v>3624</v>
      </c>
      <c r="C33" s="3324">
        <v>12</v>
      </c>
      <c r="D33" s="3316" t="s">
        <v>3661</v>
      </c>
      <c r="E33" s="3316">
        <v>46.9</v>
      </c>
      <c r="F33" s="3310">
        <v>0</v>
      </c>
      <c r="G33" s="3310">
        <f t="shared" si="5"/>
        <v>0</v>
      </c>
      <c r="H33" s="3311" t="s">
        <v>4700</v>
      </c>
      <c r="I33" s="3311" t="s">
        <v>4700</v>
      </c>
      <c r="J33" s="3325" t="s">
        <v>4700</v>
      </c>
      <c r="K33" s="3313">
        <v>0</v>
      </c>
      <c r="L33" s="3327">
        <f t="shared" si="6"/>
        <v>0</v>
      </c>
      <c r="M33" s="3324">
        <v>0</v>
      </c>
      <c r="N33" s="3421" t="s">
        <v>4821</v>
      </c>
      <c r="O33" s="3232"/>
    </row>
    <row r="34" spans="1:15">
      <c r="A34" s="3360" t="s">
        <v>4464</v>
      </c>
      <c r="B34" s="3360" t="s">
        <v>3625</v>
      </c>
      <c r="C34" s="3324">
        <v>15</v>
      </c>
      <c r="D34" s="3316" t="s">
        <v>3661</v>
      </c>
      <c r="E34" s="3316">
        <v>45.15</v>
      </c>
      <c r="F34" s="3310">
        <f>'租赁台账-今典底稿'!H13</f>
        <v>41.76</v>
      </c>
      <c r="G34" s="3310">
        <f t="shared" si="5"/>
        <v>0.9249169435215947</v>
      </c>
      <c r="H34" s="3311">
        <v>44175</v>
      </c>
      <c r="I34" s="3311">
        <v>45269</v>
      </c>
      <c r="J34" s="3326">
        <f>(I34-J1)/365</f>
        <v>1.0986301369863014</v>
      </c>
      <c r="K34" s="3313">
        <f>'租赁台账-今典底稿'!K13</f>
        <v>191596.97333333301</v>
      </c>
      <c r="L34" s="3327">
        <f t="shared" si="6"/>
        <v>11.63</v>
      </c>
      <c r="M34" s="3324">
        <f t="shared" si="7"/>
        <v>12.57</v>
      </c>
      <c r="N34" s="3421" t="s">
        <v>4819</v>
      </c>
      <c r="O34" s="3232"/>
    </row>
    <row r="35" spans="1:15">
      <c r="A35" s="3314" t="s">
        <v>4464</v>
      </c>
      <c r="B35" s="3314" t="s">
        <v>3627</v>
      </c>
      <c r="C35" s="3324">
        <v>18</v>
      </c>
      <c r="D35" s="3316" t="s">
        <v>3661</v>
      </c>
      <c r="E35" s="3316">
        <v>97.45</v>
      </c>
      <c r="F35" s="3310">
        <f>'租赁台账-今典底稿'!H14</f>
        <v>90.17</v>
      </c>
      <c r="G35" s="3310">
        <f t="shared" si="5"/>
        <v>0.92529502308876344</v>
      </c>
      <c r="H35" s="3311">
        <v>44119</v>
      </c>
      <c r="I35" s="3311">
        <v>44848</v>
      </c>
      <c r="J35" s="3325">
        <f>(I35-J1)/365</f>
        <v>-5.4794520547945202E-2</v>
      </c>
      <c r="K35" s="3313">
        <f>'租赁台账-今典底稿'!K14</f>
        <v>307192.84000000003</v>
      </c>
      <c r="L35" s="3327">
        <f t="shared" si="6"/>
        <v>8.64</v>
      </c>
      <c r="M35" s="3324">
        <f t="shared" si="7"/>
        <v>9.33</v>
      </c>
      <c r="N35" s="3421" t="s">
        <v>4821</v>
      </c>
      <c r="O35" s="3232"/>
    </row>
    <row r="36" spans="1:15">
      <c r="A36" s="3558" t="s">
        <v>4464</v>
      </c>
      <c r="B36" s="3558" t="s">
        <v>3628</v>
      </c>
      <c r="C36" s="3324">
        <v>19</v>
      </c>
      <c r="D36" s="3550" t="s">
        <v>3662</v>
      </c>
      <c r="E36" s="3550">
        <v>1786.53</v>
      </c>
      <c r="F36" s="3310">
        <f>'租赁台账-今典底稿'!H15</f>
        <v>65.25</v>
      </c>
      <c r="G36" s="3540">
        <f>(F36+F37+F38)/E36</f>
        <v>0.68158385249617981</v>
      </c>
      <c r="H36" s="3311">
        <v>44183</v>
      </c>
      <c r="I36" s="3311">
        <v>45308</v>
      </c>
      <c r="J36" s="3326">
        <f>(I36-J1)/365</f>
        <v>1.2054794520547945</v>
      </c>
      <c r="K36" s="3313">
        <f>'租赁台账-今典底稿'!K15</f>
        <v>247274.01623376599</v>
      </c>
      <c r="L36" s="3564">
        <f>ROUND((K36+K37+K38)/E36/365,2)</f>
        <v>5.14</v>
      </c>
      <c r="M36" s="3324">
        <f t="shared" si="7"/>
        <v>10.38</v>
      </c>
      <c r="N36" s="3421" t="s">
        <v>4819</v>
      </c>
      <c r="O36" s="3232"/>
    </row>
    <row r="37" spans="1:15">
      <c r="A37" s="3567"/>
      <c r="B37" s="3567"/>
      <c r="C37" s="3324" t="s">
        <v>4704</v>
      </c>
      <c r="D37" s="3551"/>
      <c r="E37" s="3551"/>
      <c r="F37" s="3330">
        <f>'租赁台账-今典底稿'!H17</f>
        <v>1135.42</v>
      </c>
      <c r="G37" s="3553"/>
      <c r="H37" s="3311">
        <v>44494</v>
      </c>
      <c r="I37" s="3311">
        <v>45223</v>
      </c>
      <c r="J37" s="3325">
        <f>(I37-J1)/365</f>
        <v>0.9726027397260274</v>
      </c>
      <c r="K37" s="3313">
        <f>'租赁台账-今典底稿'!K17</f>
        <v>2990100.18</v>
      </c>
      <c r="L37" s="3565"/>
      <c r="M37" s="3324">
        <f t="shared" si="7"/>
        <v>7.21</v>
      </c>
      <c r="N37" s="3421" t="s">
        <v>4819</v>
      </c>
      <c r="O37" s="3232"/>
    </row>
    <row r="38" spans="1:15">
      <c r="A38" s="3559"/>
      <c r="B38" s="3559"/>
      <c r="C38" s="3324" t="s">
        <v>4705</v>
      </c>
      <c r="D38" s="3552"/>
      <c r="E38" s="3552"/>
      <c r="F38" s="3310">
        <f>'租赁台账-今典底稿'!H16</f>
        <v>17</v>
      </c>
      <c r="G38" s="3541"/>
      <c r="H38" s="3311">
        <v>44256</v>
      </c>
      <c r="I38" s="3311">
        <v>44985</v>
      </c>
      <c r="J38" s="3325">
        <f>(I38-J1)/365</f>
        <v>0.32054794520547947</v>
      </c>
      <c r="K38" s="3313">
        <f>'租赁台账-今典底稿'!K16</f>
        <v>112263.98</v>
      </c>
      <c r="L38" s="3566"/>
      <c r="M38" s="3324">
        <f t="shared" si="7"/>
        <v>18.09</v>
      </c>
      <c r="N38" s="3421" t="s">
        <v>4819</v>
      </c>
      <c r="O38" s="3232"/>
    </row>
    <row r="39" spans="1:15">
      <c r="A39" s="3554" t="s">
        <v>4464</v>
      </c>
      <c r="B39" s="3554" t="s">
        <v>3630</v>
      </c>
      <c r="C39" s="3324">
        <v>20</v>
      </c>
      <c r="D39" s="3548" t="s">
        <v>3661</v>
      </c>
      <c r="E39" s="3548">
        <v>87.03</v>
      </c>
      <c r="F39" s="3310">
        <f>'租赁台账-今典底稿'!H18</f>
        <v>80.5</v>
      </c>
      <c r="G39" s="3538">
        <f t="shared" si="5"/>
        <v>0.92496840170056305</v>
      </c>
      <c r="H39" s="3311">
        <v>44119</v>
      </c>
      <c r="I39" s="3311">
        <v>45213</v>
      </c>
      <c r="J39" s="3325">
        <f>(I39-J1)/365</f>
        <v>0.9452054794520548</v>
      </c>
      <c r="K39" s="3313">
        <f>'租赁台账-今典底稿'!K18</f>
        <v>305871.84000000003</v>
      </c>
      <c r="L39" s="3560">
        <f>ROUND((K39+K40)/E39/365,2)</f>
        <v>11.51</v>
      </c>
      <c r="M39" s="3324">
        <f t="shared" si="7"/>
        <v>10.41</v>
      </c>
      <c r="N39" s="3421" t="s">
        <v>4821</v>
      </c>
      <c r="O39" s="3232"/>
    </row>
    <row r="40" spans="1:15">
      <c r="A40" s="3555"/>
      <c r="B40" s="3555"/>
      <c r="C40" s="3324" t="s">
        <v>4706</v>
      </c>
      <c r="D40" s="3549"/>
      <c r="E40" s="3549"/>
      <c r="F40" s="3310">
        <f>'租赁台账-今典底稿'!H19</f>
        <v>8.7200000000000006</v>
      </c>
      <c r="G40" s="3539"/>
      <c r="H40" s="3311">
        <v>44287</v>
      </c>
      <c r="I40" s="3311">
        <v>45016</v>
      </c>
      <c r="J40" s="3325">
        <f>(I40-J1)/365</f>
        <v>0.40547945205479452</v>
      </c>
      <c r="K40" s="3313">
        <f>'租赁台账-今典底稿'!K19</f>
        <v>59629.54</v>
      </c>
      <c r="L40" s="3561"/>
      <c r="M40" s="3324">
        <f t="shared" si="7"/>
        <v>18.73</v>
      </c>
      <c r="N40" s="3421" t="s">
        <v>4821</v>
      </c>
      <c r="O40" s="3232"/>
    </row>
    <row r="41" spans="1:15">
      <c r="A41" s="3360" t="s">
        <v>4464</v>
      </c>
      <c r="B41" s="3360" t="s">
        <v>3631</v>
      </c>
      <c r="C41" s="3324">
        <v>21</v>
      </c>
      <c r="D41" s="3316" t="s">
        <v>3661</v>
      </c>
      <c r="E41" s="3316">
        <v>123.61</v>
      </c>
      <c r="F41" s="3310">
        <f>'租赁台账-今典底稿'!H20</f>
        <v>84.77</v>
      </c>
      <c r="G41" s="3328">
        <f t="shared" si="5"/>
        <v>0.68578593964889567</v>
      </c>
      <c r="H41" s="3311">
        <v>44602</v>
      </c>
      <c r="I41" s="3311">
        <v>45697</v>
      </c>
      <c r="J41" s="3326">
        <f>(I41-J1)/365</f>
        <v>2.2712328767123289</v>
      </c>
      <c r="K41" s="3313">
        <f>'租赁台账-今典底稿'!K20</f>
        <v>338804.506666667</v>
      </c>
      <c r="L41" s="3327">
        <f t="shared" si="6"/>
        <v>7.51</v>
      </c>
      <c r="M41" s="3324">
        <f t="shared" si="7"/>
        <v>10.95</v>
      </c>
      <c r="N41" s="3421" t="s">
        <v>4819</v>
      </c>
      <c r="O41" s="3232"/>
    </row>
    <row r="42" spans="1:15">
      <c r="A42" s="3314" t="s">
        <v>4464</v>
      </c>
      <c r="B42" s="3314" t="s">
        <v>3632</v>
      </c>
      <c r="C42" s="3324">
        <v>22</v>
      </c>
      <c r="D42" s="3316" t="s">
        <v>3661</v>
      </c>
      <c r="E42" s="3316">
        <v>85.91</v>
      </c>
      <c r="F42" s="3310">
        <v>0</v>
      </c>
      <c r="G42" s="3310">
        <f t="shared" si="5"/>
        <v>0</v>
      </c>
      <c r="H42" s="3311" t="s">
        <v>4700</v>
      </c>
      <c r="I42" s="3311" t="s">
        <v>4700</v>
      </c>
      <c r="J42" s="3325" t="s">
        <v>4700</v>
      </c>
      <c r="K42" s="3313">
        <v>0</v>
      </c>
      <c r="L42" s="3327">
        <f t="shared" si="6"/>
        <v>0</v>
      </c>
      <c r="M42" s="3324">
        <v>0</v>
      </c>
      <c r="N42" s="3421" t="s">
        <v>4821</v>
      </c>
      <c r="O42" s="3232"/>
    </row>
    <row r="43" spans="1:15">
      <c r="A43" s="3359" t="s">
        <v>4464</v>
      </c>
      <c r="B43" s="3359" t="s">
        <v>3633</v>
      </c>
      <c r="C43" s="3345">
        <v>23</v>
      </c>
      <c r="D43" s="3346" t="s">
        <v>3661</v>
      </c>
      <c r="E43" s="3346">
        <v>58.81</v>
      </c>
      <c r="F43" s="3346">
        <v>58.81</v>
      </c>
      <c r="G43" s="3346">
        <f t="shared" si="5"/>
        <v>1</v>
      </c>
      <c r="H43" s="3347">
        <v>44635</v>
      </c>
      <c r="I43" s="3347">
        <v>45365</v>
      </c>
      <c r="J43" s="3348">
        <f>(I43-J1)/365</f>
        <v>1.3616438356164384</v>
      </c>
      <c r="K43" s="3349">
        <f>'租赁台账-今典底稿'!K21</f>
        <v>256790.16</v>
      </c>
      <c r="L43" s="3345">
        <f t="shared" si="6"/>
        <v>11.96</v>
      </c>
      <c r="M43" s="3345">
        <f t="shared" si="7"/>
        <v>11.96</v>
      </c>
      <c r="N43" s="3421" t="s">
        <v>4819</v>
      </c>
      <c r="O43" s="3232"/>
    </row>
    <row r="44" spans="1:15">
      <c r="A44" s="3314" t="s">
        <v>4464</v>
      </c>
      <c r="B44" s="3314" t="s">
        <v>3634</v>
      </c>
      <c r="C44" s="3324">
        <v>25</v>
      </c>
      <c r="D44" s="3316" t="s">
        <v>3661</v>
      </c>
      <c r="E44" s="3316">
        <v>88.45</v>
      </c>
      <c r="F44" s="3538">
        <f>'租赁台账-今典底稿'!H22</f>
        <v>87.23</v>
      </c>
      <c r="G44" s="3540">
        <f>F44/(E44+E45)</f>
        <v>0.46408810385188337</v>
      </c>
      <c r="H44" s="3542">
        <v>44150</v>
      </c>
      <c r="I44" s="3542">
        <v>45274</v>
      </c>
      <c r="J44" s="3544">
        <f>(I44-J1)/365</f>
        <v>1.1123287671232878</v>
      </c>
      <c r="K44" s="3562">
        <f>'租赁台账-今典底稿'!K22</f>
        <v>300281.96103896102</v>
      </c>
      <c r="L44" s="3560">
        <f>ROUND(K44/(E44+E45)/365,2)</f>
        <v>4.38</v>
      </c>
      <c r="M44" s="3556">
        <f t="shared" si="7"/>
        <v>9.43</v>
      </c>
      <c r="N44" s="3421" t="s">
        <v>4821</v>
      </c>
      <c r="O44" s="3232"/>
    </row>
    <row r="45" spans="1:15">
      <c r="A45" s="3314" t="s">
        <v>4464</v>
      </c>
      <c r="B45" s="3314" t="s">
        <v>3657</v>
      </c>
      <c r="C45" s="3324">
        <v>76</v>
      </c>
      <c r="D45" s="3316" t="s">
        <v>3661</v>
      </c>
      <c r="E45" s="3316">
        <v>99.51</v>
      </c>
      <c r="F45" s="3539"/>
      <c r="G45" s="3541"/>
      <c r="H45" s="3543"/>
      <c r="I45" s="3543"/>
      <c r="J45" s="3545"/>
      <c r="K45" s="3563"/>
      <c r="L45" s="3561"/>
      <c r="M45" s="3557"/>
      <c r="N45" s="3421" t="s">
        <v>4821</v>
      </c>
      <c r="O45" s="3232"/>
    </row>
    <row r="46" spans="1:15">
      <c r="A46" s="3314" t="s">
        <v>4464</v>
      </c>
      <c r="B46" s="3314" t="s">
        <v>3635</v>
      </c>
      <c r="C46" s="3324">
        <v>26</v>
      </c>
      <c r="D46" s="3316" t="s">
        <v>3661</v>
      </c>
      <c r="E46" s="3316">
        <v>127.25</v>
      </c>
      <c r="F46" s="3310">
        <f>'租赁台账-今典底稿'!H23</f>
        <v>117.7</v>
      </c>
      <c r="G46" s="3310">
        <f t="shared" si="5"/>
        <v>0.92495088408644399</v>
      </c>
      <c r="H46" s="3311">
        <v>44166</v>
      </c>
      <c r="I46" s="3311">
        <v>44957</v>
      </c>
      <c r="J46" s="3325">
        <f>(I46-J1)/365</f>
        <v>0.24383561643835616</v>
      </c>
      <c r="K46" s="3313">
        <f>'租赁台账-今典底稿'!K23</f>
        <v>391989.82488479302</v>
      </c>
      <c r="L46" s="3327">
        <f t="shared" si="6"/>
        <v>8.44</v>
      </c>
      <c r="M46" s="3324">
        <f t="shared" si="7"/>
        <v>9.1199999999999992</v>
      </c>
      <c r="N46" s="3421" t="s">
        <v>4821</v>
      </c>
      <c r="O46" s="3232"/>
    </row>
    <row r="47" spans="1:15">
      <c r="A47" s="3360" t="s">
        <v>4464</v>
      </c>
      <c r="B47" s="3360" t="s">
        <v>3636</v>
      </c>
      <c r="C47" s="3324">
        <v>27</v>
      </c>
      <c r="D47" s="3316" t="s">
        <v>3661</v>
      </c>
      <c r="E47" s="3316">
        <v>210.49</v>
      </c>
      <c r="F47" s="3310">
        <v>0</v>
      </c>
      <c r="G47" s="3310">
        <f t="shared" si="5"/>
        <v>0</v>
      </c>
      <c r="H47" s="3311" t="s">
        <v>4700</v>
      </c>
      <c r="I47" s="3311" t="s">
        <v>4700</v>
      </c>
      <c r="J47" s="3325" t="s">
        <v>4700</v>
      </c>
      <c r="K47" s="3313">
        <v>0</v>
      </c>
      <c r="L47" s="3327">
        <f t="shared" si="6"/>
        <v>0</v>
      </c>
      <c r="M47" s="3324">
        <v>0</v>
      </c>
      <c r="N47" s="3421" t="s">
        <v>4819</v>
      </c>
      <c r="O47" s="3232"/>
    </row>
    <row r="48" spans="1:15" ht="15.95" customHeight="1">
      <c r="A48" s="3314" t="s">
        <v>4464</v>
      </c>
      <c r="B48" s="3314" t="s">
        <v>3637</v>
      </c>
      <c r="C48" s="3324">
        <v>27</v>
      </c>
      <c r="D48" s="3316" t="s">
        <v>3663</v>
      </c>
      <c r="E48" s="3316">
        <v>3840.45</v>
      </c>
      <c r="F48" s="3310">
        <f>SUM('租赁台账-今典底稿'!H38:H71)</f>
        <v>3857.2700000000004</v>
      </c>
      <c r="G48" s="3310">
        <f t="shared" si="5"/>
        <v>1.0043796950878154</v>
      </c>
      <c r="H48" s="3311">
        <v>43590</v>
      </c>
      <c r="I48" s="3311">
        <v>46173</v>
      </c>
      <c r="J48" s="3326">
        <f>(I48-J1)/365</f>
        <v>3.5753424657534247</v>
      </c>
      <c r="K48" s="3313">
        <f>SUM('租赁台账-今典底稿'!K38:K71)</f>
        <v>6096822.9015267994</v>
      </c>
      <c r="L48" s="3327">
        <f t="shared" si="6"/>
        <v>4.3499999999999996</v>
      </c>
      <c r="M48" s="3324">
        <f t="shared" si="7"/>
        <v>4.33</v>
      </c>
      <c r="N48" s="3421" t="s">
        <v>4822</v>
      </c>
      <c r="O48" s="3232"/>
    </row>
    <row r="49" spans="1:15">
      <c r="A49" s="3314" t="s">
        <v>4464</v>
      </c>
      <c r="B49" s="3314" t="s">
        <v>3638</v>
      </c>
      <c r="C49" s="3324">
        <v>28</v>
      </c>
      <c r="D49" s="3316" t="s">
        <v>3661</v>
      </c>
      <c r="E49" s="3316">
        <v>129.43</v>
      </c>
      <c r="F49" s="3310">
        <f>'租赁台账-今典底稿'!H24</f>
        <v>119.71</v>
      </c>
      <c r="G49" s="3310">
        <f t="shared" si="5"/>
        <v>0.92490149115351916</v>
      </c>
      <c r="H49" s="3311">
        <v>44540</v>
      </c>
      <c r="I49" s="3311">
        <v>45269</v>
      </c>
      <c r="J49" s="3326">
        <f>(I49-J1)/365</f>
        <v>1.0986301369863014</v>
      </c>
      <c r="K49" s="3313">
        <f>'租赁台账-今典底稿'!K24</f>
        <v>423177.84</v>
      </c>
      <c r="L49" s="3327">
        <f t="shared" si="6"/>
        <v>8.9600000000000009</v>
      </c>
      <c r="M49" s="3324">
        <f t="shared" si="7"/>
        <v>9.68</v>
      </c>
      <c r="N49" s="3421" t="s">
        <v>4821</v>
      </c>
      <c r="O49" s="3232"/>
    </row>
    <row r="50" spans="1:15">
      <c r="A50" s="3314" t="s">
        <v>4464</v>
      </c>
      <c r="B50" s="3314" t="s">
        <v>3640</v>
      </c>
      <c r="C50" s="3324">
        <v>30</v>
      </c>
      <c r="D50" s="3316" t="s">
        <v>3661</v>
      </c>
      <c r="E50" s="3316">
        <v>47.82</v>
      </c>
      <c r="F50" s="3310">
        <f>'租赁台账-今典底稿'!H25</f>
        <v>44.23</v>
      </c>
      <c r="G50" s="3310">
        <f t="shared" si="5"/>
        <v>0.92492680886658296</v>
      </c>
      <c r="H50" s="3311">
        <v>44301</v>
      </c>
      <c r="I50" s="3311">
        <v>45030</v>
      </c>
      <c r="J50" s="3325">
        <f>(I50-J1)/365</f>
        <v>0.44383561643835617</v>
      </c>
      <c r="K50" s="3313">
        <f>'租赁台账-今典底稿'!K25</f>
        <v>180960.23</v>
      </c>
      <c r="L50" s="3327">
        <f t="shared" si="6"/>
        <v>10.37</v>
      </c>
      <c r="M50" s="3324">
        <f t="shared" si="7"/>
        <v>11.21</v>
      </c>
      <c r="N50" s="3421" t="s">
        <v>4821</v>
      </c>
      <c r="O50" s="3232"/>
    </row>
    <row r="51" spans="1:15">
      <c r="A51" s="3314" t="s">
        <v>4464</v>
      </c>
      <c r="B51" s="3314" t="s">
        <v>3641</v>
      </c>
      <c r="C51" s="3324">
        <v>32</v>
      </c>
      <c r="D51" s="3316" t="s">
        <v>3661</v>
      </c>
      <c r="E51" s="3316">
        <v>58.24</v>
      </c>
      <c r="F51" s="3310">
        <f>'租赁台账-今典底稿'!H26</f>
        <v>53.87</v>
      </c>
      <c r="G51" s="3310">
        <f t="shared" si="5"/>
        <v>0.92496565934065922</v>
      </c>
      <c r="H51" s="3311">
        <v>44687</v>
      </c>
      <c r="I51" s="3311">
        <v>45417</v>
      </c>
      <c r="J51" s="3326">
        <f>(I51-J1)/365</f>
        <v>1.5041095890410958</v>
      </c>
      <c r="K51" s="3313">
        <f>'租赁台账-今典底稿'!K26</f>
        <v>212290</v>
      </c>
      <c r="L51" s="3327">
        <f t="shared" si="6"/>
        <v>9.99</v>
      </c>
      <c r="M51" s="3324">
        <f t="shared" si="7"/>
        <v>10.8</v>
      </c>
      <c r="N51" s="3421" t="s">
        <v>4821</v>
      </c>
      <c r="O51" s="3232"/>
    </row>
    <row r="52" spans="1:15">
      <c r="A52" s="3314" t="s">
        <v>4464</v>
      </c>
      <c r="B52" s="3314" t="s">
        <v>3642</v>
      </c>
      <c r="C52" s="3324">
        <v>36</v>
      </c>
      <c r="D52" s="3316" t="s">
        <v>3661</v>
      </c>
      <c r="E52" s="3316">
        <v>80</v>
      </c>
      <c r="F52" s="3310">
        <f>'租赁台账-今典底稿'!H27</f>
        <v>73.989999999999995</v>
      </c>
      <c r="G52" s="3310">
        <f t="shared" si="5"/>
        <v>0.92487499999999989</v>
      </c>
      <c r="H52" s="3311">
        <v>44090</v>
      </c>
      <c r="I52" s="3311">
        <v>45184</v>
      </c>
      <c r="J52" s="3325">
        <f>(I52-J1)/365</f>
        <v>0.86575342465753424</v>
      </c>
      <c r="K52" s="3313">
        <f>'租赁台账-今典底稿'!K27</f>
        <v>274902.14</v>
      </c>
      <c r="L52" s="3327">
        <f t="shared" si="6"/>
        <v>9.41</v>
      </c>
      <c r="M52" s="3324">
        <f t="shared" si="7"/>
        <v>10.18</v>
      </c>
      <c r="N52" s="3421" t="s">
        <v>4821</v>
      </c>
      <c r="O52" s="3232"/>
    </row>
    <row r="53" spans="1:15">
      <c r="A53" s="3314" t="s">
        <v>4464</v>
      </c>
      <c r="B53" s="3314" t="s">
        <v>3643</v>
      </c>
      <c r="C53" s="3324">
        <v>38</v>
      </c>
      <c r="D53" s="3316" t="s">
        <v>3661</v>
      </c>
      <c r="E53" s="3316">
        <v>105.57</v>
      </c>
      <c r="F53" s="3310">
        <f>'租赁台账-今典底稿'!H28</f>
        <v>97.64</v>
      </c>
      <c r="G53" s="3310">
        <f t="shared" si="5"/>
        <v>0.92488396324713462</v>
      </c>
      <c r="H53" s="3311">
        <v>44119</v>
      </c>
      <c r="I53" s="3311">
        <v>44848</v>
      </c>
      <c r="J53" s="3325">
        <f>(I53-J1)/365</f>
        <v>-5.4794520547945202E-2</v>
      </c>
      <c r="K53" s="3313">
        <f>'租赁台账-今典底稿'!K28</f>
        <v>339309.18</v>
      </c>
      <c r="L53" s="3327">
        <f t="shared" si="6"/>
        <v>8.81</v>
      </c>
      <c r="M53" s="3324">
        <f t="shared" si="7"/>
        <v>9.52</v>
      </c>
      <c r="N53" s="3421" t="s">
        <v>4821</v>
      </c>
      <c r="O53" s="3232"/>
    </row>
    <row r="54" spans="1:15">
      <c r="A54" s="3314" t="s">
        <v>4464</v>
      </c>
      <c r="B54" s="3314" t="s">
        <v>3645</v>
      </c>
      <c r="C54" s="3324">
        <v>50</v>
      </c>
      <c r="D54" s="3316" t="s">
        <v>3661</v>
      </c>
      <c r="E54" s="3316">
        <v>36.78</v>
      </c>
      <c r="F54" s="3310">
        <f>'租赁台账-今典底稿'!H29</f>
        <v>34.020000000000003</v>
      </c>
      <c r="G54" s="3310">
        <f t="shared" si="5"/>
        <v>0.92495921696574235</v>
      </c>
      <c r="H54" s="3311">
        <v>44150</v>
      </c>
      <c r="I54" s="3311">
        <v>44879</v>
      </c>
      <c r="J54" s="3325">
        <f>(I54-J1)/365</f>
        <v>3.0136986301369864E-2</v>
      </c>
      <c r="K54" s="3313">
        <f>'租赁台账-今典底稿'!K29</f>
        <v>141356.745</v>
      </c>
      <c r="L54" s="3327">
        <f t="shared" si="6"/>
        <v>10.53</v>
      </c>
      <c r="M54" s="3324">
        <f t="shared" si="7"/>
        <v>11.38</v>
      </c>
      <c r="N54" s="3421" t="s">
        <v>4821</v>
      </c>
      <c r="O54" s="3232"/>
    </row>
    <row r="55" spans="1:15">
      <c r="A55" s="3314" t="s">
        <v>4464</v>
      </c>
      <c r="B55" s="3314" t="s">
        <v>3646</v>
      </c>
      <c r="C55" s="3324">
        <v>52</v>
      </c>
      <c r="D55" s="3316" t="s">
        <v>3661</v>
      </c>
      <c r="E55" s="3316">
        <v>25.34</v>
      </c>
      <c r="F55" s="3310">
        <f>'租赁台账-今典底稿'!H30</f>
        <v>23.36</v>
      </c>
      <c r="G55" s="3310">
        <f t="shared" si="5"/>
        <v>0.92186266771902126</v>
      </c>
      <c r="H55" s="3311">
        <v>44114</v>
      </c>
      <c r="I55" s="3311">
        <v>44843</v>
      </c>
      <c r="J55" s="3325">
        <f>(I55-J1)/365</f>
        <v>-6.8493150684931503E-2</v>
      </c>
      <c r="K55" s="3313">
        <f>'租赁台账-今典底稿'!K30</f>
        <v>101865.96</v>
      </c>
      <c r="L55" s="3327">
        <f t="shared" si="6"/>
        <v>11.01</v>
      </c>
      <c r="M55" s="3324">
        <f t="shared" si="7"/>
        <v>11.95</v>
      </c>
      <c r="N55" s="3421" t="s">
        <v>4821</v>
      </c>
      <c r="O55" s="3232"/>
    </row>
    <row r="56" spans="1:15">
      <c r="A56" s="3314" t="s">
        <v>4464</v>
      </c>
      <c r="B56" s="3314" t="s">
        <v>3647</v>
      </c>
      <c r="C56" s="3324">
        <v>56</v>
      </c>
      <c r="D56" s="3316" t="s">
        <v>3661</v>
      </c>
      <c r="E56" s="3316">
        <v>78.45</v>
      </c>
      <c r="F56" s="3310">
        <f>'租赁台账-今典底稿'!H31</f>
        <v>72.56</v>
      </c>
      <c r="G56" s="3310">
        <f t="shared" si="5"/>
        <v>0.92492033142128749</v>
      </c>
      <c r="H56" s="3311">
        <v>44477</v>
      </c>
      <c r="I56" s="3311">
        <v>45206</v>
      </c>
      <c r="J56" s="3325">
        <f>(I56-J1)/365</f>
        <v>0.92602739726027394</v>
      </c>
      <c r="K56" s="3313">
        <f>'租赁台账-今典底稿'!K31</f>
        <v>284574.88</v>
      </c>
      <c r="L56" s="3327">
        <f t="shared" si="6"/>
        <v>9.94</v>
      </c>
      <c r="M56" s="3324">
        <f t="shared" si="7"/>
        <v>10.75</v>
      </c>
      <c r="N56" s="3421" t="s">
        <v>4821</v>
      </c>
      <c r="O56" s="3232"/>
    </row>
    <row r="57" spans="1:15">
      <c r="A57" s="3314" t="s">
        <v>4464</v>
      </c>
      <c r="B57" s="3314" t="s">
        <v>3648</v>
      </c>
      <c r="C57" s="3324">
        <v>58</v>
      </c>
      <c r="D57" s="3316" t="s">
        <v>3661</v>
      </c>
      <c r="E57" s="3316">
        <v>125.54</v>
      </c>
      <c r="F57" s="3310">
        <f>'租赁台账-今典底稿'!H32</f>
        <v>86.61</v>
      </c>
      <c r="G57" s="3328">
        <f t="shared" si="5"/>
        <v>0.68989963358292172</v>
      </c>
      <c r="H57" s="3311">
        <v>44013</v>
      </c>
      <c r="I57" s="3311">
        <v>44742</v>
      </c>
      <c r="J57" s="3325">
        <f>(I57-J1)/365</f>
        <v>-0.34520547945205482</v>
      </c>
      <c r="K57" s="3313">
        <f>'租赁台账-今典底稿'!K32</f>
        <v>311068.48</v>
      </c>
      <c r="L57" s="3327">
        <f t="shared" si="6"/>
        <v>6.79</v>
      </c>
      <c r="M57" s="3324">
        <f t="shared" si="7"/>
        <v>9.84</v>
      </c>
      <c r="N57" s="3421" t="s">
        <v>4821</v>
      </c>
      <c r="O57" s="3232"/>
    </row>
    <row r="58" spans="1:15">
      <c r="A58" s="3314" t="s">
        <v>4464</v>
      </c>
      <c r="B58" s="3314" t="s">
        <v>3650</v>
      </c>
      <c r="C58" s="3324">
        <v>60</v>
      </c>
      <c r="D58" s="3316" t="s">
        <v>3661</v>
      </c>
      <c r="E58" s="3316">
        <v>48.96</v>
      </c>
      <c r="F58" s="3538">
        <f>'租赁台账-今典底稿'!H33</f>
        <v>67.45</v>
      </c>
      <c r="G58" s="3540">
        <f>F58/(E58+E59)</f>
        <v>0.69129855488367331</v>
      </c>
      <c r="H58" s="3542">
        <v>44067</v>
      </c>
      <c r="I58" s="3542">
        <v>44871</v>
      </c>
      <c r="J58" s="3546">
        <f>(I58-J1)/365</f>
        <v>8.21917808219178E-3</v>
      </c>
      <c r="K58" s="3562">
        <f>'租赁台账-今典底稿'!K33</f>
        <v>223581.99635987601</v>
      </c>
      <c r="L58" s="3560">
        <f>ROUND(K58/(E58+E59)/365,2)</f>
        <v>6.28</v>
      </c>
      <c r="M58" s="3556">
        <f t="shared" si="7"/>
        <v>9.08</v>
      </c>
      <c r="N58" s="3421" t="s">
        <v>4821</v>
      </c>
      <c r="O58" s="3232"/>
    </row>
    <row r="59" spans="1:15">
      <c r="A59" s="3314" t="s">
        <v>4464</v>
      </c>
      <c r="B59" s="3314" t="s">
        <v>3651</v>
      </c>
      <c r="C59" s="3324">
        <v>62</v>
      </c>
      <c r="D59" s="3316" t="s">
        <v>3661</v>
      </c>
      <c r="E59" s="3316">
        <v>48.61</v>
      </c>
      <c r="F59" s="3539"/>
      <c r="G59" s="3541"/>
      <c r="H59" s="3543"/>
      <c r="I59" s="3543"/>
      <c r="J59" s="3547"/>
      <c r="K59" s="3563"/>
      <c r="L59" s="3561"/>
      <c r="M59" s="3557"/>
      <c r="N59" s="3421" t="s">
        <v>4821</v>
      </c>
      <c r="O59" s="3232"/>
    </row>
    <row r="60" spans="1:15">
      <c r="A60" s="3314" t="s">
        <v>4464</v>
      </c>
      <c r="B60" s="3314" t="s">
        <v>3652</v>
      </c>
      <c r="C60" s="3324">
        <v>66</v>
      </c>
      <c r="D60" s="3316" t="s">
        <v>3661</v>
      </c>
      <c r="E60" s="3316">
        <v>97.45</v>
      </c>
      <c r="F60" s="3310">
        <f>'租赁台账-今典底稿'!H34</f>
        <v>90.13</v>
      </c>
      <c r="G60" s="3310">
        <f t="shared" si="5"/>
        <v>0.92488455618265775</v>
      </c>
      <c r="H60" s="3311">
        <v>44270</v>
      </c>
      <c r="I60" s="3311">
        <v>44999</v>
      </c>
      <c r="J60" s="3325">
        <f>(I60-J1)/365</f>
        <v>0.35890410958904112</v>
      </c>
      <c r="K60" s="3313">
        <f>'租赁台账-今典底稿'!K34</f>
        <v>313127.96500000003</v>
      </c>
      <c r="L60" s="3327">
        <f t="shared" si="6"/>
        <v>8.8000000000000007</v>
      </c>
      <c r="M60" s="3324">
        <f t="shared" si="7"/>
        <v>9.52</v>
      </c>
      <c r="N60" s="3421" t="s">
        <v>4821</v>
      </c>
      <c r="O60" s="3232"/>
    </row>
    <row r="61" spans="1:15">
      <c r="A61" s="3314" t="s">
        <v>4464</v>
      </c>
      <c r="B61" s="3314" t="s">
        <v>3653</v>
      </c>
      <c r="C61" s="3324">
        <v>68</v>
      </c>
      <c r="D61" s="3316" t="s">
        <v>3661</v>
      </c>
      <c r="E61" s="3316">
        <v>96.98</v>
      </c>
      <c r="F61" s="3310">
        <f>'租赁台账-今典底稿'!H35</f>
        <v>69.44</v>
      </c>
      <c r="G61" s="3328">
        <f t="shared" si="5"/>
        <v>0.71602392245823876</v>
      </c>
      <c r="H61" s="3311">
        <v>44636</v>
      </c>
      <c r="I61" s="3311">
        <v>45366</v>
      </c>
      <c r="J61" s="3326">
        <f>(I61-J1)/365</f>
        <v>1.3643835616438356</v>
      </c>
      <c r="K61" s="3313">
        <f>'租赁台账-今典底稿'!K35</f>
        <v>254923.935</v>
      </c>
      <c r="L61" s="3327">
        <f t="shared" si="6"/>
        <v>7.2</v>
      </c>
      <c r="M61" s="3324">
        <f t="shared" si="7"/>
        <v>10.06</v>
      </c>
      <c r="N61" s="3421" t="s">
        <v>4821</v>
      </c>
      <c r="O61" s="3232"/>
    </row>
    <row r="62" spans="1:15">
      <c r="A62" s="3314" t="s">
        <v>4464</v>
      </c>
      <c r="B62" s="3314" t="s">
        <v>3655</v>
      </c>
      <c r="C62" s="3324">
        <v>70</v>
      </c>
      <c r="D62" s="3316" t="s">
        <v>3661</v>
      </c>
      <c r="E62" s="3316">
        <v>132.96</v>
      </c>
      <c r="F62" s="3310">
        <f>'租赁台账-今典底稿'!H36</f>
        <v>122.98</v>
      </c>
      <c r="G62" s="3310">
        <f t="shared" si="5"/>
        <v>0.92493983152827919</v>
      </c>
      <c r="H62" s="3311">
        <v>44126</v>
      </c>
      <c r="I62" s="3311">
        <v>44886</v>
      </c>
      <c r="J62" s="3325">
        <f>(I62-J1)/365</f>
        <v>4.9315068493150684E-2</v>
      </c>
      <c r="K62" s="3313">
        <f>'租赁台账-今典底稿'!K36</f>
        <v>394304.99519230798</v>
      </c>
      <c r="L62" s="3327">
        <f t="shared" si="6"/>
        <v>8.1199999999999992</v>
      </c>
      <c r="M62" s="3324">
        <f t="shared" si="7"/>
        <v>8.7799999999999994</v>
      </c>
      <c r="N62" s="3421" t="s">
        <v>4821</v>
      </c>
      <c r="O62" s="3232"/>
    </row>
    <row r="63" spans="1:15">
      <c r="A63" s="3314" t="s">
        <v>4464</v>
      </c>
      <c r="B63" s="3314" t="s">
        <v>3656</v>
      </c>
      <c r="C63" s="3324">
        <v>72</v>
      </c>
      <c r="D63" s="3316" t="s">
        <v>3661</v>
      </c>
      <c r="E63" s="3316">
        <v>134.84</v>
      </c>
      <c r="F63" s="3329">
        <f>'租赁台账-今典底稿'!H37</f>
        <v>100.8</v>
      </c>
      <c r="G63" s="3328">
        <f t="shared" si="5"/>
        <v>0.74755265499851675</v>
      </c>
      <c r="H63" s="3311">
        <v>44298</v>
      </c>
      <c r="I63" s="3311">
        <v>45027</v>
      </c>
      <c r="J63" s="3325">
        <f>(I63-J1)/365</f>
        <v>0.43561643835616437</v>
      </c>
      <c r="K63" s="3313">
        <f>'租赁台账-今典底稿'!K37</f>
        <v>343407.33</v>
      </c>
      <c r="L63" s="3327">
        <f t="shared" si="6"/>
        <v>6.98</v>
      </c>
      <c r="M63" s="3324">
        <f t="shared" si="7"/>
        <v>9.33</v>
      </c>
      <c r="N63" s="3421" t="s">
        <v>4821</v>
      </c>
      <c r="O63" s="3232"/>
    </row>
    <row r="64" spans="1:15">
      <c r="A64" s="3321" t="s">
        <v>4778</v>
      </c>
      <c r="B64" s="3321"/>
      <c r="C64" s="3321"/>
      <c r="D64" s="3316"/>
      <c r="E64" s="3316">
        <f>SUM(E20:E63)</f>
        <v>11269.220000000001</v>
      </c>
      <c r="F64" s="3322">
        <f>SUM(租约整理!F20:F63)</f>
        <v>9558.4</v>
      </c>
      <c r="G64" s="3310">
        <f t="shared" si="5"/>
        <v>0.84818647608263908</v>
      </c>
      <c r="H64" s="3321"/>
      <c r="I64" s="3321"/>
      <c r="J64" s="3321"/>
      <c r="K64" s="3321"/>
      <c r="L64" s="3321"/>
      <c r="M64" s="3321"/>
      <c r="N64" s="3426"/>
      <c r="O64" s="3352"/>
    </row>
    <row r="65" spans="1:16">
      <c r="A65" s="3321" t="s">
        <v>4779</v>
      </c>
      <c r="B65" s="3321"/>
      <c r="C65" s="3321"/>
      <c r="D65" s="3316"/>
      <c r="E65" s="3364">
        <f>E64+E18</f>
        <v>14818.100000000002</v>
      </c>
      <c r="F65" s="3321"/>
      <c r="G65" s="3321"/>
      <c r="H65" s="3321"/>
      <c r="I65" s="3321"/>
      <c r="J65" s="3321"/>
      <c r="K65" s="3321"/>
      <c r="L65" s="3321"/>
      <c r="M65" s="3342"/>
      <c r="N65" s="3425" t="s">
        <v>4787</v>
      </c>
      <c r="O65" s="3353">
        <f>O64+O18</f>
        <v>0</v>
      </c>
      <c r="P65" s="3354">
        <f>ROUND(O65/E65*10000,0)</f>
        <v>0</v>
      </c>
    </row>
    <row r="66" spans="1:16">
      <c r="E66" s="3356">
        <f>E65-E64</f>
        <v>3548.880000000001</v>
      </c>
      <c r="N66" s="3425" t="s">
        <v>4756</v>
      </c>
      <c r="O66" s="3353" t="e">
        <f>[2]汇总表!$M$1</f>
        <v>#REF!</v>
      </c>
      <c r="P66" s="3355" t="e">
        <f>O65+O66</f>
        <v>#REF!</v>
      </c>
    </row>
  </sheetData>
  <mergeCells count="88">
    <mergeCell ref="K58:K59"/>
    <mergeCell ref="L58:L59"/>
    <mergeCell ref="M58:M59"/>
    <mergeCell ref="P2:P6"/>
    <mergeCell ref="K44:K45"/>
    <mergeCell ref="L44:L45"/>
    <mergeCell ref="L39:L40"/>
    <mergeCell ref="M44:M45"/>
    <mergeCell ref="L3:L4"/>
    <mergeCell ref="K20:K21"/>
    <mergeCell ref="L20:L21"/>
    <mergeCell ref="M20:M21"/>
    <mergeCell ref="K22:K23"/>
    <mergeCell ref="L22:L24"/>
    <mergeCell ref="M22:M23"/>
    <mergeCell ref="M31:M32"/>
    <mergeCell ref="H2:I2"/>
    <mergeCell ref="G3:G4"/>
    <mergeCell ref="A3:A4"/>
    <mergeCell ref="B3:B4"/>
    <mergeCell ref="C3:C4"/>
    <mergeCell ref="D3:D4"/>
    <mergeCell ref="E3:E4"/>
    <mergeCell ref="G22:G24"/>
    <mergeCell ref="H22:H23"/>
    <mergeCell ref="I22:I23"/>
    <mergeCell ref="J22:J23"/>
    <mergeCell ref="F16:F17"/>
    <mergeCell ref="G16:G17"/>
    <mergeCell ref="H19:I19"/>
    <mergeCell ref="F20:F21"/>
    <mergeCell ref="G20:G21"/>
    <mergeCell ref="H20:H21"/>
    <mergeCell ref="I20:I21"/>
    <mergeCell ref="J20:J21"/>
    <mergeCell ref="A36:A38"/>
    <mergeCell ref="A23:A24"/>
    <mergeCell ref="B23:B24"/>
    <mergeCell ref="E23:E24"/>
    <mergeCell ref="F25:F26"/>
    <mergeCell ref="B36:B38"/>
    <mergeCell ref="F22:F23"/>
    <mergeCell ref="G25:G26"/>
    <mergeCell ref="L36:L38"/>
    <mergeCell ref="H31:H32"/>
    <mergeCell ref="I31:I32"/>
    <mergeCell ref="J31:J32"/>
    <mergeCell ref="A39:A40"/>
    <mergeCell ref="M25:M26"/>
    <mergeCell ref="A27:A28"/>
    <mergeCell ref="B27:B28"/>
    <mergeCell ref="D27:D28"/>
    <mergeCell ref="E27:E28"/>
    <mergeCell ref="G27:G28"/>
    <mergeCell ref="L27:L28"/>
    <mergeCell ref="H25:H26"/>
    <mergeCell ref="I25:I26"/>
    <mergeCell ref="J25:J26"/>
    <mergeCell ref="K25:K26"/>
    <mergeCell ref="L25:L26"/>
    <mergeCell ref="L31:L32"/>
    <mergeCell ref="K31:K32"/>
    <mergeCell ref="B39:B40"/>
    <mergeCell ref="D39:D40"/>
    <mergeCell ref="E39:E40"/>
    <mergeCell ref="G39:G40"/>
    <mergeCell ref="F31:F32"/>
    <mergeCell ref="G31:G32"/>
    <mergeCell ref="D36:D38"/>
    <mergeCell ref="E36:E38"/>
    <mergeCell ref="G36:G38"/>
    <mergeCell ref="F58:F59"/>
    <mergeCell ref="G58:G59"/>
    <mergeCell ref="H58:H59"/>
    <mergeCell ref="I58:I59"/>
    <mergeCell ref="J58:J59"/>
    <mergeCell ref="F44:F45"/>
    <mergeCell ref="G44:G45"/>
    <mergeCell ref="H44:H45"/>
    <mergeCell ref="I44:I45"/>
    <mergeCell ref="J44:J45"/>
    <mergeCell ref="P18:P19"/>
    <mergeCell ref="P15:P16"/>
    <mergeCell ref="Q15:Q16"/>
    <mergeCell ref="R15:R16"/>
    <mergeCell ref="W15:W21"/>
    <mergeCell ref="Q18:Q19"/>
    <mergeCell ref="R18:R19"/>
  </mergeCells>
  <phoneticPr fontId="140" type="noConversion"/>
  <pageMargins left="0.7" right="0.7" top="0.75" bottom="0.75" header="0.3" footer="0.3"/>
  <pageSetup paperSize="9" orientation="portrait" horizontalDpi="0" verticalDpi="0"/>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2:H23"/>
  <sheetViews>
    <sheetView topLeftCell="A13" workbookViewId="0">
      <selection activeCell="J18" sqref="J18"/>
    </sheetView>
  </sheetViews>
  <sheetFormatPr defaultColWidth="8.875" defaultRowHeight="14.25"/>
  <cols>
    <col min="8" max="8" width="12" customWidth="1"/>
  </cols>
  <sheetData>
    <row r="2" spans="8:8">
      <c r="H2">
        <f>ROUND((6*365*0.9)/43000,2)</f>
        <v>0.05</v>
      </c>
    </row>
    <row r="23" spans="8:8">
      <c r="H23">
        <f>ROUND((6*365*0.9)/33000,3)</f>
        <v>0.06</v>
      </c>
    </row>
  </sheetData>
  <phoneticPr fontId="27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25"/>
  <sheetViews>
    <sheetView tabSelected="1" topLeftCell="A15" workbookViewId="0">
      <selection activeCell="E21" sqref="E21"/>
    </sheetView>
  </sheetViews>
  <sheetFormatPr defaultColWidth="15.625" defaultRowHeight="14.25"/>
  <sheetData>
    <row r="1" spans="1:6" hidden="1"/>
    <row r="2" spans="1:6" hidden="1">
      <c r="A2" t="s">
        <v>5681</v>
      </c>
      <c r="B2" t="s">
        <v>5682</v>
      </c>
      <c r="C2" t="s">
        <v>5692</v>
      </c>
      <c r="D2" t="s">
        <v>5696</v>
      </c>
      <c r="E2" t="s">
        <v>5693</v>
      </c>
      <c r="F2" t="s">
        <v>5694</v>
      </c>
    </row>
    <row r="3" spans="1:6" hidden="1">
      <c r="A3" t="s">
        <v>5689</v>
      </c>
      <c r="B3" t="s">
        <v>5685</v>
      </c>
      <c r="C3">
        <v>10132.52</v>
      </c>
      <c r="E3">
        <f>[4]车位标准户型修正!$J$1</f>
        <v>3958</v>
      </c>
      <c r="F3">
        <f>ROUND(E3*10000/C3,0)</f>
        <v>3906</v>
      </c>
    </row>
    <row r="4" spans="1:6" hidden="1">
      <c r="A4" t="s">
        <v>5688</v>
      </c>
      <c r="B4" t="s">
        <v>5685</v>
      </c>
      <c r="C4">
        <v>2442.6</v>
      </c>
      <c r="E4">
        <f>[4]车位标准户型修正!$U$1</f>
        <v>920</v>
      </c>
      <c r="F4">
        <f>ROUND(E4*10000/C4,0)</f>
        <v>3766</v>
      </c>
    </row>
    <row r="5" spans="1:6" hidden="1">
      <c r="B5" t="s">
        <v>5683</v>
      </c>
      <c r="C5">
        <v>11269.22</v>
      </c>
      <c r="D5">
        <f>C5</f>
        <v>11269.22</v>
      </c>
      <c r="E5">
        <f ca="1">商业标准户型修正!K42</f>
        <v>41198</v>
      </c>
      <c r="F5">
        <f ca="1">ROUND(E5*10000/C5,0)</f>
        <v>36558</v>
      </c>
    </row>
    <row r="6" spans="1:6" hidden="1">
      <c r="A6" t="s">
        <v>5695</v>
      </c>
      <c r="B6" t="s">
        <v>5691</v>
      </c>
      <c r="C6">
        <f>SUM(C4:C5)</f>
        <v>13711.82</v>
      </c>
      <c r="E6">
        <f ca="1">E5+E4</f>
        <v>42118</v>
      </c>
      <c r="F6" t="s">
        <v>5691</v>
      </c>
    </row>
    <row r="7" spans="1:6" hidden="1">
      <c r="A7" t="s">
        <v>5687</v>
      </c>
      <c r="B7" t="s">
        <v>5683</v>
      </c>
      <c r="C7">
        <v>2635.44</v>
      </c>
      <c r="D7">
        <f>C7</f>
        <v>2635.44</v>
      </c>
      <c r="E7">
        <f ca="1">商业标准户型修正!K57-商业标准户型修正!K56</f>
        <v>12478</v>
      </c>
      <c r="F7">
        <f ca="1">ROUND(E7*10000/C7,0)</f>
        <v>47347</v>
      </c>
    </row>
    <row r="8" spans="1:6" hidden="1">
      <c r="B8" t="s">
        <v>5684</v>
      </c>
      <c r="C8">
        <v>913.44</v>
      </c>
      <c r="D8">
        <f>C8</f>
        <v>913.44</v>
      </c>
      <c r="E8">
        <f ca="1">商业标准户型修正!K56</f>
        <v>2147</v>
      </c>
      <c r="F8" s="3435">
        <f ca="1">商业标准户型修正!J56</f>
        <v>23500</v>
      </c>
    </row>
    <row r="9" spans="1:6" hidden="1">
      <c r="B9" t="s">
        <v>5685</v>
      </c>
      <c r="C9">
        <v>1742.45</v>
      </c>
      <c r="E9">
        <f>ROUND([4]车位标准户型修正!$AF$1,0)</f>
        <v>659</v>
      </c>
      <c r="F9">
        <f>ROUND(E9*10000/C9,0)</f>
        <v>3782</v>
      </c>
    </row>
    <row r="10" spans="1:6" hidden="1">
      <c r="A10" t="s">
        <v>5695</v>
      </c>
      <c r="B10" t="s">
        <v>5691</v>
      </c>
      <c r="C10">
        <f>SUM(C7:C9)</f>
        <v>5291.33</v>
      </c>
      <c r="E10">
        <f ca="1">SUM(E7:E9)</f>
        <v>15284</v>
      </c>
      <c r="F10" t="s">
        <v>5691</v>
      </c>
    </row>
    <row r="11" spans="1:6" hidden="1">
      <c r="A11" t="s">
        <v>5686</v>
      </c>
      <c r="B11" t="s">
        <v>5685</v>
      </c>
      <c r="C11">
        <v>22562.87</v>
      </c>
      <c r="E11">
        <f>[4]车位标准户型修正!$AQ$1</f>
        <v>8982</v>
      </c>
      <c r="F11">
        <f>ROUND(E11*10000/C11,0)</f>
        <v>3981</v>
      </c>
    </row>
    <row r="12" spans="1:6" hidden="1">
      <c r="A12" t="s">
        <v>5690</v>
      </c>
      <c r="B12" t="s">
        <v>5691</v>
      </c>
      <c r="C12">
        <f>C3+C6+C10+C11</f>
        <v>51698.539999999994</v>
      </c>
      <c r="E12">
        <f ca="1">ROUND(E3+E6+E10+E11,0)</f>
        <v>70342</v>
      </c>
      <c r="F12">
        <f ca="1">ROUND(E12*10000/C12,0)</f>
        <v>13606</v>
      </c>
    </row>
    <row r="13" spans="1:6" hidden="1"/>
    <row r="14" spans="1:6" ht="15" hidden="1" thickBot="1"/>
    <row r="15" spans="1:6" ht="15" thickBot="1"/>
    <row r="16" spans="1:6" ht="15" thickTop="1">
      <c r="A16" s="3436" t="s">
        <v>4452</v>
      </c>
      <c r="B16" s="3437" t="s">
        <v>5697</v>
      </c>
      <c r="C16" s="3437" t="s">
        <v>1085</v>
      </c>
      <c r="D16" s="3437" t="s">
        <v>5698</v>
      </c>
    </row>
    <row r="17" spans="1:4" ht="28.5" customHeight="1">
      <c r="A17" s="3438" t="s">
        <v>5699</v>
      </c>
      <c r="B17" s="3439">
        <v>14818.1</v>
      </c>
      <c r="C17" s="3439">
        <v>55663</v>
      </c>
      <c r="D17" s="3439">
        <f>ROUND(C17*10000/B17,0)</f>
        <v>37564</v>
      </c>
    </row>
    <row r="18" spans="1:4" ht="20.25" customHeight="1">
      <c r="A18" s="3438" t="s">
        <v>5700</v>
      </c>
      <c r="B18" s="3439">
        <v>36880.44</v>
      </c>
      <c r="C18" s="3439">
        <v>14519</v>
      </c>
      <c r="D18" s="3439">
        <f>ROUND(C18*10000/B18,0)</f>
        <v>3937</v>
      </c>
    </row>
    <row r="19" spans="1:4" ht="24" customHeight="1" thickBot="1">
      <c r="A19" s="3440" t="s">
        <v>37</v>
      </c>
      <c r="B19" s="3441">
        <v>51698.54</v>
      </c>
      <c r="C19" s="3441">
        <v>70182</v>
      </c>
      <c r="D19" s="3441" t="s">
        <v>4717</v>
      </c>
    </row>
    <row r="20" spans="1:4" ht="15.75" thickTop="1" thickBot="1"/>
    <row r="21" spans="1:4" ht="15" thickTop="1">
      <c r="A21" s="3436" t="s">
        <v>4452</v>
      </c>
      <c r="B21" s="3437" t="s">
        <v>5697</v>
      </c>
      <c r="C21" s="3437" t="s">
        <v>1085</v>
      </c>
      <c r="D21" s="3437" t="s">
        <v>5698</v>
      </c>
    </row>
    <row r="22" spans="1:4">
      <c r="A22" s="3438" t="s">
        <v>5699</v>
      </c>
      <c r="B22" s="3439">
        <v>14818.1</v>
      </c>
      <c r="C22" s="3439">
        <v>55663</v>
      </c>
      <c r="D22" s="3439">
        <f>ROUND(C22*10000/B22,0)</f>
        <v>37564</v>
      </c>
    </row>
    <row r="23" spans="1:4">
      <c r="A23" s="3438" t="s">
        <v>5700</v>
      </c>
      <c r="B23" s="3439">
        <v>36880.44</v>
      </c>
      <c r="C23" s="3444">
        <f>14519+319</f>
        <v>14838</v>
      </c>
      <c r="D23" s="3439">
        <f>ROUND(C23*10000/B23,0)</f>
        <v>4023</v>
      </c>
    </row>
    <row r="24" spans="1:4" ht="15" thickBot="1">
      <c r="A24" s="3440" t="s">
        <v>37</v>
      </c>
      <c r="B24" s="3441">
        <v>51698.54</v>
      </c>
      <c r="C24" s="3445">
        <f>C22+C23</f>
        <v>70501</v>
      </c>
      <c r="D24" s="3441" t="s">
        <v>4717</v>
      </c>
    </row>
    <row r="25" spans="1:4" ht="15" thickTop="1"/>
  </sheetData>
  <phoneticPr fontId="27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2">
    <tabColor rgb="FFFF0000"/>
  </sheetPr>
  <dimension ref="A2:Y60"/>
  <sheetViews>
    <sheetView topLeftCell="A46" workbookViewId="0">
      <selection activeCell="E17" sqref="E17"/>
    </sheetView>
  </sheetViews>
  <sheetFormatPr defaultColWidth="10.875" defaultRowHeight="14.25"/>
  <cols>
    <col min="1" max="2" width="6.875" style="3377" customWidth="1"/>
    <col min="3" max="3" width="7.625" style="3377" customWidth="1"/>
    <col min="4" max="4" width="6.625" style="3377" customWidth="1"/>
    <col min="5" max="5" width="8.375" style="3402" customWidth="1"/>
    <col min="6" max="6" width="8.625" style="3377" customWidth="1"/>
    <col min="7" max="7" width="8.625" style="3377" hidden="1" customWidth="1"/>
    <col min="8" max="8" width="11.125" style="3377" hidden="1" customWidth="1"/>
    <col min="9" max="9" width="7.875" style="3402" hidden="1" customWidth="1"/>
    <col min="10" max="10" width="8.125" style="3430" customWidth="1"/>
    <col min="11" max="11" width="7.625" style="3430" customWidth="1"/>
    <col min="12" max="12" width="5.625" style="3377" customWidth="1"/>
    <col min="13" max="13" width="8.625" style="3377" customWidth="1"/>
    <col min="14" max="16384" width="10.875" style="3377"/>
  </cols>
  <sheetData>
    <row r="2" spans="1:25">
      <c r="A2" s="3388" t="s">
        <v>4837</v>
      </c>
      <c r="B2" s="3380" t="s">
        <v>5591</v>
      </c>
      <c r="C2" s="3374" t="s">
        <v>4675</v>
      </c>
      <c r="D2" s="3374" t="s">
        <v>4445</v>
      </c>
      <c r="E2" s="3401" t="s">
        <v>5594</v>
      </c>
      <c r="F2" s="3374" t="s">
        <v>4677</v>
      </c>
      <c r="G2" s="3400" t="s">
        <v>5650</v>
      </c>
      <c r="H2" s="3374" t="s">
        <v>5592</v>
      </c>
      <c r="I2" s="3401" t="s">
        <v>5593</v>
      </c>
      <c r="J2" s="3427" t="s">
        <v>4719</v>
      </c>
      <c r="K2" s="3427" t="s">
        <v>4720</v>
      </c>
      <c r="M2" s="3430" t="s">
        <v>5600</v>
      </c>
    </row>
    <row r="3" spans="1:25">
      <c r="A3" s="3387">
        <v>1</v>
      </c>
      <c r="B3" s="3380" t="s">
        <v>4464</v>
      </c>
      <c r="C3" s="3374" t="s">
        <v>3621</v>
      </c>
      <c r="D3" s="3375" t="s">
        <v>3661</v>
      </c>
      <c r="E3" s="3375">
        <v>1</v>
      </c>
      <c r="F3" s="3375">
        <v>59.26</v>
      </c>
      <c r="G3" s="3379">
        <v>1</v>
      </c>
      <c r="H3" s="3386" t="s">
        <v>5596</v>
      </c>
      <c r="I3" s="3375">
        <v>1</v>
      </c>
      <c r="J3" s="3427">
        <f ca="1">ROUND($M$3*G3*E3*I3,0)</f>
        <v>58749</v>
      </c>
      <c r="K3" s="3427">
        <f ca="1">ROUND(F3*J3/10000,0)</f>
        <v>348</v>
      </c>
      <c r="M3" s="3430">
        <f ca="1">'结果表-商业'!G20</f>
        <v>58749</v>
      </c>
    </row>
    <row r="4" spans="1:25">
      <c r="A4" s="3387">
        <v>2</v>
      </c>
      <c r="B4" s="3380" t="s">
        <v>4464</v>
      </c>
      <c r="C4" s="3374" t="s">
        <v>3629</v>
      </c>
      <c r="D4" s="3375" t="s">
        <v>3661</v>
      </c>
      <c r="E4" s="3375">
        <v>1</v>
      </c>
      <c r="F4" s="3375">
        <v>57.21</v>
      </c>
      <c r="G4" s="3375">
        <v>1</v>
      </c>
      <c r="H4" s="3375" t="s">
        <v>5597</v>
      </c>
      <c r="I4" s="3375">
        <f>O21</f>
        <v>0.98</v>
      </c>
      <c r="J4" s="3427">
        <f t="shared" ref="J4:J41" ca="1" si="0">ROUND($M$3*G4*E4*I4,0)</f>
        <v>57574</v>
      </c>
      <c r="K4" s="3427">
        <f t="shared" ref="K4:K41" ca="1" si="1">ROUND(F4*J4/10000,0)</f>
        <v>329</v>
      </c>
      <c r="M4" s="3430"/>
      <c r="N4" s="3430"/>
      <c r="O4" s="3430"/>
      <c r="P4" s="3430"/>
    </row>
    <row r="5" spans="1:25">
      <c r="A5" s="3387">
        <v>3</v>
      </c>
      <c r="B5" s="3380" t="s">
        <v>4464</v>
      </c>
      <c r="C5" s="3374" t="s">
        <v>3639</v>
      </c>
      <c r="D5" s="3375" t="s">
        <v>3661</v>
      </c>
      <c r="E5" s="3375">
        <v>1</v>
      </c>
      <c r="F5" s="3375">
        <v>51.67</v>
      </c>
      <c r="G5" s="3379">
        <v>1</v>
      </c>
      <c r="H5" s="3386" t="s">
        <v>5596</v>
      </c>
      <c r="I5" s="3375">
        <v>1</v>
      </c>
      <c r="J5" s="3427">
        <f t="shared" ca="1" si="0"/>
        <v>58749</v>
      </c>
      <c r="K5" s="3427">
        <f t="shared" ca="1" si="1"/>
        <v>304</v>
      </c>
      <c r="M5" s="3430" t="s">
        <v>5658</v>
      </c>
      <c r="N5" s="3430" t="s">
        <v>5661</v>
      </c>
      <c r="O5" s="3430" t="s">
        <v>5650</v>
      </c>
      <c r="P5" s="3430"/>
    </row>
    <row r="6" spans="1:25">
      <c r="A6" s="3387">
        <v>4</v>
      </c>
      <c r="B6" s="3381" t="s">
        <v>4464</v>
      </c>
      <c r="C6" s="3378" t="s">
        <v>3644</v>
      </c>
      <c r="D6" s="3375" t="s">
        <v>3662</v>
      </c>
      <c r="E6" s="3379">
        <v>0.6</v>
      </c>
      <c r="F6" s="3379">
        <v>1514.57</v>
      </c>
      <c r="G6" s="3379">
        <v>0.98</v>
      </c>
      <c r="H6" s="3386" t="s">
        <v>5596</v>
      </c>
      <c r="I6" s="3379">
        <v>1</v>
      </c>
      <c r="J6" s="3427">
        <f t="shared" ca="1" si="0"/>
        <v>34544</v>
      </c>
      <c r="K6" s="3427">
        <f t="shared" ca="1" si="1"/>
        <v>5232</v>
      </c>
      <c r="M6" s="3430"/>
      <c r="N6" s="3430">
        <v>1</v>
      </c>
      <c r="O6" s="3430">
        <f>租约整理!R15</f>
        <v>1</v>
      </c>
      <c r="P6" s="3430"/>
    </row>
    <row r="7" spans="1:25">
      <c r="A7" s="3387">
        <v>5</v>
      </c>
      <c r="B7" s="3380" t="s">
        <v>4464</v>
      </c>
      <c r="C7" s="3374" t="s">
        <v>3649</v>
      </c>
      <c r="D7" s="3375" t="s">
        <v>3661</v>
      </c>
      <c r="E7" s="3375">
        <v>1</v>
      </c>
      <c r="F7" s="3375">
        <v>42.57</v>
      </c>
      <c r="G7" s="3375">
        <v>1</v>
      </c>
      <c r="H7" s="3375" t="s">
        <v>5597</v>
      </c>
      <c r="I7" s="3375">
        <f>$I$4</f>
        <v>0.98</v>
      </c>
      <c r="J7" s="3427">
        <f t="shared" ca="1" si="0"/>
        <v>57574</v>
      </c>
      <c r="K7" s="3427">
        <f t="shared" ca="1" si="1"/>
        <v>245</v>
      </c>
      <c r="M7" s="3430"/>
      <c r="N7" s="3430" t="s">
        <v>5659</v>
      </c>
      <c r="O7" s="3430">
        <f>租约整理!R17</f>
        <v>0.6</v>
      </c>
      <c r="P7" s="3430"/>
    </row>
    <row r="8" spans="1:25">
      <c r="A8" s="3387">
        <v>6</v>
      </c>
      <c r="B8" s="3380" t="s">
        <v>4464</v>
      </c>
      <c r="C8" s="3374" t="s">
        <v>3658</v>
      </c>
      <c r="D8" s="3375" t="s">
        <v>3661</v>
      </c>
      <c r="E8" s="3375">
        <v>1</v>
      </c>
      <c r="F8" s="3375">
        <v>46.34</v>
      </c>
      <c r="G8" s="3375">
        <v>1</v>
      </c>
      <c r="H8" s="3375" t="str">
        <f>H7</f>
        <v>商业街商铺</v>
      </c>
      <c r="I8" s="3375">
        <f>$I$4</f>
        <v>0.98</v>
      </c>
      <c r="J8" s="3427">
        <f t="shared" ca="1" si="0"/>
        <v>57574</v>
      </c>
      <c r="K8" s="3427">
        <f t="shared" ca="1" si="1"/>
        <v>267</v>
      </c>
      <c r="M8" s="3430"/>
      <c r="N8" s="3430" t="s">
        <v>5660</v>
      </c>
      <c r="O8" s="3430">
        <f>租约整理!R18</f>
        <v>0.8</v>
      </c>
      <c r="P8" s="3430"/>
    </row>
    <row r="9" spans="1:25">
      <c r="A9" s="3373">
        <v>7</v>
      </c>
      <c r="B9" s="3378" t="s">
        <v>4464</v>
      </c>
      <c r="C9" s="3378" t="s">
        <v>3654</v>
      </c>
      <c r="D9" s="3379" t="s">
        <v>3662</v>
      </c>
      <c r="E9" s="3379">
        <v>0.6</v>
      </c>
      <c r="F9" s="3379">
        <v>1245.71</v>
      </c>
      <c r="G9" s="3379">
        <v>0.98</v>
      </c>
      <c r="H9" s="3386" t="s">
        <v>5596</v>
      </c>
      <c r="I9" s="3379">
        <v>1</v>
      </c>
      <c r="J9" s="3427">
        <f t="shared" ca="1" si="0"/>
        <v>34544</v>
      </c>
      <c r="K9" s="3427">
        <f t="shared" ca="1" si="1"/>
        <v>4303</v>
      </c>
      <c r="M9" s="3430"/>
      <c r="N9" s="3430">
        <v>-1</v>
      </c>
      <c r="O9" s="3430">
        <f>租约整理!R20</f>
        <v>0.4</v>
      </c>
      <c r="P9" s="3430"/>
    </row>
    <row r="10" spans="1:25">
      <c r="A10" s="3387">
        <v>8</v>
      </c>
      <c r="B10" s="3380" t="s">
        <v>4464</v>
      </c>
      <c r="C10" s="3374" t="s">
        <v>3659</v>
      </c>
      <c r="D10" s="3375" t="s">
        <v>3661</v>
      </c>
      <c r="E10" s="3375">
        <v>1</v>
      </c>
      <c r="F10" s="3375">
        <v>10.93</v>
      </c>
      <c r="G10" s="3379">
        <v>1</v>
      </c>
      <c r="H10" s="3386" t="s">
        <v>5596</v>
      </c>
      <c r="I10" s="3375">
        <v>1</v>
      </c>
      <c r="J10" s="3427">
        <f t="shared" ca="1" si="0"/>
        <v>58749</v>
      </c>
      <c r="K10" s="3427">
        <f t="shared" ca="1" si="1"/>
        <v>64</v>
      </c>
      <c r="M10" s="3430"/>
      <c r="N10" s="3430"/>
      <c r="O10" s="3430"/>
      <c r="P10" s="3430"/>
    </row>
    <row r="11" spans="1:25">
      <c r="A11" s="3387">
        <v>9</v>
      </c>
      <c r="B11" s="3380" t="s">
        <v>4464</v>
      </c>
      <c r="C11" s="3374" t="s">
        <v>3622</v>
      </c>
      <c r="D11" s="3375" t="s">
        <v>3661</v>
      </c>
      <c r="E11" s="3375">
        <v>1</v>
      </c>
      <c r="F11" s="3375">
        <v>132.02000000000001</v>
      </c>
      <c r="G11" s="3375">
        <v>1.02</v>
      </c>
      <c r="H11" s="3375" t="str">
        <f>H8</f>
        <v>商业街商铺</v>
      </c>
      <c r="I11" s="3375">
        <f t="shared" ref="I11:I12" si="2">$I$4</f>
        <v>0.98</v>
      </c>
      <c r="J11" s="3427">
        <f t="shared" ca="1" si="0"/>
        <v>58726</v>
      </c>
      <c r="K11" s="3427">
        <f t="shared" ca="1" si="1"/>
        <v>775</v>
      </c>
      <c r="M11" s="3430" t="s">
        <v>5662</v>
      </c>
      <c r="N11" s="3430" t="s">
        <v>5651</v>
      </c>
      <c r="O11" s="3430" t="s">
        <v>5650</v>
      </c>
      <c r="P11" s="3430" t="s">
        <v>5650</v>
      </c>
      <c r="R11" s="3430" t="s">
        <v>5677</v>
      </c>
      <c r="S11" s="3430" t="s">
        <v>5671</v>
      </c>
      <c r="T11" s="3430" t="s">
        <v>5672</v>
      </c>
      <c r="U11" s="3430" t="s">
        <v>5673</v>
      </c>
      <c r="V11" s="3430" t="s">
        <v>5674</v>
      </c>
      <c r="W11" s="3430" t="s">
        <v>5675</v>
      </c>
      <c r="X11" s="3430" t="s">
        <v>5676</v>
      </c>
      <c r="Y11" s="3430" t="s">
        <v>5667</v>
      </c>
    </row>
    <row r="12" spans="1:25">
      <c r="A12" s="3387">
        <v>10</v>
      </c>
      <c r="B12" s="3380" t="s">
        <v>4464</v>
      </c>
      <c r="C12" s="3374" t="s">
        <v>3623</v>
      </c>
      <c r="D12" s="3375" t="s">
        <v>3661</v>
      </c>
      <c r="E12" s="3375">
        <v>1</v>
      </c>
      <c r="F12" s="3375">
        <v>44.26</v>
      </c>
      <c r="G12" s="3375">
        <v>1</v>
      </c>
      <c r="H12" s="3375" t="str">
        <f>H11</f>
        <v>商业街商铺</v>
      </c>
      <c r="I12" s="3375">
        <f t="shared" si="2"/>
        <v>0.98</v>
      </c>
      <c r="J12" s="3427">
        <f t="shared" ca="1" si="0"/>
        <v>57574</v>
      </c>
      <c r="K12" s="3427">
        <f t="shared" ca="1" si="1"/>
        <v>255</v>
      </c>
      <c r="M12" s="3430"/>
      <c r="N12" s="3430" t="s">
        <v>5666</v>
      </c>
      <c r="O12" s="3430">
        <v>96</v>
      </c>
      <c r="P12" s="3430">
        <v>1</v>
      </c>
      <c r="R12" s="3430" t="str">
        <f>P11</f>
        <v>修正系数</v>
      </c>
      <c r="S12" s="3430">
        <f>P12</f>
        <v>1</v>
      </c>
      <c r="T12" s="3430">
        <f>P13</f>
        <v>1.02</v>
      </c>
      <c r="U12" s="3430">
        <f>P14</f>
        <v>1.04</v>
      </c>
      <c r="V12" s="3430">
        <f>P15</f>
        <v>1.02</v>
      </c>
      <c r="W12" s="3430">
        <f>P16</f>
        <v>1</v>
      </c>
      <c r="X12" s="3430">
        <f>P17</f>
        <v>0.98</v>
      </c>
      <c r="Y12" s="3430">
        <f>P18</f>
        <v>0.96</v>
      </c>
    </row>
    <row r="13" spans="1:25">
      <c r="A13" s="3387">
        <v>11</v>
      </c>
      <c r="B13" s="3380" t="s">
        <v>4464</v>
      </c>
      <c r="C13" s="3374" t="s">
        <v>3626</v>
      </c>
      <c r="D13" s="3375" t="s">
        <v>3661</v>
      </c>
      <c r="E13" s="3375">
        <v>1</v>
      </c>
      <c r="F13" s="3375">
        <v>120.17</v>
      </c>
      <c r="G13" s="3379">
        <v>1.02</v>
      </c>
      <c r="H13" s="3386" t="s">
        <v>5596</v>
      </c>
      <c r="I13" s="3375">
        <v>1</v>
      </c>
      <c r="J13" s="3427">
        <f t="shared" ca="1" si="0"/>
        <v>59924</v>
      </c>
      <c r="K13" s="3427">
        <f t="shared" ca="1" si="1"/>
        <v>720</v>
      </c>
      <c r="M13" s="3430"/>
      <c r="N13" s="3430" t="s">
        <v>5657</v>
      </c>
      <c r="O13" s="3430">
        <v>98</v>
      </c>
      <c r="P13" s="3430">
        <v>1.02</v>
      </c>
      <c r="R13" s="3430"/>
      <c r="S13" s="3430"/>
      <c r="T13" s="3430"/>
      <c r="U13" s="3430"/>
      <c r="V13" s="3430"/>
      <c r="W13" s="3430"/>
      <c r="X13" s="3430"/>
      <c r="Y13" s="3430"/>
    </row>
    <row r="14" spans="1:25">
      <c r="A14" s="3387">
        <v>12</v>
      </c>
      <c r="B14" s="3380" t="s">
        <v>4464</v>
      </c>
      <c r="C14" s="3374" t="s">
        <v>3624</v>
      </c>
      <c r="D14" s="3375" t="s">
        <v>3661</v>
      </c>
      <c r="E14" s="3375">
        <v>1</v>
      </c>
      <c r="F14" s="3375">
        <v>46.9</v>
      </c>
      <c r="G14" s="3375">
        <v>1</v>
      </c>
      <c r="H14" s="3375" t="s">
        <v>5597</v>
      </c>
      <c r="I14" s="3375">
        <f>$I$4</f>
        <v>0.98</v>
      </c>
      <c r="J14" s="3427">
        <f t="shared" ca="1" si="0"/>
        <v>57574</v>
      </c>
      <c r="K14" s="3427">
        <f t="shared" ca="1" si="1"/>
        <v>270</v>
      </c>
      <c r="M14" s="3430"/>
      <c r="N14" s="3430" t="s">
        <v>5656</v>
      </c>
      <c r="O14" s="3430">
        <v>100</v>
      </c>
      <c r="P14" s="3430">
        <v>1.04</v>
      </c>
      <c r="R14" s="3430"/>
      <c r="S14" s="3430"/>
      <c r="T14" s="3430"/>
      <c r="U14" s="3430"/>
      <c r="V14" s="3430"/>
      <c r="W14" s="3430"/>
      <c r="X14" s="3430"/>
      <c r="Y14" s="3430"/>
    </row>
    <row r="15" spans="1:25">
      <c r="A15" s="3387">
        <v>13</v>
      </c>
      <c r="B15" s="3380" t="s">
        <v>4464</v>
      </c>
      <c r="C15" s="3374" t="s">
        <v>3625</v>
      </c>
      <c r="D15" s="3375" t="s">
        <v>3661</v>
      </c>
      <c r="E15" s="3375">
        <v>1</v>
      </c>
      <c r="F15" s="3375">
        <v>45.15</v>
      </c>
      <c r="G15" s="3379">
        <v>1</v>
      </c>
      <c r="H15" s="3386" t="s">
        <v>5595</v>
      </c>
      <c r="I15" s="3375">
        <v>1</v>
      </c>
      <c r="J15" s="3427">
        <f t="shared" ca="1" si="0"/>
        <v>58749</v>
      </c>
      <c r="K15" s="3427">
        <f t="shared" ca="1" si="1"/>
        <v>265</v>
      </c>
      <c r="M15" s="3430"/>
      <c r="N15" s="3430" t="s">
        <v>5668</v>
      </c>
      <c r="O15" s="3430">
        <v>98</v>
      </c>
      <c r="P15" s="3430">
        <v>1.02</v>
      </c>
    </row>
    <row r="16" spans="1:25">
      <c r="A16" s="3387">
        <v>14</v>
      </c>
      <c r="B16" s="3380" t="s">
        <v>4464</v>
      </c>
      <c r="C16" s="3374" t="s">
        <v>3627</v>
      </c>
      <c r="D16" s="3375" t="s">
        <v>3661</v>
      </c>
      <c r="E16" s="3375">
        <v>1</v>
      </c>
      <c r="F16" s="3375">
        <v>97.45</v>
      </c>
      <c r="G16" s="3375">
        <v>1</v>
      </c>
      <c r="H16" s="3375" t="s">
        <v>5597</v>
      </c>
      <c r="I16" s="3375">
        <f>$I$4</f>
        <v>0.98</v>
      </c>
      <c r="J16" s="3427">
        <f t="shared" ca="1" si="0"/>
        <v>57574</v>
      </c>
      <c r="K16" s="3427">
        <f t="shared" ca="1" si="1"/>
        <v>561</v>
      </c>
      <c r="M16" s="3430"/>
      <c r="N16" s="3430" t="s">
        <v>5669</v>
      </c>
      <c r="O16" s="3430">
        <v>96</v>
      </c>
      <c r="P16" s="3430">
        <v>1</v>
      </c>
    </row>
    <row r="17" spans="1:16">
      <c r="A17" s="3387">
        <v>15</v>
      </c>
      <c r="B17" s="3381" t="s">
        <v>4464</v>
      </c>
      <c r="C17" s="3378" t="s">
        <v>3628</v>
      </c>
      <c r="D17" s="3379" t="s">
        <v>3662</v>
      </c>
      <c r="E17" s="3379">
        <v>0.6</v>
      </c>
      <c r="F17" s="3379">
        <v>1786.53</v>
      </c>
      <c r="G17" s="3379">
        <v>0.98</v>
      </c>
      <c r="H17" s="3386" t="s">
        <v>5595</v>
      </c>
      <c r="I17" s="3379">
        <v>1</v>
      </c>
      <c r="J17" s="3427">
        <f t="shared" ca="1" si="0"/>
        <v>34544</v>
      </c>
      <c r="K17" s="3427">
        <f t="shared" ca="1" si="1"/>
        <v>6171</v>
      </c>
      <c r="M17" s="3430"/>
      <c r="N17" s="3430" t="s">
        <v>5655</v>
      </c>
      <c r="O17" s="3430">
        <v>94</v>
      </c>
      <c r="P17" s="3430">
        <v>0.98</v>
      </c>
    </row>
    <row r="18" spans="1:16">
      <c r="A18" s="3373">
        <v>16</v>
      </c>
      <c r="B18" s="3378" t="s">
        <v>4464</v>
      </c>
      <c r="C18" s="3378" t="s">
        <v>3630</v>
      </c>
      <c r="D18" s="3379" t="s">
        <v>3661</v>
      </c>
      <c r="E18" s="3379">
        <v>1</v>
      </c>
      <c r="F18" s="3379">
        <v>87.03</v>
      </c>
      <c r="G18" s="3379">
        <v>1</v>
      </c>
      <c r="H18" s="3375" t="s">
        <v>5597</v>
      </c>
      <c r="I18" s="3375">
        <f>$I$4</f>
        <v>0.98</v>
      </c>
      <c r="J18" s="3427">
        <f t="shared" ca="1" si="0"/>
        <v>57574</v>
      </c>
      <c r="K18" s="3427">
        <f t="shared" ca="1" si="1"/>
        <v>501</v>
      </c>
      <c r="M18" s="3430"/>
      <c r="N18" s="3430" t="s">
        <v>5667</v>
      </c>
      <c r="O18" s="3430">
        <v>92</v>
      </c>
      <c r="P18" s="3430">
        <v>0.96</v>
      </c>
    </row>
    <row r="19" spans="1:16">
      <c r="A19" s="3387">
        <v>17</v>
      </c>
      <c r="B19" s="3380" t="s">
        <v>4464</v>
      </c>
      <c r="C19" s="3374" t="s">
        <v>3631</v>
      </c>
      <c r="D19" s="3375" t="s">
        <v>3661</v>
      </c>
      <c r="E19" s="3375">
        <v>1</v>
      </c>
      <c r="F19" s="3375">
        <v>123.61</v>
      </c>
      <c r="G19" s="3379">
        <v>1.02</v>
      </c>
      <c r="H19" s="3386" t="s">
        <v>5595</v>
      </c>
      <c r="I19" s="3375">
        <v>1</v>
      </c>
      <c r="J19" s="3427">
        <f t="shared" ca="1" si="0"/>
        <v>59924</v>
      </c>
      <c r="K19" s="3427">
        <f t="shared" ca="1" si="1"/>
        <v>741</v>
      </c>
      <c r="M19" s="3430"/>
      <c r="N19" s="3430"/>
      <c r="O19" s="3430"/>
      <c r="P19" s="3430"/>
    </row>
    <row r="20" spans="1:16">
      <c r="A20" s="3387">
        <v>18</v>
      </c>
      <c r="B20" s="3380" t="s">
        <v>4464</v>
      </c>
      <c r="C20" s="3374" t="s">
        <v>3632</v>
      </c>
      <c r="D20" s="3375" t="s">
        <v>3661</v>
      </c>
      <c r="E20" s="3375">
        <v>1</v>
      </c>
      <c r="F20" s="3375">
        <v>85.91</v>
      </c>
      <c r="G20" s="3375">
        <v>1</v>
      </c>
      <c r="H20" s="3375" t="s">
        <v>5597</v>
      </c>
      <c r="I20" s="3375">
        <f>$I$4</f>
        <v>0.98</v>
      </c>
      <c r="J20" s="3427">
        <f t="shared" ca="1" si="0"/>
        <v>57574</v>
      </c>
      <c r="K20" s="3427">
        <f t="shared" ca="1" si="1"/>
        <v>495</v>
      </c>
      <c r="M20" s="3430" t="s">
        <v>5663</v>
      </c>
      <c r="N20" s="3430" t="s">
        <v>5664</v>
      </c>
      <c r="O20" s="3430">
        <v>1</v>
      </c>
      <c r="P20" s="3430"/>
    </row>
    <row r="21" spans="1:16">
      <c r="A21" s="3382">
        <v>19</v>
      </c>
      <c r="B21" s="3383" t="s">
        <v>4464</v>
      </c>
      <c r="C21" s="3384" t="s">
        <v>3633</v>
      </c>
      <c r="D21" s="3385" t="s">
        <v>3661</v>
      </c>
      <c r="E21" s="3385">
        <v>1</v>
      </c>
      <c r="F21" s="3385">
        <v>58.81</v>
      </c>
      <c r="G21" s="3399">
        <v>1</v>
      </c>
      <c r="H21" s="3386" t="s">
        <v>5595</v>
      </c>
      <c r="I21" s="3385">
        <v>1</v>
      </c>
      <c r="J21" s="3429">
        <f t="shared" ca="1" si="0"/>
        <v>58749</v>
      </c>
      <c r="K21" s="3429">
        <f t="shared" ca="1" si="1"/>
        <v>346</v>
      </c>
      <c r="M21" s="3430"/>
      <c r="N21" s="3430" t="s">
        <v>5665</v>
      </c>
      <c r="O21" s="3430">
        <v>0.98</v>
      </c>
      <c r="P21" s="3430"/>
    </row>
    <row r="22" spans="1:16">
      <c r="A22" s="3387">
        <v>20</v>
      </c>
      <c r="B22" s="3380" t="s">
        <v>4464</v>
      </c>
      <c r="C22" s="3374" t="s">
        <v>3634</v>
      </c>
      <c r="D22" s="3375" t="s">
        <v>3661</v>
      </c>
      <c r="E22" s="3375">
        <v>1</v>
      </c>
      <c r="F22" s="3375">
        <v>88.45</v>
      </c>
      <c r="G22" s="3375">
        <v>1</v>
      </c>
      <c r="H22" s="3375" t="s">
        <v>5597</v>
      </c>
      <c r="I22" s="3375">
        <f t="shared" ref="I22:I24" si="3">$I$4</f>
        <v>0.98</v>
      </c>
      <c r="J22" s="3427">
        <f t="shared" ca="1" si="0"/>
        <v>57574</v>
      </c>
      <c r="K22" s="3427">
        <f t="shared" ca="1" si="1"/>
        <v>509</v>
      </c>
      <c r="M22" s="3430"/>
      <c r="N22" s="3430"/>
      <c r="O22" s="3430"/>
      <c r="P22" s="3430"/>
    </row>
    <row r="23" spans="1:16">
      <c r="A23" s="3387">
        <v>21</v>
      </c>
      <c r="B23" s="3380" t="s">
        <v>4464</v>
      </c>
      <c r="C23" s="3374" t="s">
        <v>3657</v>
      </c>
      <c r="D23" s="3375" t="s">
        <v>3661</v>
      </c>
      <c r="E23" s="3375">
        <v>1</v>
      </c>
      <c r="F23" s="3375">
        <v>99.51</v>
      </c>
      <c r="G23" s="3375">
        <v>1</v>
      </c>
      <c r="H23" s="3375" t="s">
        <v>5597</v>
      </c>
      <c r="I23" s="3375">
        <f t="shared" si="3"/>
        <v>0.98</v>
      </c>
      <c r="J23" s="3427">
        <f t="shared" ca="1" si="0"/>
        <v>57574</v>
      </c>
      <c r="K23" s="3427">
        <f t="shared" ca="1" si="1"/>
        <v>573</v>
      </c>
    </row>
    <row r="24" spans="1:16">
      <c r="A24" s="3387">
        <v>22</v>
      </c>
      <c r="B24" s="3380" t="s">
        <v>4464</v>
      </c>
      <c r="C24" s="3374" t="s">
        <v>3635</v>
      </c>
      <c r="D24" s="3375" t="s">
        <v>3661</v>
      </c>
      <c r="E24" s="3375">
        <v>1</v>
      </c>
      <c r="F24" s="3375">
        <v>127.25</v>
      </c>
      <c r="G24" s="3375">
        <v>1.02</v>
      </c>
      <c r="H24" s="3375" t="s">
        <v>5597</v>
      </c>
      <c r="I24" s="3375">
        <f t="shared" si="3"/>
        <v>0.98</v>
      </c>
      <c r="J24" s="3427">
        <f t="shared" ca="1" si="0"/>
        <v>58726</v>
      </c>
      <c r="K24" s="3427">
        <f t="shared" ca="1" si="1"/>
        <v>747</v>
      </c>
    </row>
    <row r="25" spans="1:16">
      <c r="A25" s="3387">
        <v>23</v>
      </c>
      <c r="B25" s="3380" t="s">
        <v>4464</v>
      </c>
      <c r="C25" s="3374" t="s">
        <v>3636</v>
      </c>
      <c r="D25" s="3375" t="s">
        <v>3661</v>
      </c>
      <c r="E25" s="3375">
        <v>1</v>
      </c>
      <c r="F25" s="3375">
        <v>210.49</v>
      </c>
      <c r="G25" s="3379">
        <v>1.02</v>
      </c>
      <c r="H25" s="3386" t="s">
        <v>5595</v>
      </c>
      <c r="I25" s="3375">
        <v>1</v>
      </c>
      <c r="J25" s="3427">
        <f t="shared" ca="1" si="0"/>
        <v>59924</v>
      </c>
      <c r="K25" s="3427">
        <f t="shared" ca="1" si="1"/>
        <v>1261</v>
      </c>
    </row>
    <row r="26" spans="1:16">
      <c r="A26" s="3387">
        <v>24</v>
      </c>
      <c r="B26" s="3380" t="s">
        <v>4464</v>
      </c>
      <c r="C26" s="3374" t="s">
        <v>3637</v>
      </c>
      <c r="D26" s="3375" t="s">
        <v>3663</v>
      </c>
      <c r="E26" s="3375">
        <v>0.4</v>
      </c>
      <c r="F26" s="3375">
        <v>3840.45</v>
      </c>
      <c r="G26" s="3375">
        <v>0.96</v>
      </c>
      <c r="H26" s="3375" t="s">
        <v>5598</v>
      </c>
      <c r="I26" s="3375">
        <v>1</v>
      </c>
      <c r="J26" s="3427">
        <f t="shared" ca="1" si="0"/>
        <v>22560</v>
      </c>
      <c r="K26" s="3427">
        <f t="shared" ca="1" si="1"/>
        <v>8664</v>
      </c>
    </row>
    <row r="27" spans="1:16">
      <c r="A27" s="3387">
        <v>25</v>
      </c>
      <c r="B27" s="3380" t="s">
        <v>4464</v>
      </c>
      <c r="C27" s="3374" t="s">
        <v>3638</v>
      </c>
      <c r="D27" s="3375" t="s">
        <v>3661</v>
      </c>
      <c r="E27" s="3375">
        <v>1</v>
      </c>
      <c r="F27" s="3375">
        <v>129.43</v>
      </c>
      <c r="G27" s="3375">
        <v>1.02</v>
      </c>
      <c r="H27" s="3375" t="str">
        <f t="shared" ref="H27:H41" si="4">H24</f>
        <v>商业街商铺</v>
      </c>
      <c r="I27" s="3375">
        <f t="shared" ref="I27:I41" si="5">$I$4</f>
        <v>0.98</v>
      </c>
      <c r="J27" s="3427">
        <f t="shared" ca="1" si="0"/>
        <v>58726</v>
      </c>
      <c r="K27" s="3427">
        <f t="shared" ca="1" si="1"/>
        <v>760</v>
      </c>
    </row>
    <row r="28" spans="1:16">
      <c r="A28" s="3387">
        <v>26</v>
      </c>
      <c r="B28" s="3380" t="s">
        <v>4464</v>
      </c>
      <c r="C28" s="3374" t="s">
        <v>3640</v>
      </c>
      <c r="D28" s="3375" t="s">
        <v>3661</v>
      </c>
      <c r="E28" s="3375">
        <v>1</v>
      </c>
      <c r="F28" s="3375">
        <v>47.82</v>
      </c>
      <c r="G28" s="3375">
        <v>1</v>
      </c>
      <c r="H28" s="3375" t="s">
        <v>5597</v>
      </c>
      <c r="I28" s="3375">
        <f t="shared" si="5"/>
        <v>0.98</v>
      </c>
      <c r="J28" s="3427">
        <f t="shared" ca="1" si="0"/>
        <v>57574</v>
      </c>
      <c r="K28" s="3427">
        <f t="shared" ca="1" si="1"/>
        <v>275</v>
      </c>
    </row>
    <row r="29" spans="1:16">
      <c r="A29" s="3387">
        <v>27</v>
      </c>
      <c r="B29" s="3380" t="s">
        <v>4464</v>
      </c>
      <c r="C29" s="3374" t="s">
        <v>3641</v>
      </c>
      <c r="D29" s="3375" t="s">
        <v>3661</v>
      </c>
      <c r="E29" s="3375">
        <v>1</v>
      </c>
      <c r="F29" s="3375">
        <v>58.24</v>
      </c>
      <c r="G29" s="3375">
        <v>1</v>
      </c>
      <c r="H29" s="3375" t="s">
        <v>5597</v>
      </c>
      <c r="I29" s="3375">
        <f t="shared" si="5"/>
        <v>0.98</v>
      </c>
      <c r="J29" s="3427">
        <f t="shared" ca="1" si="0"/>
        <v>57574</v>
      </c>
      <c r="K29" s="3427">
        <f t="shared" ca="1" si="1"/>
        <v>335</v>
      </c>
    </row>
    <row r="30" spans="1:16">
      <c r="A30" s="3387">
        <v>28</v>
      </c>
      <c r="B30" s="3380" t="s">
        <v>4464</v>
      </c>
      <c r="C30" s="3374" t="s">
        <v>3642</v>
      </c>
      <c r="D30" s="3375" t="s">
        <v>3661</v>
      </c>
      <c r="E30" s="3375">
        <v>1</v>
      </c>
      <c r="F30" s="3375">
        <v>80</v>
      </c>
      <c r="G30" s="3375">
        <v>1</v>
      </c>
      <c r="H30" s="3375" t="str">
        <f t="shared" si="4"/>
        <v>商业街商铺</v>
      </c>
      <c r="I30" s="3375">
        <f t="shared" si="5"/>
        <v>0.98</v>
      </c>
      <c r="J30" s="3427">
        <f t="shared" ca="1" si="0"/>
        <v>57574</v>
      </c>
      <c r="K30" s="3427">
        <f t="shared" ca="1" si="1"/>
        <v>461</v>
      </c>
    </row>
    <row r="31" spans="1:16">
      <c r="A31" s="3387">
        <v>29</v>
      </c>
      <c r="B31" s="3380" t="s">
        <v>4464</v>
      </c>
      <c r="C31" s="3374" t="s">
        <v>3643</v>
      </c>
      <c r="D31" s="3375" t="s">
        <v>3661</v>
      </c>
      <c r="E31" s="3375">
        <v>1</v>
      </c>
      <c r="F31" s="3375">
        <v>105.57</v>
      </c>
      <c r="G31" s="3375">
        <v>1.02</v>
      </c>
      <c r="H31" s="3375" t="str">
        <f t="shared" si="4"/>
        <v>商业街商铺</v>
      </c>
      <c r="I31" s="3375">
        <f t="shared" si="5"/>
        <v>0.98</v>
      </c>
      <c r="J31" s="3427">
        <f t="shared" ca="1" si="0"/>
        <v>58726</v>
      </c>
      <c r="K31" s="3427">
        <f t="shared" ca="1" si="1"/>
        <v>620</v>
      </c>
    </row>
    <row r="32" spans="1:16">
      <c r="A32" s="3387">
        <v>30</v>
      </c>
      <c r="B32" s="3380" t="s">
        <v>4464</v>
      </c>
      <c r="C32" s="3374" t="s">
        <v>3645</v>
      </c>
      <c r="D32" s="3375" t="s">
        <v>3661</v>
      </c>
      <c r="E32" s="3375">
        <v>1</v>
      </c>
      <c r="F32" s="3375">
        <v>36.78</v>
      </c>
      <c r="G32" s="3375">
        <v>1</v>
      </c>
      <c r="H32" s="3375" t="str">
        <f t="shared" si="4"/>
        <v>商业街商铺</v>
      </c>
      <c r="I32" s="3375">
        <f t="shared" si="5"/>
        <v>0.98</v>
      </c>
      <c r="J32" s="3427">
        <f t="shared" ca="1" si="0"/>
        <v>57574</v>
      </c>
      <c r="K32" s="3427">
        <f t="shared" ca="1" si="1"/>
        <v>212</v>
      </c>
    </row>
    <row r="33" spans="1:14">
      <c r="A33" s="3387">
        <v>31</v>
      </c>
      <c r="B33" s="3380" t="s">
        <v>4464</v>
      </c>
      <c r="C33" s="3374" t="s">
        <v>3646</v>
      </c>
      <c r="D33" s="3375" t="s">
        <v>3661</v>
      </c>
      <c r="E33" s="3375">
        <v>1</v>
      </c>
      <c r="F33" s="3375">
        <v>25.34</v>
      </c>
      <c r="G33" s="3375">
        <v>1</v>
      </c>
      <c r="H33" s="3375" t="str">
        <f t="shared" si="4"/>
        <v>商业街商铺</v>
      </c>
      <c r="I33" s="3375">
        <f t="shared" si="5"/>
        <v>0.98</v>
      </c>
      <c r="J33" s="3427">
        <f t="shared" ca="1" si="0"/>
        <v>57574</v>
      </c>
      <c r="K33" s="3427">
        <f t="shared" ca="1" si="1"/>
        <v>146</v>
      </c>
    </row>
    <row r="34" spans="1:14">
      <c r="A34" s="3387">
        <v>32</v>
      </c>
      <c r="B34" s="3380" t="s">
        <v>4464</v>
      </c>
      <c r="C34" s="3374" t="s">
        <v>3647</v>
      </c>
      <c r="D34" s="3375" t="s">
        <v>3661</v>
      </c>
      <c r="E34" s="3375">
        <v>1</v>
      </c>
      <c r="F34" s="3375">
        <v>78.45</v>
      </c>
      <c r="G34" s="3375">
        <v>1</v>
      </c>
      <c r="H34" s="3375" t="str">
        <f t="shared" si="4"/>
        <v>商业街商铺</v>
      </c>
      <c r="I34" s="3375">
        <f t="shared" si="5"/>
        <v>0.98</v>
      </c>
      <c r="J34" s="3427">
        <f t="shared" ca="1" si="0"/>
        <v>57574</v>
      </c>
      <c r="K34" s="3427">
        <f t="shared" ca="1" si="1"/>
        <v>452</v>
      </c>
    </row>
    <row r="35" spans="1:14">
      <c r="A35" s="3387">
        <v>33</v>
      </c>
      <c r="B35" s="3380" t="s">
        <v>4464</v>
      </c>
      <c r="C35" s="3374" t="s">
        <v>3648</v>
      </c>
      <c r="D35" s="3375" t="s">
        <v>3661</v>
      </c>
      <c r="E35" s="3375">
        <v>1</v>
      </c>
      <c r="F35" s="3375">
        <v>125.54</v>
      </c>
      <c r="G35" s="3375">
        <v>1.02</v>
      </c>
      <c r="H35" s="3375" t="str">
        <f t="shared" si="4"/>
        <v>商业街商铺</v>
      </c>
      <c r="I35" s="3375">
        <f t="shared" si="5"/>
        <v>0.98</v>
      </c>
      <c r="J35" s="3427">
        <f t="shared" ca="1" si="0"/>
        <v>58726</v>
      </c>
      <c r="K35" s="3427">
        <f t="shared" ca="1" si="1"/>
        <v>737</v>
      </c>
    </row>
    <row r="36" spans="1:14">
      <c r="A36" s="3387">
        <v>34</v>
      </c>
      <c r="B36" s="3380" t="s">
        <v>4464</v>
      </c>
      <c r="C36" s="3374" t="s">
        <v>3650</v>
      </c>
      <c r="D36" s="3375" t="s">
        <v>3661</v>
      </c>
      <c r="E36" s="3375">
        <v>1</v>
      </c>
      <c r="F36" s="3375">
        <v>48.96</v>
      </c>
      <c r="G36" s="3375">
        <v>1</v>
      </c>
      <c r="H36" s="3375" t="str">
        <f t="shared" si="4"/>
        <v>商业街商铺</v>
      </c>
      <c r="I36" s="3375">
        <f t="shared" si="5"/>
        <v>0.98</v>
      </c>
      <c r="J36" s="3427">
        <f t="shared" ca="1" si="0"/>
        <v>57574</v>
      </c>
      <c r="K36" s="3427">
        <f t="shared" ca="1" si="1"/>
        <v>282</v>
      </c>
    </row>
    <row r="37" spans="1:14">
      <c r="A37" s="3387">
        <v>35</v>
      </c>
      <c r="B37" s="3380" t="s">
        <v>4464</v>
      </c>
      <c r="C37" s="3374" t="s">
        <v>3651</v>
      </c>
      <c r="D37" s="3375" t="s">
        <v>3661</v>
      </c>
      <c r="E37" s="3375">
        <v>1</v>
      </c>
      <c r="F37" s="3375">
        <v>48.61</v>
      </c>
      <c r="G37" s="3375">
        <v>1</v>
      </c>
      <c r="H37" s="3375" t="str">
        <f t="shared" si="4"/>
        <v>商业街商铺</v>
      </c>
      <c r="I37" s="3375">
        <f t="shared" si="5"/>
        <v>0.98</v>
      </c>
      <c r="J37" s="3427">
        <f t="shared" ca="1" si="0"/>
        <v>57574</v>
      </c>
      <c r="K37" s="3427">
        <f t="shared" ca="1" si="1"/>
        <v>280</v>
      </c>
    </row>
    <row r="38" spans="1:14">
      <c r="A38" s="3387">
        <v>36</v>
      </c>
      <c r="B38" s="3380" t="s">
        <v>4464</v>
      </c>
      <c r="C38" s="3374" t="s">
        <v>3652</v>
      </c>
      <c r="D38" s="3375" t="s">
        <v>3661</v>
      </c>
      <c r="E38" s="3375">
        <v>1</v>
      </c>
      <c r="F38" s="3375">
        <v>97.45</v>
      </c>
      <c r="G38" s="3375">
        <v>1</v>
      </c>
      <c r="H38" s="3375" t="str">
        <f t="shared" si="4"/>
        <v>商业街商铺</v>
      </c>
      <c r="I38" s="3375">
        <f t="shared" si="5"/>
        <v>0.98</v>
      </c>
      <c r="J38" s="3427">
        <f t="shared" ca="1" si="0"/>
        <v>57574</v>
      </c>
      <c r="K38" s="3427">
        <f t="shared" ca="1" si="1"/>
        <v>561</v>
      </c>
    </row>
    <row r="39" spans="1:14">
      <c r="A39" s="3387">
        <v>37</v>
      </c>
      <c r="B39" s="3380" t="s">
        <v>4464</v>
      </c>
      <c r="C39" s="3374" t="s">
        <v>3653</v>
      </c>
      <c r="D39" s="3375" t="s">
        <v>3661</v>
      </c>
      <c r="E39" s="3375">
        <v>1</v>
      </c>
      <c r="F39" s="3375">
        <v>96.98</v>
      </c>
      <c r="G39" s="3375">
        <v>1</v>
      </c>
      <c r="H39" s="3375" t="str">
        <f t="shared" si="4"/>
        <v>商业街商铺</v>
      </c>
      <c r="I39" s="3375">
        <f t="shared" si="5"/>
        <v>0.98</v>
      </c>
      <c r="J39" s="3427">
        <f t="shared" ca="1" si="0"/>
        <v>57574</v>
      </c>
      <c r="K39" s="3427">
        <f t="shared" ca="1" si="1"/>
        <v>558</v>
      </c>
    </row>
    <row r="40" spans="1:14">
      <c r="A40" s="3387">
        <v>38</v>
      </c>
      <c r="B40" s="3380" t="s">
        <v>4464</v>
      </c>
      <c r="C40" s="3374" t="s">
        <v>3655</v>
      </c>
      <c r="D40" s="3375" t="s">
        <v>3661</v>
      </c>
      <c r="E40" s="3375">
        <v>1</v>
      </c>
      <c r="F40" s="3375">
        <v>132.96</v>
      </c>
      <c r="G40" s="3375">
        <v>1.02</v>
      </c>
      <c r="H40" s="3375" t="str">
        <f t="shared" si="4"/>
        <v>商业街商铺</v>
      </c>
      <c r="I40" s="3375">
        <f t="shared" si="5"/>
        <v>0.98</v>
      </c>
      <c r="J40" s="3427">
        <f t="shared" ca="1" si="0"/>
        <v>58726</v>
      </c>
      <c r="K40" s="3427">
        <f t="shared" ca="1" si="1"/>
        <v>781</v>
      </c>
    </row>
    <row r="41" spans="1:14">
      <c r="A41" s="3387">
        <v>39</v>
      </c>
      <c r="B41" s="3380" t="s">
        <v>4464</v>
      </c>
      <c r="C41" s="3374" t="s">
        <v>3656</v>
      </c>
      <c r="D41" s="3375" t="s">
        <v>3661</v>
      </c>
      <c r="E41" s="3375">
        <v>1</v>
      </c>
      <c r="F41" s="3375">
        <v>134.84</v>
      </c>
      <c r="G41" s="3375">
        <v>1.02</v>
      </c>
      <c r="H41" s="3375" t="str">
        <f t="shared" si="4"/>
        <v>商业街商铺</v>
      </c>
      <c r="I41" s="3375">
        <f t="shared" si="5"/>
        <v>0.98</v>
      </c>
      <c r="J41" s="3427">
        <f t="shared" ca="1" si="0"/>
        <v>58726</v>
      </c>
      <c r="K41" s="3427">
        <f t="shared" ca="1" si="1"/>
        <v>792</v>
      </c>
    </row>
    <row r="42" spans="1:14">
      <c r="A42" s="3581" t="s">
        <v>4778</v>
      </c>
      <c r="B42" s="3581"/>
      <c r="C42" s="3581"/>
      <c r="D42" s="3581"/>
      <c r="E42" s="3581"/>
      <c r="F42" s="3375">
        <f>SUM(F3:F41)</f>
        <v>11269.220000000001</v>
      </c>
      <c r="G42" s="3379"/>
      <c r="H42" s="3379" t="s">
        <v>4700</v>
      </c>
      <c r="I42" s="3379" t="s">
        <v>4700</v>
      </c>
      <c r="J42" s="3427" t="s">
        <v>4700</v>
      </c>
      <c r="K42" s="3428">
        <f ca="1">SUM(K3:K41)</f>
        <v>41198</v>
      </c>
      <c r="L42" s="3377" t="s">
        <v>5701</v>
      </c>
      <c r="M42" s="3402">
        <f>[4]车位标准户型修正!$P$49</f>
        <v>2442.5999999999981</v>
      </c>
      <c r="N42" s="3442">
        <f>[4]车位标准户型修正!$U$49</f>
        <v>920</v>
      </c>
    </row>
    <row r="43" spans="1:14">
      <c r="A43" s="3387">
        <v>1</v>
      </c>
      <c r="B43" s="3380" t="s">
        <v>4468</v>
      </c>
      <c r="C43" s="3374" t="s">
        <v>3190</v>
      </c>
      <c r="D43" s="3374" t="s">
        <v>3662</v>
      </c>
      <c r="E43" s="3375">
        <v>0.8</v>
      </c>
      <c r="F43" s="3375">
        <v>676.95</v>
      </c>
      <c r="G43" s="3379">
        <v>1.02</v>
      </c>
      <c r="H43" s="3379" t="s">
        <v>5599</v>
      </c>
      <c r="I43" s="3379">
        <v>1</v>
      </c>
      <c r="J43" s="3427">
        <f ca="1">ROUND($M$3*G43*E43*I43,0)</f>
        <v>47939</v>
      </c>
      <c r="K43" s="3428">
        <f ca="1">ROUND(F43*J43/10000,0)</f>
        <v>3245</v>
      </c>
      <c r="M43" s="3402">
        <f>F42+M42</f>
        <v>13711.82</v>
      </c>
      <c r="N43" s="3442">
        <f ca="1">N42+K42</f>
        <v>42118</v>
      </c>
    </row>
    <row r="44" spans="1:14" ht="24">
      <c r="A44" s="3387">
        <v>2</v>
      </c>
      <c r="B44" s="3380" t="s">
        <v>4468</v>
      </c>
      <c r="C44" s="3374" t="s">
        <v>3188</v>
      </c>
      <c r="D44" s="3374" t="s">
        <v>3662</v>
      </c>
      <c r="E44" s="3375">
        <v>0.8</v>
      </c>
      <c r="F44" s="3375">
        <v>196.66</v>
      </c>
      <c r="G44" s="3379">
        <v>1.02</v>
      </c>
      <c r="H44" s="3379" t="s">
        <v>5599</v>
      </c>
      <c r="I44" s="3375">
        <v>1</v>
      </c>
      <c r="J44" s="3427">
        <f t="shared" ref="J44:J56" ca="1" si="6">ROUND($M$3*G44*E44*I44,0)</f>
        <v>47939</v>
      </c>
      <c r="K44" s="3428">
        <f t="shared" ref="K44:K56" ca="1" si="7">ROUND(F44*J44/10000,0)</f>
        <v>943</v>
      </c>
    </row>
    <row r="45" spans="1:14">
      <c r="A45" s="3387">
        <v>3</v>
      </c>
      <c r="B45" s="3380" t="s">
        <v>4468</v>
      </c>
      <c r="C45" s="3374" t="s">
        <v>4471</v>
      </c>
      <c r="D45" s="3374" t="s">
        <v>3662</v>
      </c>
      <c r="E45" s="3375">
        <v>0.8</v>
      </c>
      <c r="F45" s="3375">
        <v>193.78</v>
      </c>
      <c r="G45" s="3375">
        <v>1.02</v>
      </c>
      <c r="H45" s="3375" t="s">
        <v>5597</v>
      </c>
      <c r="I45" s="3375">
        <f t="shared" ref="I45:I54" si="8">$I$4</f>
        <v>0.98</v>
      </c>
      <c r="J45" s="3427">
        <f t="shared" ca="1" si="6"/>
        <v>46980</v>
      </c>
      <c r="K45" s="3428">
        <f t="shared" ca="1" si="7"/>
        <v>910</v>
      </c>
    </row>
    <row r="46" spans="1:14" ht="24">
      <c r="A46" s="3387">
        <v>4</v>
      </c>
      <c r="B46" s="3380" t="s">
        <v>4688</v>
      </c>
      <c r="C46" s="3374" t="s">
        <v>4689</v>
      </c>
      <c r="D46" s="3374" t="s">
        <v>4691</v>
      </c>
      <c r="E46" s="3375">
        <v>0.8</v>
      </c>
      <c r="F46" s="3375">
        <v>128.02000000000001</v>
      </c>
      <c r="G46" s="3375">
        <v>1.02</v>
      </c>
      <c r="H46" s="3375" t="s">
        <v>5597</v>
      </c>
      <c r="I46" s="3375">
        <f t="shared" si="8"/>
        <v>0.98</v>
      </c>
      <c r="J46" s="3427">
        <f t="shared" ca="1" si="6"/>
        <v>46980</v>
      </c>
      <c r="K46" s="3428">
        <f t="shared" ca="1" si="7"/>
        <v>601</v>
      </c>
    </row>
    <row r="47" spans="1:14" ht="24">
      <c r="A47" s="3387">
        <v>5</v>
      </c>
      <c r="B47" s="3380" t="s">
        <v>4468</v>
      </c>
      <c r="C47" s="3374" t="s">
        <v>3186</v>
      </c>
      <c r="D47" s="3374" t="s">
        <v>3662</v>
      </c>
      <c r="E47" s="3375">
        <v>0.8</v>
      </c>
      <c r="F47" s="3375">
        <v>204.64</v>
      </c>
      <c r="G47" s="3375">
        <v>1.02</v>
      </c>
      <c r="H47" s="3375" t="s">
        <v>5597</v>
      </c>
      <c r="I47" s="3375">
        <f t="shared" si="8"/>
        <v>0.98</v>
      </c>
      <c r="J47" s="3427">
        <f t="shared" ca="1" si="6"/>
        <v>46980</v>
      </c>
      <c r="K47" s="3428">
        <f t="shared" ca="1" si="7"/>
        <v>961</v>
      </c>
    </row>
    <row r="48" spans="1:14">
      <c r="A48" s="3387">
        <v>6</v>
      </c>
      <c r="B48" s="3380" t="s">
        <v>4468</v>
      </c>
      <c r="C48" s="3374" t="s">
        <v>3194</v>
      </c>
      <c r="D48" s="3374" t="s">
        <v>3662</v>
      </c>
      <c r="E48" s="3375">
        <v>0.8</v>
      </c>
      <c r="F48" s="3375">
        <v>113.83</v>
      </c>
      <c r="G48" s="3375">
        <v>1.02</v>
      </c>
      <c r="H48" s="3375" t="s">
        <v>5597</v>
      </c>
      <c r="I48" s="3375">
        <f t="shared" si="8"/>
        <v>0.98</v>
      </c>
      <c r="J48" s="3427">
        <f t="shared" ca="1" si="6"/>
        <v>46980</v>
      </c>
      <c r="K48" s="3428">
        <f t="shared" ca="1" si="7"/>
        <v>535</v>
      </c>
    </row>
    <row r="49" spans="1:14">
      <c r="A49" s="3387">
        <v>7</v>
      </c>
      <c r="B49" s="3380" t="s">
        <v>4468</v>
      </c>
      <c r="C49" s="3374" t="s">
        <v>3196</v>
      </c>
      <c r="D49" s="3374" t="s">
        <v>3662</v>
      </c>
      <c r="E49" s="3375">
        <v>0.8</v>
      </c>
      <c r="F49" s="3375">
        <v>147.19999999999999</v>
      </c>
      <c r="G49" s="3375">
        <v>1.02</v>
      </c>
      <c r="H49" s="3375" t="s">
        <v>5597</v>
      </c>
      <c r="I49" s="3375">
        <f t="shared" si="8"/>
        <v>0.98</v>
      </c>
      <c r="J49" s="3427">
        <f t="shared" ca="1" si="6"/>
        <v>46980</v>
      </c>
      <c r="K49" s="3428">
        <f t="shared" ca="1" si="7"/>
        <v>692</v>
      </c>
    </row>
    <row r="50" spans="1:14">
      <c r="A50" s="3387">
        <v>8</v>
      </c>
      <c r="B50" s="3380" t="s">
        <v>4468</v>
      </c>
      <c r="C50" s="3374" t="s">
        <v>3197</v>
      </c>
      <c r="D50" s="3374" t="s">
        <v>3662</v>
      </c>
      <c r="E50" s="3375">
        <v>0.8</v>
      </c>
      <c r="F50" s="3375">
        <v>165.28</v>
      </c>
      <c r="G50" s="3375">
        <v>1.02</v>
      </c>
      <c r="H50" s="3375" t="s">
        <v>5597</v>
      </c>
      <c r="I50" s="3375">
        <f t="shared" si="8"/>
        <v>0.98</v>
      </c>
      <c r="J50" s="3427">
        <f t="shared" ca="1" si="6"/>
        <v>46980</v>
      </c>
      <c r="K50" s="3428">
        <f t="shared" ca="1" si="7"/>
        <v>776</v>
      </c>
    </row>
    <row r="51" spans="1:14">
      <c r="A51" s="3387">
        <v>9</v>
      </c>
      <c r="B51" s="3380" t="s">
        <v>4468</v>
      </c>
      <c r="C51" s="3374" t="s">
        <v>3198</v>
      </c>
      <c r="D51" s="3374" t="s">
        <v>3662</v>
      </c>
      <c r="E51" s="3375">
        <v>0.8</v>
      </c>
      <c r="F51" s="3375">
        <v>169.42</v>
      </c>
      <c r="G51" s="3375">
        <v>1.02</v>
      </c>
      <c r="H51" s="3375" t="s">
        <v>5597</v>
      </c>
      <c r="I51" s="3375">
        <f t="shared" si="8"/>
        <v>0.98</v>
      </c>
      <c r="J51" s="3427">
        <f t="shared" ca="1" si="6"/>
        <v>46980</v>
      </c>
      <c r="K51" s="3428">
        <f t="shared" ca="1" si="7"/>
        <v>796</v>
      </c>
    </row>
    <row r="52" spans="1:14">
      <c r="A52" s="3387">
        <v>10</v>
      </c>
      <c r="B52" s="3380" t="s">
        <v>4468</v>
      </c>
      <c r="C52" s="3374" t="s">
        <v>3199</v>
      </c>
      <c r="D52" s="3374" t="s">
        <v>3662</v>
      </c>
      <c r="E52" s="3375">
        <v>0.8</v>
      </c>
      <c r="F52" s="3375">
        <v>147.99</v>
      </c>
      <c r="G52" s="3375">
        <v>1.02</v>
      </c>
      <c r="H52" s="3375" t="s">
        <v>5597</v>
      </c>
      <c r="I52" s="3375">
        <f t="shared" si="8"/>
        <v>0.98</v>
      </c>
      <c r="J52" s="3427">
        <f t="shared" ca="1" si="6"/>
        <v>46980</v>
      </c>
      <c r="K52" s="3428">
        <f t="shared" ca="1" si="7"/>
        <v>695</v>
      </c>
    </row>
    <row r="53" spans="1:14">
      <c r="A53" s="3387">
        <v>11</v>
      </c>
      <c r="B53" s="3380" t="s">
        <v>4468</v>
      </c>
      <c r="C53" s="3374" t="s">
        <v>3204</v>
      </c>
      <c r="D53" s="3374" t="s">
        <v>3662</v>
      </c>
      <c r="E53" s="3375">
        <v>0.8</v>
      </c>
      <c r="F53" s="3375">
        <v>148.62</v>
      </c>
      <c r="G53" s="3375">
        <v>1.02</v>
      </c>
      <c r="H53" s="3375" t="s">
        <v>5597</v>
      </c>
      <c r="I53" s="3375">
        <f t="shared" si="8"/>
        <v>0.98</v>
      </c>
      <c r="J53" s="3427">
        <f t="shared" ca="1" si="6"/>
        <v>46980</v>
      </c>
      <c r="K53" s="3428">
        <f t="shared" ca="1" si="7"/>
        <v>698</v>
      </c>
    </row>
    <row r="54" spans="1:14" ht="24">
      <c r="A54" s="3387">
        <v>12</v>
      </c>
      <c r="B54" s="3380" t="s">
        <v>4468</v>
      </c>
      <c r="C54" s="3374" t="s">
        <v>4470</v>
      </c>
      <c r="D54" s="3374" t="s">
        <v>3662</v>
      </c>
      <c r="E54" s="3375">
        <v>0.8</v>
      </c>
      <c r="F54" s="3375">
        <v>188.2</v>
      </c>
      <c r="G54" s="3375">
        <v>1.02</v>
      </c>
      <c r="H54" s="3375" t="s">
        <v>5597</v>
      </c>
      <c r="I54" s="3375">
        <f t="shared" si="8"/>
        <v>0.98</v>
      </c>
      <c r="J54" s="3427">
        <f t="shared" ca="1" si="6"/>
        <v>46980</v>
      </c>
      <c r="K54" s="3428">
        <f t="shared" ca="1" si="7"/>
        <v>884</v>
      </c>
    </row>
    <row r="55" spans="1:14">
      <c r="A55" s="3387">
        <v>13</v>
      </c>
      <c r="B55" s="3380" t="s">
        <v>4468</v>
      </c>
      <c r="C55" s="3374" t="s">
        <v>3206</v>
      </c>
      <c r="D55" s="3374" t="s">
        <v>3662</v>
      </c>
      <c r="E55" s="3375">
        <v>0.8</v>
      </c>
      <c r="F55" s="3375">
        <v>154.85</v>
      </c>
      <c r="G55" s="3379">
        <v>1.02</v>
      </c>
      <c r="H55" s="3379" t="s">
        <v>5599</v>
      </c>
      <c r="I55" s="3375">
        <v>1</v>
      </c>
      <c r="J55" s="3427">
        <f t="shared" ca="1" si="6"/>
        <v>47939</v>
      </c>
      <c r="K55" s="3428">
        <f t="shared" ca="1" si="7"/>
        <v>742</v>
      </c>
    </row>
    <row r="56" spans="1:14">
      <c r="A56" s="3387">
        <v>14</v>
      </c>
      <c r="B56" s="3380" t="s">
        <v>4468</v>
      </c>
      <c r="C56" s="3374" t="s">
        <v>3206</v>
      </c>
      <c r="D56" s="3374" t="s">
        <v>3663</v>
      </c>
      <c r="E56" s="3375">
        <v>0.4</v>
      </c>
      <c r="F56" s="3375">
        <v>913.44</v>
      </c>
      <c r="G56" s="3375">
        <v>1</v>
      </c>
      <c r="H56" s="3375" t="s">
        <v>5598</v>
      </c>
      <c r="I56" s="3375">
        <v>1</v>
      </c>
      <c r="J56" s="3427">
        <f t="shared" ca="1" si="6"/>
        <v>23500</v>
      </c>
      <c r="K56" s="3428">
        <f t="shared" ca="1" si="7"/>
        <v>2147</v>
      </c>
    </row>
    <row r="57" spans="1:14">
      <c r="A57" s="3581" t="s">
        <v>4778</v>
      </c>
      <c r="B57" s="3581"/>
      <c r="C57" s="3581"/>
      <c r="D57" s="3581"/>
      <c r="E57" s="3581"/>
      <c r="F57" s="3375">
        <f>SUM(F43:F56)</f>
        <v>3548.88</v>
      </c>
      <c r="G57" s="3376"/>
      <c r="H57" s="3375" t="s">
        <v>4700</v>
      </c>
      <c r="I57" s="3375" t="s">
        <v>4700</v>
      </c>
      <c r="J57" s="3427" t="s">
        <v>4700</v>
      </c>
      <c r="K57" s="3427">
        <f ca="1">SUM(K43:K56)</f>
        <v>14625</v>
      </c>
      <c r="L57" s="3377" t="s">
        <v>5701</v>
      </c>
      <c r="M57" s="3402">
        <f>[4]车位标准户型修正!$AA$28</f>
        <v>1742.4459999999988</v>
      </c>
      <c r="N57" s="3442">
        <f>[4]车位标准户型修正!$AF$28</f>
        <v>659.11999999999989</v>
      </c>
    </row>
    <row r="58" spans="1:14">
      <c r="A58" s="3582" t="s">
        <v>4779</v>
      </c>
      <c r="B58" s="3582"/>
      <c r="C58" s="3582"/>
      <c r="D58" s="3582"/>
      <c r="E58" s="3582"/>
      <c r="F58" s="3375">
        <f>F42+F57</f>
        <v>14818.100000000002</v>
      </c>
      <c r="G58" s="3376"/>
      <c r="H58" s="3375" t="s">
        <v>4700</v>
      </c>
      <c r="I58" s="3375" t="s">
        <v>4700</v>
      </c>
      <c r="J58" s="3427" t="s">
        <v>4700</v>
      </c>
      <c r="K58" s="3427">
        <f ca="1">K42+K57</f>
        <v>55823</v>
      </c>
      <c r="M58" s="3402">
        <f>F57+M57</f>
        <v>5291.3259999999991</v>
      </c>
      <c r="N58" s="3442">
        <f ca="1">K57+N57</f>
        <v>15284.119999999999</v>
      </c>
    </row>
    <row r="59" spans="1:14">
      <c r="E59" s="3402" t="s">
        <v>5680</v>
      </c>
      <c r="F59" s="3377">
        <f>[5]车位标准户型修正!$AL$780</f>
        <v>36880.436000000009</v>
      </c>
      <c r="K59" s="3430">
        <f>ROUND([6]车位标准户型修正!$K$1,0)</f>
        <v>14519</v>
      </c>
    </row>
    <row r="60" spans="1:14">
      <c r="F60" s="3402">
        <f>F59+F58</f>
        <v>51698.536000000007</v>
      </c>
      <c r="K60" s="3431">
        <f ca="1">K58+K59</f>
        <v>70342</v>
      </c>
    </row>
  </sheetData>
  <autoFilter ref="A2:K60" xr:uid="{00000000-0009-0000-0000-00000F000000}"/>
  <mergeCells count="3">
    <mergeCell ref="A57:E57"/>
    <mergeCell ref="A58:E58"/>
    <mergeCell ref="A42:E42"/>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3">
    <tabColor rgb="FFFFFF00"/>
    <pageSetUpPr fitToPage="1"/>
  </sheetPr>
  <dimension ref="A1"/>
  <sheetViews>
    <sheetView workbookViewId="0">
      <selection activeCell="A64" sqref="A64"/>
    </sheetView>
  </sheetViews>
  <sheetFormatPr defaultColWidth="8.875" defaultRowHeight="14.25"/>
  <sheetData/>
  <phoneticPr fontId="140" type="noConversion"/>
  <pageMargins left="0.7" right="0.7" top="0.75" bottom="0.75" header="0.3" footer="0.3"/>
  <pageSetup paperSize="9" scale="4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FF00"/>
  </sheetPr>
  <dimension ref="A1:M334"/>
  <sheetViews>
    <sheetView workbookViewId="0">
      <selection activeCell="K18" sqref="K18"/>
    </sheetView>
  </sheetViews>
  <sheetFormatPr defaultColWidth="8.875" defaultRowHeight="14.25"/>
  <cols>
    <col min="1" max="1" width="5.875" style="3249" customWidth="1"/>
    <col min="2" max="2" width="5.125" style="3249" customWidth="1"/>
    <col min="3" max="3" width="8.625" style="3249" customWidth="1"/>
    <col min="4" max="16384" width="8.875" style="3249"/>
  </cols>
  <sheetData>
    <row r="1" spans="1:13">
      <c r="A1" s="3248" t="s">
        <v>3174</v>
      </c>
      <c r="B1" s="3248" t="s">
        <v>3181</v>
      </c>
      <c r="C1" s="3248" t="s">
        <v>3221</v>
      </c>
      <c r="D1" s="3248" t="s">
        <v>3176</v>
      </c>
      <c r="E1" s="3248" t="s">
        <v>3208</v>
      </c>
      <c r="F1" s="3248" t="s">
        <v>3209</v>
      </c>
      <c r="G1" s="3248"/>
      <c r="H1" s="3248"/>
      <c r="I1" s="3248"/>
      <c r="K1" s="3248" t="s">
        <v>3177</v>
      </c>
      <c r="L1" s="3248" t="s">
        <v>4445</v>
      </c>
      <c r="M1" s="3248" t="s">
        <v>4446</v>
      </c>
    </row>
    <row r="2" spans="1:13">
      <c r="A2" s="3249">
        <v>1</v>
      </c>
      <c r="B2" s="3249">
        <v>-2</v>
      </c>
      <c r="C2" s="3583" t="s">
        <v>4490</v>
      </c>
      <c r="D2" s="3248" t="s">
        <v>3244</v>
      </c>
      <c r="E2" s="3248" t="s">
        <v>3220</v>
      </c>
      <c r="F2" s="3250">
        <v>30.45</v>
      </c>
      <c r="G2" s="3250"/>
      <c r="H2" s="3250"/>
      <c r="I2" s="3250"/>
      <c r="K2" s="3248" t="s">
        <v>3220</v>
      </c>
      <c r="L2" s="3249">
        <v>-2</v>
      </c>
      <c r="M2" s="3250">
        <f>SUM(F2:F110)</f>
        <v>3333.1499999999946</v>
      </c>
    </row>
    <row r="3" spans="1:13">
      <c r="A3" s="3249">
        <v>2</v>
      </c>
      <c r="B3" s="3249">
        <v>-2</v>
      </c>
      <c r="C3" s="3584"/>
      <c r="D3" s="3248" t="s">
        <v>3245</v>
      </c>
      <c r="E3" s="3248" t="s">
        <v>3220</v>
      </c>
      <c r="F3" s="3250">
        <v>30.45</v>
      </c>
      <c r="G3" s="3250"/>
      <c r="H3" s="3250"/>
      <c r="I3" s="3250"/>
      <c r="L3" s="3249">
        <v>-3</v>
      </c>
      <c r="M3" s="3250">
        <f>SUM(F111:F333)</f>
        <v>6799.3699999999744</v>
      </c>
    </row>
    <row r="4" spans="1:13">
      <c r="A4" s="3249">
        <v>3</v>
      </c>
      <c r="B4" s="3249">
        <v>-2</v>
      </c>
      <c r="C4" s="3584"/>
      <c r="D4" s="3248" t="s">
        <v>3246</v>
      </c>
      <c r="E4" s="3248" t="s">
        <v>3220</v>
      </c>
      <c r="F4" s="3250">
        <v>30.45</v>
      </c>
      <c r="G4" s="3250"/>
      <c r="H4" s="3250"/>
      <c r="I4" s="3250"/>
      <c r="M4" s="3250">
        <f>M2+M3</f>
        <v>10132.51999999997</v>
      </c>
    </row>
    <row r="5" spans="1:13">
      <c r="A5" s="3249">
        <v>4</v>
      </c>
      <c r="B5" s="3249">
        <v>-2</v>
      </c>
      <c r="C5" s="3584"/>
      <c r="D5" s="3248" t="s">
        <v>3247</v>
      </c>
      <c r="E5" s="3248" t="s">
        <v>3220</v>
      </c>
      <c r="F5" s="3250">
        <v>30.45</v>
      </c>
      <c r="G5" s="3250"/>
      <c r="H5" s="3250"/>
      <c r="I5" s="3250"/>
    </row>
    <row r="6" spans="1:13">
      <c r="A6" s="3249">
        <v>5</v>
      </c>
      <c r="B6" s="3249">
        <v>-2</v>
      </c>
      <c r="C6" s="3584"/>
      <c r="D6" s="3248" t="s">
        <v>3248</v>
      </c>
      <c r="E6" s="3248" t="s">
        <v>3220</v>
      </c>
      <c r="F6" s="3250">
        <v>30.45</v>
      </c>
      <c r="G6" s="3250"/>
      <c r="H6" s="3250"/>
      <c r="I6" s="3250"/>
    </row>
    <row r="7" spans="1:13">
      <c r="A7" s="3249">
        <v>6</v>
      </c>
      <c r="B7" s="3249">
        <v>-2</v>
      </c>
      <c r="C7" s="3584"/>
      <c r="D7" s="3248" t="s">
        <v>3249</v>
      </c>
      <c r="E7" s="3248" t="s">
        <v>3220</v>
      </c>
      <c r="F7" s="3250">
        <v>30.45</v>
      </c>
      <c r="G7" s="3250"/>
      <c r="H7" s="3250"/>
      <c r="I7" s="3250"/>
    </row>
    <row r="8" spans="1:13">
      <c r="A8" s="3249">
        <v>7</v>
      </c>
      <c r="B8" s="3249">
        <v>-2</v>
      </c>
      <c r="C8" s="3584"/>
      <c r="D8" s="3248" t="s">
        <v>3250</v>
      </c>
      <c r="E8" s="3248" t="s">
        <v>3220</v>
      </c>
      <c r="F8" s="3250">
        <v>30.45</v>
      </c>
      <c r="G8" s="3250"/>
      <c r="H8" s="3250"/>
      <c r="I8" s="3250"/>
    </row>
    <row r="9" spans="1:13">
      <c r="A9" s="3249">
        <v>8</v>
      </c>
      <c r="B9" s="3249">
        <v>-2</v>
      </c>
      <c r="C9" s="3584"/>
      <c r="D9" s="3248" t="s">
        <v>3251</v>
      </c>
      <c r="E9" s="3248" t="s">
        <v>3220</v>
      </c>
      <c r="F9" s="3250">
        <v>30.45</v>
      </c>
      <c r="G9" s="3250"/>
      <c r="H9" s="3250"/>
      <c r="I9" s="3250"/>
    </row>
    <row r="10" spans="1:13">
      <c r="A10" s="3249">
        <v>9</v>
      </c>
      <c r="B10" s="3249">
        <v>-2</v>
      </c>
      <c r="C10" s="3584"/>
      <c r="D10" s="3248" t="s">
        <v>3252</v>
      </c>
      <c r="E10" s="3248" t="s">
        <v>3220</v>
      </c>
      <c r="F10" s="3250">
        <v>30.45</v>
      </c>
      <c r="G10" s="3250"/>
      <c r="H10" s="3250"/>
      <c r="I10" s="3250"/>
    </row>
    <row r="11" spans="1:13">
      <c r="A11" s="3249">
        <v>10</v>
      </c>
      <c r="B11" s="3249">
        <v>-2</v>
      </c>
      <c r="C11" s="3584"/>
      <c r="D11" s="3248" t="s">
        <v>3253</v>
      </c>
      <c r="E11" s="3248" t="s">
        <v>3220</v>
      </c>
      <c r="F11" s="3250">
        <v>30.45</v>
      </c>
      <c r="G11" s="3250"/>
      <c r="H11" s="3250"/>
      <c r="I11" s="3250"/>
    </row>
    <row r="12" spans="1:13">
      <c r="A12" s="3249">
        <v>11</v>
      </c>
      <c r="B12" s="3249">
        <v>-2</v>
      </c>
      <c r="C12" s="3584"/>
      <c r="D12" s="3248" t="s">
        <v>3254</v>
      </c>
      <c r="E12" s="3248" t="s">
        <v>3220</v>
      </c>
      <c r="F12" s="3250">
        <v>30.45</v>
      </c>
      <c r="G12" s="3250"/>
      <c r="H12" s="3250"/>
      <c r="I12" s="3250"/>
    </row>
    <row r="13" spans="1:13">
      <c r="A13" s="3249">
        <v>12</v>
      </c>
      <c r="B13" s="3249">
        <v>-2</v>
      </c>
      <c r="C13" s="3584"/>
      <c r="D13" s="3248" t="s">
        <v>3255</v>
      </c>
      <c r="E13" s="3248" t="s">
        <v>3220</v>
      </c>
      <c r="F13" s="3250">
        <v>30.45</v>
      </c>
      <c r="G13" s="3250"/>
      <c r="H13" s="3250"/>
      <c r="I13" s="3250"/>
    </row>
    <row r="14" spans="1:13">
      <c r="A14" s="3249">
        <v>13</v>
      </c>
      <c r="B14" s="3249">
        <v>-2</v>
      </c>
      <c r="C14" s="3584"/>
      <c r="D14" s="3248" t="s">
        <v>3256</v>
      </c>
      <c r="E14" s="3248" t="s">
        <v>3220</v>
      </c>
      <c r="F14" s="3250">
        <v>30.45</v>
      </c>
      <c r="G14" s="3250"/>
      <c r="H14" s="3250"/>
      <c r="I14" s="3250"/>
    </row>
    <row r="15" spans="1:13">
      <c r="A15" s="3249">
        <v>14</v>
      </c>
      <c r="B15" s="3249">
        <v>-2</v>
      </c>
      <c r="C15" s="3584"/>
      <c r="D15" s="3248" t="s">
        <v>3257</v>
      </c>
      <c r="E15" s="3248" t="s">
        <v>3220</v>
      </c>
      <c r="F15" s="3250">
        <v>30.45</v>
      </c>
      <c r="G15" s="3250"/>
      <c r="H15" s="3250"/>
      <c r="I15" s="3250"/>
    </row>
    <row r="16" spans="1:13">
      <c r="A16" s="3249">
        <v>15</v>
      </c>
      <c r="B16" s="3249">
        <v>-2</v>
      </c>
      <c r="C16" s="3584"/>
      <c r="D16" s="3248" t="s">
        <v>3258</v>
      </c>
      <c r="E16" s="3248" t="s">
        <v>3220</v>
      </c>
      <c r="F16" s="3250">
        <v>30.45</v>
      </c>
      <c r="G16" s="3250"/>
      <c r="H16" s="3250"/>
      <c r="I16" s="3250"/>
    </row>
    <row r="17" spans="1:9">
      <c r="A17" s="3249">
        <v>16</v>
      </c>
      <c r="B17" s="3249">
        <v>-2</v>
      </c>
      <c r="C17" s="3584"/>
      <c r="D17" s="3248" t="s">
        <v>3259</v>
      </c>
      <c r="E17" s="3248" t="s">
        <v>3220</v>
      </c>
      <c r="F17" s="3250">
        <v>30.45</v>
      </c>
      <c r="G17" s="3250"/>
      <c r="H17" s="3250"/>
      <c r="I17" s="3250"/>
    </row>
    <row r="18" spans="1:9">
      <c r="A18" s="3249">
        <v>17</v>
      </c>
      <c r="B18" s="3249">
        <v>-2</v>
      </c>
      <c r="C18" s="3584"/>
      <c r="D18" s="3248" t="s">
        <v>3260</v>
      </c>
      <c r="E18" s="3248" t="s">
        <v>3220</v>
      </c>
      <c r="F18" s="3250">
        <v>30.45</v>
      </c>
      <c r="G18" s="3250"/>
      <c r="H18" s="3250"/>
      <c r="I18" s="3250"/>
    </row>
    <row r="19" spans="1:9">
      <c r="A19" s="3249">
        <v>18</v>
      </c>
      <c r="B19" s="3249">
        <v>-2</v>
      </c>
      <c r="C19" s="3584"/>
      <c r="D19" s="3248" t="s">
        <v>3261</v>
      </c>
      <c r="E19" s="3248" t="s">
        <v>3220</v>
      </c>
      <c r="F19" s="3250">
        <v>30.45</v>
      </c>
      <c r="G19" s="3250"/>
      <c r="H19" s="3250"/>
      <c r="I19" s="3250"/>
    </row>
    <row r="20" spans="1:9">
      <c r="A20" s="3249">
        <v>19</v>
      </c>
      <c r="B20" s="3249">
        <v>-2</v>
      </c>
      <c r="C20" s="3584"/>
      <c r="D20" s="3248" t="s">
        <v>3262</v>
      </c>
      <c r="E20" s="3248" t="s">
        <v>3220</v>
      </c>
      <c r="F20" s="3250">
        <v>35.53</v>
      </c>
      <c r="G20" s="3250"/>
      <c r="H20" s="3250"/>
      <c r="I20" s="3250"/>
    </row>
    <row r="21" spans="1:9">
      <c r="A21" s="3249">
        <v>20</v>
      </c>
      <c r="B21" s="3249">
        <v>-2</v>
      </c>
      <c r="C21" s="3584"/>
      <c r="D21" s="3248" t="s">
        <v>3263</v>
      </c>
      <c r="E21" s="3248" t="s">
        <v>3220</v>
      </c>
      <c r="F21" s="3250">
        <v>30.45</v>
      </c>
      <c r="G21" s="3250"/>
      <c r="H21" s="3250"/>
      <c r="I21" s="3250"/>
    </row>
    <row r="22" spans="1:9">
      <c r="A22" s="3249">
        <v>21</v>
      </c>
      <c r="B22" s="3249">
        <v>-2</v>
      </c>
      <c r="C22" s="3584"/>
      <c r="D22" s="3248" t="s">
        <v>3264</v>
      </c>
      <c r="E22" s="3248" t="s">
        <v>3220</v>
      </c>
      <c r="F22" s="3250">
        <v>30.45</v>
      </c>
      <c r="G22" s="3250"/>
      <c r="H22" s="3250"/>
      <c r="I22" s="3250"/>
    </row>
    <row r="23" spans="1:9">
      <c r="A23" s="3249">
        <v>22</v>
      </c>
      <c r="B23" s="3249">
        <v>-2</v>
      </c>
      <c r="C23" s="3584"/>
      <c r="D23" s="3248" t="s">
        <v>3265</v>
      </c>
      <c r="E23" s="3248" t="s">
        <v>3220</v>
      </c>
      <c r="F23" s="3250">
        <v>30.45</v>
      </c>
      <c r="G23" s="3250"/>
      <c r="H23" s="3250"/>
      <c r="I23" s="3250"/>
    </row>
    <row r="24" spans="1:9">
      <c r="A24" s="3249">
        <v>23</v>
      </c>
      <c r="B24" s="3249">
        <v>-2</v>
      </c>
      <c r="C24" s="3584"/>
      <c r="D24" s="3249" t="s">
        <v>3266</v>
      </c>
      <c r="E24" s="3248" t="s">
        <v>3220</v>
      </c>
      <c r="F24" s="3250">
        <v>30.45</v>
      </c>
      <c r="G24" s="3250"/>
      <c r="H24" s="3250"/>
      <c r="I24" s="3250"/>
    </row>
    <row r="25" spans="1:9">
      <c r="A25" s="3249">
        <v>24</v>
      </c>
      <c r="B25" s="3249">
        <v>-2</v>
      </c>
      <c r="C25" s="3584"/>
      <c r="D25" s="3249" t="s">
        <v>3267</v>
      </c>
      <c r="E25" s="3248" t="s">
        <v>3220</v>
      </c>
      <c r="F25" s="3250">
        <v>30.45</v>
      </c>
      <c r="G25" s="3250"/>
      <c r="H25" s="3250"/>
      <c r="I25" s="3250"/>
    </row>
    <row r="26" spans="1:9">
      <c r="A26" s="3249">
        <v>25</v>
      </c>
      <c r="B26" s="3249">
        <v>-2</v>
      </c>
      <c r="C26" s="3584"/>
      <c r="D26" s="3249" t="s">
        <v>3268</v>
      </c>
      <c r="E26" s="3248" t="s">
        <v>3220</v>
      </c>
      <c r="F26" s="3250">
        <v>30.45</v>
      </c>
      <c r="G26" s="3250"/>
      <c r="H26" s="3250"/>
      <c r="I26" s="3250"/>
    </row>
    <row r="27" spans="1:9">
      <c r="A27" s="3249">
        <v>26</v>
      </c>
      <c r="B27" s="3249">
        <v>-2</v>
      </c>
      <c r="C27" s="3584"/>
      <c r="D27" s="3249" t="s">
        <v>3269</v>
      </c>
      <c r="E27" s="3248" t="s">
        <v>3220</v>
      </c>
      <c r="F27" s="3250">
        <v>30.45</v>
      </c>
      <c r="G27" s="3250"/>
      <c r="H27" s="3250"/>
      <c r="I27" s="3250"/>
    </row>
    <row r="28" spans="1:9">
      <c r="A28" s="3249">
        <v>27</v>
      </c>
      <c r="B28" s="3249">
        <v>-2</v>
      </c>
      <c r="C28" s="3584"/>
      <c r="D28" s="3249" t="s">
        <v>3270</v>
      </c>
      <c r="E28" s="3248" t="s">
        <v>3220</v>
      </c>
      <c r="F28" s="3250">
        <v>30.45</v>
      </c>
      <c r="G28" s="3250"/>
      <c r="H28" s="3250"/>
      <c r="I28" s="3250"/>
    </row>
    <row r="29" spans="1:9">
      <c r="A29" s="3249">
        <v>28</v>
      </c>
      <c r="B29" s="3249">
        <v>-2</v>
      </c>
      <c r="C29" s="3584"/>
      <c r="D29" s="3249" t="s">
        <v>3271</v>
      </c>
      <c r="E29" s="3248" t="s">
        <v>3220</v>
      </c>
      <c r="F29" s="3250">
        <v>30.45</v>
      </c>
      <c r="G29" s="3250"/>
      <c r="H29" s="3250"/>
      <c r="I29" s="3250"/>
    </row>
    <row r="30" spans="1:9">
      <c r="A30" s="3249">
        <v>29</v>
      </c>
      <c r="B30" s="3249">
        <v>-2</v>
      </c>
      <c r="C30" s="3584"/>
      <c r="D30" s="3249" t="s">
        <v>3272</v>
      </c>
      <c r="E30" s="3248" t="s">
        <v>3220</v>
      </c>
      <c r="F30" s="3250">
        <v>30.45</v>
      </c>
      <c r="G30" s="3250"/>
      <c r="H30" s="3250"/>
      <c r="I30" s="3250"/>
    </row>
    <row r="31" spans="1:9">
      <c r="A31" s="3249">
        <v>30</v>
      </c>
      <c r="B31" s="3249">
        <v>-2</v>
      </c>
      <c r="C31" s="3584"/>
      <c r="D31" s="3249" t="s">
        <v>3273</v>
      </c>
      <c r="E31" s="3248" t="s">
        <v>3220</v>
      </c>
      <c r="F31" s="3250">
        <v>30.45</v>
      </c>
      <c r="G31" s="3250"/>
      <c r="H31" s="3250"/>
      <c r="I31" s="3250"/>
    </row>
    <row r="32" spans="1:9">
      <c r="A32" s="3249">
        <v>31</v>
      </c>
      <c r="B32" s="3249">
        <v>-2</v>
      </c>
      <c r="C32" s="3584"/>
      <c r="D32" s="3249" t="s">
        <v>3274</v>
      </c>
      <c r="E32" s="3248" t="s">
        <v>3220</v>
      </c>
      <c r="F32" s="3250">
        <v>30.45</v>
      </c>
      <c r="G32" s="3250"/>
      <c r="H32" s="3250"/>
      <c r="I32" s="3250"/>
    </row>
    <row r="33" spans="1:9">
      <c r="A33" s="3249">
        <v>32</v>
      </c>
      <c r="B33" s="3249">
        <v>-2</v>
      </c>
      <c r="C33" s="3584"/>
      <c r="D33" s="3249" t="s">
        <v>3275</v>
      </c>
      <c r="E33" s="3248" t="s">
        <v>3220</v>
      </c>
      <c r="F33" s="3250">
        <v>30.45</v>
      </c>
      <c r="G33" s="3250"/>
      <c r="H33" s="3250"/>
      <c r="I33" s="3250"/>
    </row>
    <row r="34" spans="1:9">
      <c r="A34" s="3249">
        <v>33</v>
      </c>
      <c r="B34" s="3249">
        <v>-2</v>
      </c>
      <c r="C34" s="3584"/>
      <c r="D34" s="3249" t="s">
        <v>3276</v>
      </c>
      <c r="E34" s="3248" t="s">
        <v>3220</v>
      </c>
      <c r="F34" s="3250">
        <v>27.41</v>
      </c>
      <c r="G34" s="3250"/>
      <c r="H34" s="3250"/>
      <c r="I34" s="3250"/>
    </row>
    <row r="35" spans="1:9">
      <c r="A35" s="3249">
        <v>34</v>
      </c>
      <c r="B35" s="3249">
        <v>-2</v>
      </c>
      <c r="C35" s="3584"/>
      <c r="D35" s="3249" t="s">
        <v>3277</v>
      </c>
      <c r="E35" s="3248" t="s">
        <v>3220</v>
      </c>
      <c r="F35" s="3250">
        <v>30.45</v>
      </c>
      <c r="G35" s="3250"/>
      <c r="H35" s="3250"/>
      <c r="I35" s="3250"/>
    </row>
    <row r="36" spans="1:9">
      <c r="A36" s="3249">
        <v>35</v>
      </c>
      <c r="B36" s="3249">
        <v>-2</v>
      </c>
      <c r="C36" s="3584"/>
      <c r="D36" s="3249" t="s">
        <v>3278</v>
      </c>
      <c r="E36" s="3248" t="s">
        <v>3220</v>
      </c>
      <c r="F36" s="3250">
        <v>30.45</v>
      </c>
      <c r="G36" s="3250"/>
      <c r="H36" s="3250"/>
      <c r="I36" s="3250"/>
    </row>
    <row r="37" spans="1:9">
      <c r="A37" s="3249">
        <v>36</v>
      </c>
      <c r="B37" s="3249">
        <v>-2</v>
      </c>
      <c r="C37" s="3584"/>
      <c r="D37" s="3249" t="s">
        <v>3279</v>
      </c>
      <c r="E37" s="3248" t="s">
        <v>3220</v>
      </c>
      <c r="F37" s="3250">
        <v>30.45</v>
      </c>
      <c r="G37" s="3250"/>
      <c r="H37" s="3250"/>
      <c r="I37" s="3250"/>
    </row>
    <row r="38" spans="1:9">
      <c r="A38" s="3249">
        <v>37</v>
      </c>
      <c r="B38" s="3249">
        <v>-2</v>
      </c>
      <c r="C38" s="3584"/>
      <c r="D38" s="3249" t="s">
        <v>3280</v>
      </c>
      <c r="E38" s="3248" t="s">
        <v>3220</v>
      </c>
      <c r="F38" s="3250">
        <v>30.45</v>
      </c>
      <c r="G38" s="3250"/>
      <c r="H38" s="3250"/>
      <c r="I38" s="3250"/>
    </row>
    <row r="39" spans="1:9">
      <c r="A39" s="3249">
        <v>38</v>
      </c>
      <c r="B39" s="3249">
        <v>-2</v>
      </c>
      <c r="C39" s="3584"/>
      <c r="D39" s="3249" t="s">
        <v>3281</v>
      </c>
      <c r="E39" s="3248" t="s">
        <v>3220</v>
      </c>
      <c r="F39" s="3250">
        <v>30.45</v>
      </c>
      <c r="G39" s="3250"/>
      <c r="H39" s="3250"/>
      <c r="I39" s="3250"/>
    </row>
    <row r="40" spans="1:9">
      <c r="A40" s="3249">
        <v>39</v>
      </c>
      <c r="B40" s="3249">
        <v>-2</v>
      </c>
      <c r="C40" s="3584"/>
      <c r="D40" s="3249" t="s">
        <v>3282</v>
      </c>
      <c r="E40" s="3248" t="s">
        <v>3220</v>
      </c>
      <c r="F40" s="3250">
        <v>30.45</v>
      </c>
      <c r="G40" s="3250"/>
      <c r="H40" s="3250"/>
      <c r="I40" s="3250"/>
    </row>
    <row r="41" spans="1:9">
      <c r="A41" s="3249">
        <v>40</v>
      </c>
      <c r="B41" s="3249">
        <v>-2</v>
      </c>
      <c r="C41" s="3584"/>
      <c r="D41" s="3249" t="s">
        <v>3283</v>
      </c>
      <c r="E41" s="3248" t="s">
        <v>3220</v>
      </c>
      <c r="F41" s="3250">
        <v>30.45</v>
      </c>
      <c r="G41" s="3250"/>
      <c r="H41" s="3250"/>
      <c r="I41" s="3250"/>
    </row>
    <row r="42" spans="1:9">
      <c r="A42" s="3249">
        <v>41</v>
      </c>
      <c r="B42" s="3249">
        <v>-2</v>
      </c>
      <c r="C42" s="3584"/>
      <c r="D42" s="3249" t="s">
        <v>3284</v>
      </c>
      <c r="E42" s="3248" t="s">
        <v>3220</v>
      </c>
      <c r="F42" s="3250">
        <v>30.45</v>
      </c>
      <c r="G42" s="3250"/>
      <c r="H42" s="3250"/>
      <c r="I42" s="3250"/>
    </row>
    <row r="43" spans="1:9">
      <c r="A43" s="3249">
        <v>42</v>
      </c>
      <c r="B43" s="3249">
        <v>-2</v>
      </c>
      <c r="C43" s="3584"/>
      <c r="D43" s="3249" t="s">
        <v>3285</v>
      </c>
      <c r="E43" s="3248" t="s">
        <v>3220</v>
      </c>
      <c r="F43" s="3250">
        <v>30.45</v>
      </c>
      <c r="G43" s="3250"/>
      <c r="H43" s="3250"/>
      <c r="I43" s="3250"/>
    </row>
    <row r="44" spans="1:9">
      <c r="A44" s="3249">
        <v>43</v>
      </c>
      <c r="B44" s="3249">
        <v>-2</v>
      </c>
      <c r="C44" s="3584"/>
      <c r="D44" s="3249" t="s">
        <v>3286</v>
      </c>
      <c r="E44" s="3248" t="s">
        <v>3220</v>
      </c>
      <c r="F44" s="3250">
        <v>30.45</v>
      </c>
      <c r="G44" s="3250"/>
      <c r="H44" s="3250"/>
      <c r="I44" s="3250"/>
    </row>
    <row r="45" spans="1:9">
      <c r="A45" s="3249">
        <v>44</v>
      </c>
      <c r="B45" s="3249">
        <v>-2</v>
      </c>
      <c r="C45" s="3584"/>
      <c r="D45" s="3249" t="s">
        <v>3287</v>
      </c>
      <c r="E45" s="3248" t="s">
        <v>3220</v>
      </c>
      <c r="F45" s="3250">
        <v>30.45</v>
      </c>
      <c r="G45" s="3250"/>
      <c r="H45" s="3250"/>
      <c r="I45" s="3250"/>
    </row>
    <row r="46" spans="1:9">
      <c r="A46" s="3249">
        <v>45</v>
      </c>
      <c r="B46" s="3249">
        <v>-2</v>
      </c>
      <c r="C46" s="3584"/>
      <c r="D46" s="3249" t="s">
        <v>3288</v>
      </c>
      <c r="E46" s="3248" t="s">
        <v>3220</v>
      </c>
      <c r="F46" s="3250">
        <v>30.45</v>
      </c>
      <c r="G46" s="3250"/>
      <c r="H46" s="3250"/>
      <c r="I46" s="3250"/>
    </row>
    <row r="47" spans="1:9">
      <c r="A47" s="3249">
        <v>46</v>
      </c>
      <c r="B47" s="3249">
        <v>-2</v>
      </c>
      <c r="C47" s="3584"/>
      <c r="D47" s="3249" t="s">
        <v>3289</v>
      </c>
      <c r="E47" s="3248" t="s">
        <v>3220</v>
      </c>
      <c r="F47" s="3250">
        <v>30.45</v>
      </c>
      <c r="G47" s="3250"/>
      <c r="H47" s="3250"/>
      <c r="I47" s="3250"/>
    </row>
    <row r="48" spans="1:9">
      <c r="A48" s="3249">
        <v>47</v>
      </c>
      <c r="B48" s="3249">
        <v>-2</v>
      </c>
      <c r="C48" s="3584"/>
      <c r="D48" s="3249" t="s">
        <v>3290</v>
      </c>
      <c r="E48" s="3248" t="s">
        <v>3220</v>
      </c>
      <c r="F48" s="3250">
        <v>30.45</v>
      </c>
      <c r="G48" s="3250"/>
      <c r="H48" s="3250"/>
      <c r="I48" s="3250"/>
    </row>
    <row r="49" spans="1:9">
      <c r="A49" s="3249">
        <v>48</v>
      </c>
      <c r="B49" s="3249">
        <v>-2</v>
      </c>
      <c r="C49" s="3584"/>
      <c r="D49" s="3249" t="s">
        <v>3291</v>
      </c>
      <c r="E49" s="3248" t="s">
        <v>3220</v>
      </c>
      <c r="F49" s="3250">
        <v>30.45</v>
      </c>
      <c r="G49" s="3250"/>
      <c r="H49" s="3250"/>
      <c r="I49" s="3250"/>
    </row>
    <row r="50" spans="1:9">
      <c r="A50" s="3249">
        <v>49</v>
      </c>
      <c r="B50" s="3249">
        <v>-2</v>
      </c>
      <c r="C50" s="3584"/>
      <c r="D50" s="3249" t="s">
        <v>3292</v>
      </c>
      <c r="E50" s="3248" t="s">
        <v>3220</v>
      </c>
      <c r="F50" s="3250">
        <v>30.45</v>
      </c>
      <c r="G50" s="3250"/>
      <c r="H50" s="3250"/>
      <c r="I50" s="3250"/>
    </row>
    <row r="51" spans="1:9">
      <c r="A51" s="3249">
        <v>50</v>
      </c>
      <c r="B51" s="3249">
        <v>-2</v>
      </c>
      <c r="C51" s="3584"/>
      <c r="D51" s="3249" t="s">
        <v>3293</v>
      </c>
      <c r="E51" s="3248" t="s">
        <v>3220</v>
      </c>
      <c r="F51" s="3250">
        <v>30.45</v>
      </c>
      <c r="G51" s="3250"/>
      <c r="H51" s="3250"/>
      <c r="I51" s="3250"/>
    </row>
    <row r="52" spans="1:9">
      <c r="A52" s="3249">
        <v>51</v>
      </c>
      <c r="B52" s="3249">
        <v>-2</v>
      </c>
      <c r="C52" s="3584"/>
      <c r="D52" s="3249" t="s">
        <v>3294</v>
      </c>
      <c r="E52" s="3248" t="s">
        <v>3220</v>
      </c>
      <c r="F52" s="3250">
        <v>30.45</v>
      </c>
      <c r="G52" s="3250"/>
      <c r="H52" s="3250"/>
      <c r="I52" s="3250"/>
    </row>
    <row r="53" spans="1:9">
      <c r="A53" s="3249">
        <v>52</v>
      </c>
      <c r="B53" s="3249">
        <v>-2</v>
      </c>
      <c r="C53" s="3584"/>
      <c r="D53" s="3249" t="s">
        <v>3295</v>
      </c>
      <c r="E53" s="3248" t="s">
        <v>3220</v>
      </c>
      <c r="F53" s="3250">
        <v>30.45</v>
      </c>
      <c r="G53" s="3250"/>
      <c r="H53" s="3250"/>
      <c r="I53" s="3250"/>
    </row>
    <row r="54" spans="1:9">
      <c r="A54" s="3249">
        <v>53</v>
      </c>
      <c r="B54" s="3249">
        <v>-2</v>
      </c>
      <c r="C54" s="3584"/>
      <c r="D54" s="3249" t="s">
        <v>3296</v>
      </c>
      <c r="E54" s="3248" t="s">
        <v>3220</v>
      </c>
      <c r="F54" s="3250">
        <v>30.45</v>
      </c>
      <c r="G54" s="3250"/>
      <c r="H54" s="3250"/>
      <c r="I54" s="3250"/>
    </row>
    <row r="55" spans="1:9">
      <c r="A55" s="3249">
        <v>54</v>
      </c>
      <c r="B55" s="3249">
        <v>-2</v>
      </c>
      <c r="C55" s="3584"/>
      <c r="D55" s="3249" t="s">
        <v>3297</v>
      </c>
      <c r="E55" s="3248" t="s">
        <v>3220</v>
      </c>
      <c r="F55" s="3250">
        <v>30.45</v>
      </c>
      <c r="G55" s="3250"/>
      <c r="H55" s="3250"/>
      <c r="I55" s="3250"/>
    </row>
    <row r="56" spans="1:9">
      <c r="A56" s="3249">
        <v>55</v>
      </c>
      <c r="B56" s="3249">
        <v>-2</v>
      </c>
      <c r="C56" s="3584"/>
      <c r="D56" s="3249" t="s">
        <v>3298</v>
      </c>
      <c r="E56" s="3248" t="s">
        <v>3220</v>
      </c>
      <c r="F56" s="3250">
        <v>30.45</v>
      </c>
      <c r="G56" s="3250"/>
      <c r="H56" s="3250"/>
      <c r="I56" s="3250"/>
    </row>
    <row r="57" spans="1:9">
      <c r="A57" s="3249">
        <v>56</v>
      </c>
      <c r="B57" s="3249">
        <v>-2</v>
      </c>
      <c r="C57" s="3584"/>
      <c r="D57" s="3249" t="s">
        <v>3299</v>
      </c>
      <c r="E57" s="3248" t="s">
        <v>3220</v>
      </c>
      <c r="F57" s="3250">
        <v>30.45</v>
      </c>
      <c r="G57" s="3250"/>
      <c r="H57" s="3250"/>
      <c r="I57" s="3250"/>
    </row>
    <row r="58" spans="1:9">
      <c r="A58" s="3249">
        <v>57</v>
      </c>
      <c r="B58" s="3249">
        <v>-2</v>
      </c>
      <c r="C58" s="3584"/>
      <c r="D58" s="3249" t="s">
        <v>3300</v>
      </c>
      <c r="E58" s="3248" t="s">
        <v>3220</v>
      </c>
      <c r="F58" s="3250">
        <v>30.45</v>
      </c>
      <c r="G58" s="3250"/>
      <c r="H58" s="3250"/>
      <c r="I58" s="3250"/>
    </row>
    <row r="59" spans="1:9">
      <c r="A59" s="3249">
        <v>58</v>
      </c>
      <c r="B59" s="3249">
        <v>-2</v>
      </c>
      <c r="C59" s="3584"/>
      <c r="D59" s="3249" t="s">
        <v>3301</v>
      </c>
      <c r="E59" s="3248" t="s">
        <v>3220</v>
      </c>
      <c r="F59" s="3250">
        <v>30.45</v>
      </c>
      <c r="G59" s="3250"/>
      <c r="H59" s="3250"/>
      <c r="I59" s="3250"/>
    </row>
    <row r="60" spans="1:9">
      <c r="A60" s="3249">
        <v>59</v>
      </c>
      <c r="B60" s="3249">
        <v>-2</v>
      </c>
      <c r="C60" s="3584"/>
      <c r="D60" s="3249" t="s">
        <v>3302</v>
      </c>
      <c r="E60" s="3248" t="s">
        <v>3220</v>
      </c>
      <c r="F60" s="3250">
        <v>30.45</v>
      </c>
      <c r="G60" s="3250"/>
      <c r="H60" s="3250"/>
      <c r="I60" s="3250"/>
    </row>
    <row r="61" spans="1:9">
      <c r="A61" s="3249">
        <v>60</v>
      </c>
      <c r="B61" s="3249">
        <v>-2</v>
      </c>
      <c r="C61" s="3584"/>
      <c r="D61" s="3249" t="s">
        <v>3303</v>
      </c>
      <c r="E61" s="3248" t="s">
        <v>3220</v>
      </c>
      <c r="F61" s="3250">
        <v>30.45</v>
      </c>
      <c r="G61" s="3250"/>
      <c r="H61" s="3250"/>
      <c r="I61" s="3250"/>
    </row>
    <row r="62" spans="1:9">
      <c r="A62" s="3249">
        <v>61</v>
      </c>
      <c r="B62" s="3249">
        <v>-2</v>
      </c>
      <c r="C62" s="3584"/>
      <c r="D62" s="3249" t="s">
        <v>3304</v>
      </c>
      <c r="E62" s="3248" t="s">
        <v>3220</v>
      </c>
      <c r="F62" s="3250">
        <v>30.45</v>
      </c>
      <c r="G62" s="3250"/>
      <c r="H62" s="3250"/>
      <c r="I62" s="3250"/>
    </row>
    <row r="63" spans="1:9">
      <c r="A63" s="3249">
        <v>62</v>
      </c>
      <c r="B63" s="3249">
        <v>-2</v>
      </c>
      <c r="C63" s="3584"/>
      <c r="D63" s="3249" t="s">
        <v>3305</v>
      </c>
      <c r="E63" s="3248" t="s">
        <v>3220</v>
      </c>
      <c r="F63" s="3250">
        <v>30.45</v>
      </c>
      <c r="G63" s="3250"/>
      <c r="H63" s="3250"/>
      <c r="I63" s="3250"/>
    </row>
    <row r="64" spans="1:9">
      <c r="A64" s="3249">
        <v>63</v>
      </c>
      <c r="B64" s="3249">
        <v>-2</v>
      </c>
      <c r="C64" s="3584"/>
      <c r="D64" s="3249" t="s">
        <v>3306</v>
      </c>
      <c r="E64" s="3248" t="s">
        <v>3220</v>
      </c>
      <c r="F64" s="3250">
        <v>30.45</v>
      </c>
      <c r="G64" s="3250"/>
      <c r="H64" s="3250"/>
      <c r="I64" s="3250"/>
    </row>
    <row r="65" spans="1:9">
      <c r="A65" s="3249">
        <v>64</v>
      </c>
      <c r="B65" s="3249">
        <v>-2</v>
      </c>
      <c r="C65" s="3584"/>
      <c r="D65" s="3249" t="s">
        <v>3307</v>
      </c>
      <c r="E65" s="3248" t="s">
        <v>3220</v>
      </c>
      <c r="F65" s="3250">
        <v>30.45</v>
      </c>
      <c r="G65" s="3250"/>
      <c r="H65" s="3250"/>
      <c r="I65" s="3250"/>
    </row>
    <row r="66" spans="1:9">
      <c r="A66" s="3249">
        <v>65</v>
      </c>
      <c r="B66" s="3249">
        <v>-2</v>
      </c>
      <c r="C66" s="3584"/>
      <c r="D66" s="3249" t="s">
        <v>3308</v>
      </c>
      <c r="E66" s="3248" t="s">
        <v>3220</v>
      </c>
      <c r="F66" s="3250">
        <v>30.45</v>
      </c>
      <c r="G66" s="3250"/>
      <c r="H66" s="3250"/>
      <c r="I66" s="3250"/>
    </row>
    <row r="67" spans="1:9">
      <c r="A67" s="3249">
        <v>66</v>
      </c>
      <c r="B67" s="3249">
        <v>-2</v>
      </c>
      <c r="C67" s="3584"/>
      <c r="D67" s="3249" t="s">
        <v>3309</v>
      </c>
      <c r="E67" s="3248" t="s">
        <v>3220</v>
      </c>
      <c r="F67" s="3250">
        <v>30.45</v>
      </c>
      <c r="G67" s="3250"/>
      <c r="H67" s="3250"/>
      <c r="I67" s="3250"/>
    </row>
    <row r="68" spans="1:9">
      <c r="A68" s="3249">
        <v>67</v>
      </c>
      <c r="B68" s="3249">
        <v>-2</v>
      </c>
      <c r="C68" s="3584"/>
      <c r="D68" s="3249" t="s">
        <v>3310</v>
      </c>
      <c r="E68" s="3248" t="s">
        <v>3220</v>
      </c>
      <c r="F68" s="3250">
        <v>30.45</v>
      </c>
      <c r="G68" s="3250"/>
      <c r="H68" s="3250"/>
      <c r="I68" s="3250"/>
    </row>
    <row r="69" spans="1:9">
      <c r="A69" s="3249">
        <v>68</v>
      </c>
      <c r="B69" s="3249">
        <v>-2</v>
      </c>
      <c r="C69" s="3584"/>
      <c r="D69" s="3249" t="s">
        <v>3311</v>
      </c>
      <c r="E69" s="3248" t="s">
        <v>3220</v>
      </c>
      <c r="F69" s="3250">
        <v>30.45</v>
      </c>
      <c r="G69" s="3250"/>
      <c r="H69" s="3250"/>
      <c r="I69" s="3250"/>
    </row>
    <row r="70" spans="1:9">
      <c r="A70" s="3249">
        <v>69</v>
      </c>
      <c r="B70" s="3249">
        <v>-2</v>
      </c>
      <c r="C70" s="3584"/>
      <c r="D70" s="3249" t="s">
        <v>3312</v>
      </c>
      <c r="E70" s="3248" t="s">
        <v>3220</v>
      </c>
      <c r="F70" s="3250">
        <v>30.45</v>
      </c>
      <c r="G70" s="3250"/>
      <c r="H70" s="3250"/>
      <c r="I70" s="3250"/>
    </row>
    <row r="71" spans="1:9">
      <c r="A71" s="3249">
        <v>70</v>
      </c>
      <c r="B71" s="3249">
        <v>-2</v>
      </c>
      <c r="C71" s="3584"/>
      <c r="D71" s="3249" t="s">
        <v>3313</v>
      </c>
      <c r="E71" s="3248" t="s">
        <v>3220</v>
      </c>
      <c r="F71" s="3250">
        <v>30.45</v>
      </c>
      <c r="G71" s="3250"/>
      <c r="H71" s="3250"/>
      <c r="I71" s="3250"/>
    </row>
    <row r="72" spans="1:9">
      <c r="A72" s="3249">
        <v>71</v>
      </c>
      <c r="B72" s="3249">
        <v>-2</v>
      </c>
      <c r="C72" s="3584"/>
      <c r="D72" s="3249" t="s">
        <v>3314</v>
      </c>
      <c r="E72" s="3248" t="s">
        <v>3220</v>
      </c>
      <c r="F72" s="3250">
        <v>30.45</v>
      </c>
      <c r="G72" s="3250"/>
      <c r="H72" s="3250"/>
      <c r="I72" s="3250"/>
    </row>
    <row r="73" spans="1:9">
      <c r="A73" s="3249">
        <v>72</v>
      </c>
      <c r="B73" s="3249">
        <v>-2</v>
      </c>
      <c r="C73" s="3584"/>
      <c r="D73" s="3249" t="s">
        <v>3315</v>
      </c>
      <c r="E73" s="3248" t="s">
        <v>3220</v>
      </c>
      <c r="F73" s="3250">
        <v>30.45</v>
      </c>
      <c r="G73" s="3250"/>
      <c r="H73" s="3250"/>
      <c r="I73" s="3250"/>
    </row>
    <row r="74" spans="1:9">
      <c r="A74" s="3249">
        <v>73</v>
      </c>
      <c r="B74" s="3249">
        <v>-2</v>
      </c>
      <c r="C74" s="3584"/>
      <c r="D74" s="3249" t="s">
        <v>3316</v>
      </c>
      <c r="E74" s="3248" t="s">
        <v>3220</v>
      </c>
      <c r="F74" s="3250">
        <v>30.45</v>
      </c>
      <c r="G74" s="3250"/>
      <c r="H74" s="3250"/>
      <c r="I74" s="3250"/>
    </row>
    <row r="75" spans="1:9">
      <c r="A75" s="3249">
        <v>74</v>
      </c>
      <c r="B75" s="3249">
        <v>-2</v>
      </c>
      <c r="C75" s="3584"/>
      <c r="D75" s="3249" t="s">
        <v>3317</v>
      </c>
      <c r="E75" s="3248" t="s">
        <v>3220</v>
      </c>
      <c r="F75" s="3250">
        <v>30.45</v>
      </c>
      <c r="G75" s="3250"/>
      <c r="H75" s="3250"/>
      <c r="I75" s="3250"/>
    </row>
    <row r="76" spans="1:9">
      <c r="A76" s="3249">
        <v>75</v>
      </c>
      <c r="B76" s="3249">
        <v>-2</v>
      </c>
      <c r="C76" s="3584"/>
      <c r="D76" s="3249" t="s">
        <v>3318</v>
      </c>
      <c r="E76" s="3248" t="s">
        <v>3220</v>
      </c>
      <c r="F76" s="3250">
        <v>30.45</v>
      </c>
      <c r="G76" s="3250"/>
      <c r="H76" s="3250"/>
      <c r="I76" s="3250"/>
    </row>
    <row r="77" spans="1:9">
      <c r="A77" s="3249">
        <v>76</v>
      </c>
      <c r="B77" s="3249">
        <v>-2</v>
      </c>
      <c r="C77" s="3584"/>
      <c r="D77" s="3249" t="s">
        <v>3319</v>
      </c>
      <c r="E77" s="3248" t="s">
        <v>3220</v>
      </c>
      <c r="F77" s="3250">
        <v>30.45</v>
      </c>
      <c r="G77" s="3250"/>
      <c r="H77" s="3250"/>
      <c r="I77" s="3250"/>
    </row>
    <row r="78" spans="1:9">
      <c r="A78" s="3249">
        <v>77</v>
      </c>
      <c r="B78" s="3249">
        <v>-2</v>
      </c>
      <c r="C78" s="3584"/>
      <c r="D78" s="3249" t="s">
        <v>3320</v>
      </c>
      <c r="E78" s="3248" t="s">
        <v>3220</v>
      </c>
      <c r="F78" s="3250">
        <v>30.45</v>
      </c>
      <c r="G78" s="3250"/>
      <c r="H78" s="3250"/>
      <c r="I78" s="3250"/>
    </row>
    <row r="79" spans="1:9">
      <c r="A79" s="3249">
        <v>78</v>
      </c>
      <c r="B79" s="3249">
        <v>-2</v>
      </c>
      <c r="C79" s="3584"/>
      <c r="D79" s="3249" t="s">
        <v>3321</v>
      </c>
      <c r="E79" s="3248" t="s">
        <v>3220</v>
      </c>
      <c r="F79" s="3250">
        <v>30.45</v>
      </c>
      <c r="G79" s="3250"/>
      <c r="H79" s="3250"/>
      <c r="I79" s="3250"/>
    </row>
    <row r="80" spans="1:9">
      <c r="A80" s="3249">
        <v>79</v>
      </c>
      <c r="B80" s="3249">
        <v>-2</v>
      </c>
      <c r="C80" s="3584"/>
      <c r="D80" s="3249" t="s">
        <v>3322</v>
      </c>
      <c r="E80" s="3248" t="s">
        <v>3220</v>
      </c>
      <c r="F80" s="3250">
        <v>30.45</v>
      </c>
      <c r="G80" s="3250"/>
      <c r="H80" s="3250"/>
      <c r="I80" s="3250"/>
    </row>
    <row r="81" spans="1:9">
      <c r="A81" s="3249">
        <v>80</v>
      </c>
      <c r="B81" s="3249">
        <v>-2</v>
      </c>
      <c r="C81" s="3584"/>
      <c r="D81" s="3249" t="s">
        <v>3323</v>
      </c>
      <c r="E81" s="3248" t="s">
        <v>3220</v>
      </c>
      <c r="F81" s="3250">
        <v>30.45</v>
      </c>
      <c r="G81" s="3250"/>
      <c r="H81" s="3250"/>
      <c r="I81" s="3250"/>
    </row>
    <row r="82" spans="1:9">
      <c r="A82" s="3249">
        <v>81</v>
      </c>
      <c r="B82" s="3249">
        <v>-2</v>
      </c>
      <c r="C82" s="3584"/>
      <c r="D82" s="3249" t="s">
        <v>3324</v>
      </c>
      <c r="E82" s="3248" t="s">
        <v>3220</v>
      </c>
      <c r="F82" s="3250">
        <v>30.45</v>
      </c>
      <c r="G82" s="3250"/>
      <c r="H82" s="3250"/>
      <c r="I82" s="3250"/>
    </row>
    <row r="83" spans="1:9">
      <c r="A83" s="3249">
        <v>82</v>
      </c>
      <c r="B83" s="3249">
        <v>-2</v>
      </c>
      <c r="C83" s="3584"/>
      <c r="D83" s="3249" t="s">
        <v>3325</v>
      </c>
      <c r="E83" s="3248" t="s">
        <v>3220</v>
      </c>
      <c r="F83" s="3250">
        <v>30.45</v>
      </c>
      <c r="G83" s="3250"/>
      <c r="H83" s="3250"/>
      <c r="I83" s="3250"/>
    </row>
    <row r="84" spans="1:9">
      <c r="A84" s="3249">
        <v>83</v>
      </c>
      <c r="B84" s="3249">
        <v>-2</v>
      </c>
      <c r="C84" s="3584"/>
      <c r="D84" s="3249" t="s">
        <v>3326</v>
      </c>
      <c r="E84" s="3248" t="s">
        <v>3220</v>
      </c>
      <c r="F84" s="3250">
        <v>42.51</v>
      </c>
      <c r="G84" s="3250"/>
      <c r="H84" s="3250"/>
      <c r="I84" s="3250"/>
    </row>
    <row r="85" spans="1:9">
      <c r="A85" s="3249">
        <v>84</v>
      </c>
      <c r="B85" s="3249">
        <v>-2</v>
      </c>
      <c r="C85" s="3584"/>
      <c r="D85" s="3249" t="s">
        <v>3327</v>
      </c>
      <c r="E85" s="3248" t="s">
        <v>3220</v>
      </c>
      <c r="F85" s="3250">
        <v>30.45</v>
      </c>
      <c r="G85" s="3250"/>
      <c r="H85" s="3250"/>
      <c r="I85" s="3250"/>
    </row>
    <row r="86" spans="1:9">
      <c r="A86" s="3249">
        <v>85</v>
      </c>
      <c r="B86" s="3249">
        <v>-2</v>
      </c>
      <c r="C86" s="3584"/>
      <c r="D86" s="3249" t="s">
        <v>3328</v>
      </c>
      <c r="E86" s="3248" t="s">
        <v>3220</v>
      </c>
      <c r="F86" s="3250">
        <v>30.45</v>
      </c>
      <c r="G86" s="3250"/>
      <c r="H86" s="3250"/>
      <c r="I86" s="3250"/>
    </row>
    <row r="87" spans="1:9">
      <c r="A87" s="3249">
        <v>86</v>
      </c>
      <c r="B87" s="3249">
        <v>-2</v>
      </c>
      <c r="C87" s="3584"/>
      <c r="D87" s="3249" t="s">
        <v>3329</v>
      </c>
      <c r="E87" s="3248" t="s">
        <v>3220</v>
      </c>
      <c r="F87" s="3250">
        <v>30.45</v>
      </c>
      <c r="G87" s="3250"/>
      <c r="H87" s="3250"/>
      <c r="I87" s="3250"/>
    </row>
    <row r="88" spans="1:9">
      <c r="A88" s="3249">
        <v>87</v>
      </c>
      <c r="B88" s="3249">
        <v>-2</v>
      </c>
      <c r="C88" s="3584"/>
      <c r="D88" s="3249" t="s">
        <v>3330</v>
      </c>
      <c r="E88" s="3248" t="s">
        <v>3220</v>
      </c>
      <c r="F88" s="3250">
        <v>30.45</v>
      </c>
      <c r="G88" s="3250"/>
      <c r="H88" s="3250"/>
      <c r="I88" s="3250"/>
    </row>
    <row r="89" spans="1:9">
      <c r="A89" s="3249">
        <v>88</v>
      </c>
      <c r="B89" s="3249">
        <v>-2</v>
      </c>
      <c r="C89" s="3584"/>
      <c r="D89" s="3249" t="s">
        <v>3331</v>
      </c>
      <c r="E89" s="3248" t="s">
        <v>3220</v>
      </c>
      <c r="F89" s="3250">
        <v>30.45</v>
      </c>
      <c r="G89" s="3250"/>
      <c r="H89" s="3250"/>
      <c r="I89" s="3250"/>
    </row>
    <row r="90" spans="1:9">
      <c r="A90" s="3249">
        <v>89</v>
      </c>
      <c r="B90" s="3249">
        <v>-2</v>
      </c>
      <c r="C90" s="3584"/>
      <c r="D90" s="3249" t="s">
        <v>3332</v>
      </c>
      <c r="E90" s="3248" t="s">
        <v>3220</v>
      </c>
      <c r="F90" s="3250">
        <v>30.45</v>
      </c>
      <c r="G90" s="3250"/>
      <c r="H90" s="3250"/>
      <c r="I90" s="3250"/>
    </row>
    <row r="91" spans="1:9">
      <c r="A91" s="3249">
        <v>90</v>
      </c>
      <c r="B91" s="3249">
        <v>-2</v>
      </c>
      <c r="C91" s="3584"/>
      <c r="D91" s="3249" t="s">
        <v>3333</v>
      </c>
      <c r="E91" s="3248" t="s">
        <v>3220</v>
      </c>
      <c r="F91" s="3250">
        <v>30.45</v>
      </c>
      <c r="G91" s="3250"/>
      <c r="H91" s="3250"/>
      <c r="I91" s="3250"/>
    </row>
    <row r="92" spans="1:9">
      <c r="A92" s="3249">
        <v>91</v>
      </c>
      <c r="B92" s="3249">
        <v>-2</v>
      </c>
      <c r="C92" s="3584"/>
      <c r="D92" s="3249" t="s">
        <v>3334</v>
      </c>
      <c r="E92" s="3248" t="s">
        <v>3220</v>
      </c>
      <c r="F92" s="3250">
        <v>30.45</v>
      </c>
      <c r="G92" s="3250"/>
      <c r="H92" s="3250"/>
      <c r="I92" s="3250"/>
    </row>
    <row r="93" spans="1:9">
      <c r="A93" s="3249">
        <v>92</v>
      </c>
      <c r="B93" s="3249">
        <v>-2</v>
      </c>
      <c r="C93" s="3584"/>
      <c r="D93" s="3249" t="s">
        <v>3335</v>
      </c>
      <c r="E93" s="3248" t="s">
        <v>3220</v>
      </c>
      <c r="F93" s="3250">
        <v>30.45</v>
      </c>
      <c r="G93" s="3250"/>
      <c r="H93" s="3250"/>
      <c r="I93" s="3250"/>
    </row>
    <row r="94" spans="1:9">
      <c r="A94" s="3249">
        <v>93</v>
      </c>
      <c r="B94" s="3249">
        <v>-2</v>
      </c>
      <c r="C94" s="3584"/>
      <c r="D94" s="3249" t="s">
        <v>3336</v>
      </c>
      <c r="E94" s="3248" t="s">
        <v>3220</v>
      </c>
      <c r="F94" s="3250">
        <v>30.45</v>
      </c>
      <c r="G94" s="3250"/>
      <c r="H94" s="3250"/>
      <c r="I94" s="3250"/>
    </row>
    <row r="95" spans="1:9">
      <c r="A95" s="3249">
        <v>94</v>
      </c>
      <c r="B95" s="3249">
        <v>-2</v>
      </c>
      <c r="C95" s="3584"/>
      <c r="D95" s="3249" t="s">
        <v>3337</v>
      </c>
      <c r="E95" s="3248" t="s">
        <v>3220</v>
      </c>
      <c r="F95" s="3250">
        <v>30.45</v>
      </c>
      <c r="G95" s="3250"/>
      <c r="H95" s="3250"/>
      <c r="I95" s="3250"/>
    </row>
    <row r="96" spans="1:9">
      <c r="A96" s="3249">
        <v>95</v>
      </c>
      <c r="B96" s="3249">
        <v>-2</v>
      </c>
      <c r="C96" s="3584"/>
      <c r="D96" s="3249" t="s">
        <v>3338</v>
      </c>
      <c r="E96" s="3248" t="s">
        <v>3220</v>
      </c>
      <c r="F96" s="3250">
        <v>30.45</v>
      </c>
      <c r="G96" s="3250"/>
      <c r="H96" s="3250"/>
      <c r="I96" s="3250"/>
    </row>
    <row r="97" spans="1:9">
      <c r="A97" s="3249">
        <v>96</v>
      </c>
      <c r="B97" s="3249">
        <v>-2</v>
      </c>
      <c r="C97" s="3584"/>
      <c r="D97" s="3249" t="s">
        <v>3339</v>
      </c>
      <c r="E97" s="3248" t="s">
        <v>3220</v>
      </c>
      <c r="F97" s="3250">
        <v>30.45</v>
      </c>
      <c r="G97" s="3250"/>
      <c r="H97" s="3250"/>
      <c r="I97" s="3250"/>
    </row>
    <row r="98" spans="1:9">
      <c r="A98" s="3249">
        <v>97</v>
      </c>
      <c r="B98" s="3249">
        <v>-2</v>
      </c>
      <c r="C98" s="3584"/>
      <c r="D98" s="3249" t="s">
        <v>3340</v>
      </c>
      <c r="E98" s="3248" t="s">
        <v>3220</v>
      </c>
      <c r="F98" s="3250">
        <v>30.45</v>
      </c>
      <c r="G98" s="3250"/>
      <c r="H98" s="3250"/>
      <c r="I98" s="3250"/>
    </row>
    <row r="99" spans="1:9">
      <c r="A99" s="3249">
        <v>98</v>
      </c>
      <c r="B99" s="3249">
        <v>-2</v>
      </c>
      <c r="C99" s="3584"/>
      <c r="D99" s="3249" t="s">
        <v>3341</v>
      </c>
      <c r="E99" s="3248" t="s">
        <v>3220</v>
      </c>
      <c r="F99" s="3250">
        <v>30.45</v>
      </c>
      <c r="G99" s="3250"/>
      <c r="H99" s="3250"/>
      <c r="I99" s="3250"/>
    </row>
    <row r="100" spans="1:9">
      <c r="A100" s="3249">
        <v>99</v>
      </c>
      <c r="B100" s="3249">
        <v>-2</v>
      </c>
      <c r="C100" s="3584"/>
      <c r="D100" s="3249" t="s">
        <v>3342</v>
      </c>
      <c r="E100" s="3248" t="s">
        <v>3220</v>
      </c>
      <c r="F100" s="3250">
        <v>30.45</v>
      </c>
      <c r="G100" s="3250"/>
      <c r="H100" s="3250"/>
      <c r="I100" s="3250"/>
    </row>
    <row r="101" spans="1:9">
      <c r="A101" s="3249">
        <v>100</v>
      </c>
      <c r="B101" s="3249">
        <v>-2</v>
      </c>
      <c r="C101" s="3584"/>
      <c r="D101" s="3249" t="s">
        <v>3343</v>
      </c>
      <c r="E101" s="3248" t="s">
        <v>3220</v>
      </c>
      <c r="F101" s="3250">
        <v>30.45</v>
      </c>
      <c r="G101" s="3250"/>
      <c r="H101" s="3250"/>
      <c r="I101" s="3250"/>
    </row>
    <row r="102" spans="1:9">
      <c r="A102" s="3249">
        <v>101</v>
      </c>
      <c r="B102" s="3249">
        <v>-2</v>
      </c>
      <c r="C102" s="3584"/>
      <c r="D102" s="3249" t="s">
        <v>3344</v>
      </c>
      <c r="E102" s="3248" t="s">
        <v>3220</v>
      </c>
      <c r="F102" s="3250">
        <v>30.45</v>
      </c>
      <c r="G102" s="3250"/>
      <c r="H102" s="3250"/>
      <c r="I102" s="3250"/>
    </row>
    <row r="103" spans="1:9">
      <c r="A103" s="3249">
        <v>102</v>
      </c>
      <c r="B103" s="3249">
        <v>-2</v>
      </c>
      <c r="C103" s="3584"/>
      <c r="D103" s="3249" t="s">
        <v>3345</v>
      </c>
      <c r="E103" s="3248" t="s">
        <v>3220</v>
      </c>
      <c r="F103" s="3250">
        <v>30.45</v>
      </c>
      <c r="G103" s="3250"/>
      <c r="H103" s="3250"/>
      <c r="I103" s="3250"/>
    </row>
    <row r="104" spans="1:9">
      <c r="A104" s="3249">
        <v>103</v>
      </c>
      <c r="B104" s="3249">
        <v>-2</v>
      </c>
      <c r="C104" s="3584"/>
      <c r="D104" s="3249" t="s">
        <v>3346</v>
      </c>
      <c r="E104" s="3248" t="s">
        <v>3220</v>
      </c>
      <c r="F104" s="3250">
        <v>30.45</v>
      </c>
      <c r="G104" s="3250"/>
      <c r="H104" s="3250"/>
      <c r="I104" s="3250"/>
    </row>
    <row r="105" spans="1:9">
      <c r="A105" s="3249">
        <v>104</v>
      </c>
      <c r="B105" s="3249">
        <v>-2</v>
      </c>
      <c r="C105" s="3584"/>
      <c r="D105" s="3249" t="s">
        <v>3347</v>
      </c>
      <c r="E105" s="3248" t="s">
        <v>3220</v>
      </c>
      <c r="F105" s="3250">
        <v>30.45</v>
      </c>
      <c r="G105" s="3250"/>
      <c r="H105" s="3250"/>
      <c r="I105" s="3250"/>
    </row>
    <row r="106" spans="1:9">
      <c r="A106" s="3249">
        <v>105</v>
      </c>
      <c r="B106" s="3249">
        <v>-2</v>
      </c>
      <c r="C106" s="3584"/>
      <c r="D106" s="3249" t="s">
        <v>3348</v>
      </c>
      <c r="E106" s="3248" t="s">
        <v>3220</v>
      </c>
      <c r="F106" s="3250">
        <v>30.45</v>
      </c>
      <c r="G106" s="3250"/>
      <c r="H106" s="3250"/>
      <c r="I106" s="3250"/>
    </row>
    <row r="107" spans="1:9">
      <c r="A107" s="3249">
        <v>106</v>
      </c>
      <c r="B107" s="3249">
        <v>-2</v>
      </c>
      <c r="C107" s="3584"/>
      <c r="D107" s="3249" t="s">
        <v>3349</v>
      </c>
      <c r="E107" s="3248" t="s">
        <v>3220</v>
      </c>
      <c r="F107" s="3250">
        <v>30.45</v>
      </c>
      <c r="G107" s="3250"/>
      <c r="H107" s="3250"/>
      <c r="I107" s="3250"/>
    </row>
    <row r="108" spans="1:9">
      <c r="A108" s="3249">
        <v>107</v>
      </c>
      <c r="B108" s="3249">
        <v>-2</v>
      </c>
      <c r="C108" s="3584"/>
      <c r="D108" s="3249" t="s">
        <v>3350</v>
      </c>
      <c r="E108" s="3248" t="s">
        <v>3220</v>
      </c>
      <c r="F108" s="3250">
        <v>30.45</v>
      </c>
      <c r="G108" s="3250"/>
      <c r="H108" s="3250"/>
      <c r="I108" s="3250"/>
    </row>
    <row r="109" spans="1:9">
      <c r="A109" s="3249">
        <v>108</v>
      </c>
      <c r="B109" s="3249">
        <v>-2</v>
      </c>
      <c r="C109" s="3584"/>
      <c r="D109" s="3249" t="s">
        <v>3351</v>
      </c>
      <c r="E109" s="3248" t="s">
        <v>3220</v>
      </c>
      <c r="F109" s="3250">
        <v>30.45</v>
      </c>
      <c r="G109" s="3250"/>
      <c r="H109" s="3250"/>
      <c r="I109" s="3250"/>
    </row>
    <row r="110" spans="1:9">
      <c r="A110" s="3249">
        <v>109</v>
      </c>
      <c r="B110" s="3249">
        <v>-2</v>
      </c>
      <c r="C110" s="3584"/>
      <c r="D110" s="3249" t="s">
        <v>3352</v>
      </c>
      <c r="E110" s="3248" t="s">
        <v>3220</v>
      </c>
      <c r="F110" s="3250">
        <v>30.45</v>
      </c>
      <c r="G110" s="3250"/>
      <c r="H110" s="3250"/>
      <c r="I110" s="3250"/>
    </row>
    <row r="111" spans="1:9">
      <c r="A111" s="3249">
        <v>110</v>
      </c>
      <c r="B111" s="3249">
        <v>-3</v>
      </c>
      <c r="C111" s="3584"/>
      <c r="D111" s="3249" t="s">
        <v>3353</v>
      </c>
      <c r="E111" s="3248" t="s">
        <v>3220</v>
      </c>
      <c r="F111" s="3250">
        <v>30.45</v>
      </c>
      <c r="G111" s="3250"/>
      <c r="H111" s="3250"/>
      <c r="I111" s="3250"/>
    </row>
    <row r="112" spans="1:9">
      <c r="A112" s="3249">
        <v>111</v>
      </c>
      <c r="B112" s="3249">
        <v>-3</v>
      </c>
      <c r="C112" s="3584"/>
      <c r="D112" s="3249" t="s">
        <v>3354</v>
      </c>
      <c r="E112" s="3248" t="s">
        <v>3220</v>
      </c>
      <c r="F112" s="3250">
        <v>30.45</v>
      </c>
      <c r="G112" s="3250"/>
      <c r="H112" s="3250"/>
      <c r="I112" s="3250"/>
    </row>
    <row r="113" spans="1:9">
      <c r="A113" s="3249">
        <v>112</v>
      </c>
      <c r="B113" s="3249">
        <v>-3</v>
      </c>
      <c r="C113" s="3584"/>
      <c r="D113" s="3249" t="s">
        <v>3355</v>
      </c>
      <c r="E113" s="3248" t="s">
        <v>3220</v>
      </c>
      <c r="F113" s="3250">
        <v>30.45</v>
      </c>
      <c r="G113" s="3250"/>
      <c r="H113" s="3250"/>
      <c r="I113" s="3250"/>
    </row>
    <row r="114" spans="1:9">
      <c r="A114" s="3249">
        <v>113</v>
      </c>
      <c r="B114" s="3249">
        <v>-3</v>
      </c>
      <c r="C114" s="3584"/>
      <c r="D114" s="3249" t="s">
        <v>3356</v>
      </c>
      <c r="E114" s="3248" t="s">
        <v>3220</v>
      </c>
      <c r="F114" s="3250">
        <v>30.45</v>
      </c>
      <c r="G114" s="3250"/>
      <c r="H114" s="3250"/>
      <c r="I114" s="3250"/>
    </row>
    <row r="115" spans="1:9">
      <c r="A115" s="3249">
        <v>114</v>
      </c>
      <c r="B115" s="3249">
        <v>-3</v>
      </c>
      <c r="C115" s="3584"/>
      <c r="D115" s="3249" t="s">
        <v>3357</v>
      </c>
      <c r="E115" s="3248" t="s">
        <v>3220</v>
      </c>
      <c r="F115" s="3250">
        <v>30.45</v>
      </c>
      <c r="G115" s="3250"/>
      <c r="H115" s="3250"/>
      <c r="I115" s="3250"/>
    </row>
    <row r="116" spans="1:9">
      <c r="A116" s="3249">
        <v>115</v>
      </c>
      <c r="B116" s="3249">
        <v>-3</v>
      </c>
      <c r="C116" s="3584"/>
      <c r="D116" s="3249" t="s">
        <v>3358</v>
      </c>
      <c r="E116" s="3248" t="s">
        <v>3220</v>
      </c>
      <c r="F116" s="3250">
        <v>30.45</v>
      </c>
      <c r="G116" s="3250"/>
      <c r="H116" s="3250"/>
      <c r="I116" s="3250"/>
    </row>
    <row r="117" spans="1:9">
      <c r="A117" s="3249">
        <v>116</v>
      </c>
      <c r="B117" s="3249">
        <v>-3</v>
      </c>
      <c r="C117" s="3584"/>
      <c r="D117" s="3249" t="s">
        <v>3359</v>
      </c>
      <c r="E117" s="3248" t="s">
        <v>3220</v>
      </c>
      <c r="F117" s="3250">
        <v>30.45</v>
      </c>
      <c r="G117" s="3250"/>
      <c r="H117" s="3250"/>
      <c r="I117" s="3250"/>
    </row>
    <row r="118" spans="1:9">
      <c r="A118" s="3249">
        <v>117</v>
      </c>
      <c r="B118" s="3249">
        <v>-3</v>
      </c>
      <c r="C118" s="3584"/>
      <c r="D118" s="3249" t="s">
        <v>3360</v>
      </c>
      <c r="E118" s="3248" t="s">
        <v>3220</v>
      </c>
      <c r="F118" s="3250">
        <v>30.45</v>
      </c>
      <c r="G118" s="3250"/>
      <c r="H118" s="3250"/>
      <c r="I118" s="3250"/>
    </row>
    <row r="119" spans="1:9">
      <c r="A119" s="3249">
        <v>118</v>
      </c>
      <c r="B119" s="3249">
        <v>-3</v>
      </c>
      <c r="C119" s="3584"/>
      <c r="D119" s="3249" t="s">
        <v>3361</v>
      </c>
      <c r="E119" s="3248" t="s">
        <v>3220</v>
      </c>
      <c r="F119" s="3250">
        <v>30.45</v>
      </c>
      <c r="G119" s="3250"/>
      <c r="H119" s="3250"/>
      <c r="I119" s="3250"/>
    </row>
    <row r="120" spans="1:9">
      <c r="A120" s="3249">
        <v>119</v>
      </c>
      <c r="B120" s="3249">
        <v>-3</v>
      </c>
      <c r="C120" s="3584"/>
      <c r="D120" s="3249" t="s">
        <v>3243</v>
      </c>
      <c r="E120" s="3248" t="s">
        <v>3220</v>
      </c>
      <c r="F120" s="3250">
        <v>30.45</v>
      </c>
      <c r="G120" s="3250"/>
      <c r="H120" s="3250"/>
      <c r="I120" s="3250"/>
    </row>
    <row r="121" spans="1:9">
      <c r="A121" s="3249">
        <v>120</v>
      </c>
      <c r="B121" s="3249">
        <v>-3</v>
      </c>
      <c r="C121" s="3584"/>
      <c r="D121" s="3249" t="s">
        <v>3362</v>
      </c>
      <c r="E121" s="3248" t="s">
        <v>3220</v>
      </c>
      <c r="F121" s="3250">
        <v>30.45</v>
      </c>
      <c r="G121" s="3250"/>
      <c r="H121" s="3250"/>
      <c r="I121" s="3250"/>
    </row>
    <row r="122" spans="1:9">
      <c r="A122" s="3249">
        <v>121</v>
      </c>
      <c r="B122" s="3249">
        <v>-3</v>
      </c>
      <c r="C122" s="3584"/>
      <c r="D122" s="3249" t="s">
        <v>3363</v>
      </c>
      <c r="E122" s="3248" t="s">
        <v>3220</v>
      </c>
      <c r="F122" s="3250">
        <v>30.45</v>
      </c>
      <c r="G122" s="3250"/>
      <c r="H122" s="3250"/>
      <c r="I122" s="3250"/>
    </row>
    <row r="123" spans="1:9">
      <c r="A123" s="3249">
        <v>122</v>
      </c>
      <c r="B123" s="3249">
        <v>-3</v>
      </c>
      <c r="C123" s="3584"/>
      <c r="D123" s="3249" t="s">
        <v>3364</v>
      </c>
      <c r="E123" s="3248" t="s">
        <v>3220</v>
      </c>
      <c r="F123" s="3250">
        <v>30.45</v>
      </c>
      <c r="G123" s="3250"/>
      <c r="H123" s="3250"/>
      <c r="I123" s="3250"/>
    </row>
    <row r="124" spans="1:9">
      <c r="A124" s="3249">
        <v>123</v>
      </c>
      <c r="B124" s="3249">
        <v>-3</v>
      </c>
      <c r="C124" s="3584"/>
      <c r="D124" s="3249" t="s">
        <v>3365</v>
      </c>
      <c r="E124" s="3248" t="s">
        <v>3220</v>
      </c>
      <c r="F124" s="3250">
        <v>30.45</v>
      </c>
      <c r="G124" s="3250"/>
      <c r="H124" s="3250"/>
      <c r="I124" s="3250"/>
    </row>
    <row r="125" spans="1:9">
      <c r="A125" s="3249">
        <v>124</v>
      </c>
      <c r="B125" s="3249">
        <v>-3</v>
      </c>
      <c r="C125" s="3584"/>
      <c r="D125" s="3249" t="s">
        <v>3366</v>
      </c>
      <c r="E125" s="3248" t="s">
        <v>3220</v>
      </c>
      <c r="F125" s="3250">
        <v>30.45</v>
      </c>
      <c r="G125" s="3250"/>
      <c r="H125" s="3250"/>
      <c r="I125" s="3250"/>
    </row>
    <row r="126" spans="1:9">
      <c r="A126" s="3249">
        <v>125</v>
      </c>
      <c r="B126" s="3249">
        <v>-3</v>
      </c>
      <c r="C126" s="3584"/>
      <c r="D126" s="3249" t="s">
        <v>3367</v>
      </c>
      <c r="E126" s="3248" t="s">
        <v>3220</v>
      </c>
      <c r="F126" s="3250">
        <v>30.45</v>
      </c>
      <c r="G126" s="3250"/>
      <c r="H126" s="3250"/>
      <c r="I126" s="3250"/>
    </row>
    <row r="127" spans="1:9">
      <c r="A127" s="3249">
        <v>126</v>
      </c>
      <c r="B127" s="3249">
        <v>-3</v>
      </c>
      <c r="C127" s="3584"/>
      <c r="D127" s="3249" t="s">
        <v>3368</v>
      </c>
      <c r="E127" s="3248" t="s">
        <v>3220</v>
      </c>
      <c r="F127" s="3250">
        <v>30.45</v>
      </c>
      <c r="G127" s="3250"/>
      <c r="H127" s="3250"/>
      <c r="I127" s="3250"/>
    </row>
    <row r="128" spans="1:9">
      <c r="A128" s="3249">
        <v>127</v>
      </c>
      <c r="B128" s="3249">
        <v>-3</v>
      </c>
      <c r="C128" s="3584"/>
      <c r="D128" s="3249" t="s">
        <v>3369</v>
      </c>
      <c r="E128" s="3248" t="s">
        <v>3220</v>
      </c>
      <c r="F128" s="3250">
        <v>30.45</v>
      </c>
      <c r="G128" s="3250"/>
      <c r="H128" s="3250"/>
      <c r="I128" s="3250"/>
    </row>
    <row r="129" spans="1:9">
      <c r="A129" s="3249">
        <v>128</v>
      </c>
      <c r="B129" s="3249">
        <v>-3</v>
      </c>
      <c r="C129" s="3584"/>
      <c r="D129" s="3249" t="s">
        <v>3370</v>
      </c>
      <c r="E129" s="3248" t="s">
        <v>3220</v>
      </c>
      <c r="F129" s="3250">
        <v>30.45</v>
      </c>
      <c r="G129" s="3250"/>
      <c r="H129" s="3250"/>
      <c r="I129" s="3250"/>
    </row>
    <row r="130" spans="1:9">
      <c r="A130" s="3249">
        <v>129</v>
      </c>
      <c r="B130" s="3249">
        <v>-3</v>
      </c>
      <c r="C130" s="3584"/>
      <c r="D130" s="3249" t="s">
        <v>3371</v>
      </c>
      <c r="E130" s="3248" t="s">
        <v>3220</v>
      </c>
      <c r="F130" s="3250">
        <v>30.45</v>
      </c>
      <c r="G130" s="3250"/>
      <c r="H130" s="3250"/>
      <c r="I130" s="3250"/>
    </row>
    <row r="131" spans="1:9">
      <c r="A131" s="3249">
        <v>130</v>
      </c>
      <c r="B131" s="3249">
        <v>-3</v>
      </c>
      <c r="C131" s="3584"/>
      <c r="D131" s="3249" t="s">
        <v>3372</v>
      </c>
      <c r="E131" s="3248" t="s">
        <v>3220</v>
      </c>
      <c r="F131" s="3250">
        <v>30.45</v>
      </c>
      <c r="G131" s="3250"/>
      <c r="H131" s="3250"/>
      <c r="I131" s="3250"/>
    </row>
    <row r="132" spans="1:9">
      <c r="A132" s="3249">
        <v>131</v>
      </c>
      <c r="B132" s="3249">
        <v>-3</v>
      </c>
      <c r="C132" s="3584"/>
      <c r="D132" s="3249" t="s">
        <v>3373</v>
      </c>
      <c r="E132" s="3248" t="s">
        <v>3220</v>
      </c>
      <c r="F132" s="3250">
        <v>30.45</v>
      </c>
      <c r="G132" s="3250"/>
      <c r="H132" s="3250"/>
      <c r="I132" s="3250"/>
    </row>
    <row r="133" spans="1:9">
      <c r="A133" s="3249">
        <v>132</v>
      </c>
      <c r="B133" s="3249">
        <v>-3</v>
      </c>
      <c r="C133" s="3584"/>
      <c r="D133" s="3249" t="s">
        <v>3374</v>
      </c>
      <c r="E133" s="3248" t="s">
        <v>3220</v>
      </c>
      <c r="F133" s="3250">
        <v>30.45</v>
      </c>
      <c r="G133" s="3250"/>
      <c r="H133" s="3250"/>
      <c r="I133" s="3250"/>
    </row>
    <row r="134" spans="1:9">
      <c r="A134" s="3249">
        <v>133</v>
      </c>
      <c r="B134" s="3249">
        <v>-3</v>
      </c>
      <c r="C134" s="3584"/>
      <c r="D134" s="3249" t="s">
        <v>3375</v>
      </c>
      <c r="E134" s="3248" t="s">
        <v>3220</v>
      </c>
      <c r="F134" s="3250">
        <v>30.45</v>
      </c>
      <c r="G134" s="3250"/>
      <c r="H134" s="3250"/>
      <c r="I134" s="3250"/>
    </row>
    <row r="135" spans="1:9">
      <c r="A135" s="3249">
        <v>134</v>
      </c>
      <c r="B135" s="3249">
        <v>-3</v>
      </c>
      <c r="C135" s="3584"/>
      <c r="D135" s="3249" t="s">
        <v>3376</v>
      </c>
      <c r="E135" s="3248" t="s">
        <v>3220</v>
      </c>
      <c r="F135" s="3250">
        <v>30.45</v>
      </c>
      <c r="G135" s="3250"/>
      <c r="H135" s="3250"/>
      <c r="I135" s="3250"/>
    </row>
    <row r="136" spans="1:9">
      <c r="A136" s="3249">
        <v>135</v>
      </c>
      <c r="B136" s="3249">
        <v>-3</v>
      </c>
      <c r="C136" s="3584"/>
      <c r="D136" s="3249" t="s">
        <v>3377</v>
      </c>
      <c r="E136" s="3248" t="s">
        <v>3220</v>
      </c>
      <c r="F136" s="3250">
        <v>30.45</v>
      </c>
      <c r="G136" s="3250"/>
      <c r="H136" s="3250"/>
      <c r="I136" s="3250"/>
    </row>
    <row r="137" spans="1:9">
      <c r="A137" s="3249">
        <v>136</v>
      </c>
      <c r="B137" s="3249">
        <v>-3</v>
      </c>
      <c r="C137" s="3584"/>
      <c r="D137" s="3249" t="s">
        <v>3378</v>
      </c>
      <c r="E137" s="3248" t="s">
        <v>3220</v>
      </c>
      <c r="F137" s="3250">
        <v>30.45</v>
      </c>
      <c r="G137" s="3250"/>
      <c r="H137" s="3250"/>
      <c r="I137" s="3250"/>
    </row>
    <row r="138" spans="1:9">
      <c r="A138" s="3249">
        <v>137</v>
      </c>
      <c r="B138" s="3249">
        <v>-3</v>
      </c>
      <c r="C138" s="3584"/>
      <c r="D138" s="3249" t="s">
        <v>3379</v>
      </c>
      <c r="E138" s="3248" t="s">
        <v>3220</v>
      </c>
      <c r="F138" s="3250">
        <v>30.45</v>
      </c>
      <c r="G138" s="3250"/>
      <c r="H138" s="3250"/>
      <c r="I138" s="3250"/>
    </row>
    <row r="139" spans="1:9">
      <c r="A139" s="3249">
        <v>138</v>
      </c>
      <c r="B139" s="3249">
        <v>-3</v>
      </c>
      <c r="C139" s="3584"/>
      <c r="D139" s="3249" t="s">
        <v>3380</v>
      </c>
      <c r="E139" s="3248" t="s">
        <v>3220</v>
      </c>
      <c r="F139" s="3250">
        <v>30.45</v>
      </c>
      <c r="G139" s="3250"/>
      <c r="H139" s="3250"/>
      <c r="I139" s="3250"/>
    </row>
    <row r="140" spans="1:9">
      <c r="A140" s="3249">
        <v>139</v>
      </c>
      <c r="B140" s="3249">
        <v>-3</v>
      </c>
      <c r="C140" s="3584"/>
      <c r="D140" s="3249" t="s">
        <v>3381</v>
      </c>
      <c r="E140" s="3248" t="s">
        <v>3220</v>
      </c>
      <c r="F140" s="3250">
        <v>30.45</v>
      </c>
      <c r="G140" s="3250"/>
      <c r="H140" s="3250"/>
      <c r="I140" s="3250"/>
    </row>
    <row r="141" spans="1:9">
      <c r="A141" s="3249">
        <v>140</v>
      </c>
      <c r="B141" s="3249">
        <v>-3</v>
      </c>
      <c r="C141" s="3584"/>
      <c r="D141" s="3249" t="s">
        <v>3382</v>
      </c>
      <c r="E141" s="3248" t="s">
        <v>3220</v>
      </c>
      <c r="F141" s="3250">
        <v>30.45</v>
      </c>
      <c r="G141" s="3250"/>
      <c r="H141" s="3250"/>
      <c r="I141" s="3250"/>
    </row>
    <row r="142" spans="1:9">
      <c r="A142" s="3249">
        <v>141</v>
      </c>
      <c r="B142" s="3249">
        <v>-3</v>
      </c>
      <c r="C142" s="3584"/>
      <c r="D142" s="3249" t="s">
        <v>3383</v>
      </c>
      <c r="E142" s="3248" t="s">
        <v>3220</v>
      </c>
      <c r="F142" s="3250">
        <v>30.45</v>
      </c>
      <c r="G142" s="3250"/>
      <c r="H142" s="3250"/>
      <c r="I142" s="3250"/>
    </row>
    <row r="143" spans="1:9">
      <c r="A143" s="3249">
        <v>142</v>
      </c>
      <c r="B143" s="3249">
        <v>-3</v>
      </c>
      <c r="C143" s="3584"/>
      <c r="D143" s="3249" t="s">
        <v>3384</v>
      </c>
      <c r="E143" s="3248" t="s">
        <v>3220</v>
      </c>
      <c r="F143" s="3250">
        <v>30.45</v>
      </c>
      <c r="G143" s="3250"/>
      <c r="H143" s="3250"/>
      <c r="I143" s="3250"/>
    </row>
    <row r="144" spans="1:9">
      <c r="A144" s="3249">
        <v>143</v>
      </c>
      <c r="B144" s="3249">
        <v>-3</v>
      </c>
      <c r="C144" s="3584"/>
      <c r="D144" s="3249" t="s">
        <v>3385</v>
      </c>
      <c r="E144" s="3248" t="s">
        <v>3220</v>
      </c>
      <c r="F144" s="3250">
        <v>30.45</v>
      </c>
      <c r="G144" s="3250"/>
      <c r="H144" s="3250"/>
      <c r="I144" s="3250"/>
    </row>
    <row r="145" spans="1:9">
      <c r="A145" s="3249">
        <v>144</v>
      </c>
      <c r="B145" s="3249">
        <v>-3</v>
      </c>
      <c r="C145" s="3584"/>
      <c r="D145" s="3249" t="s">
        <v>3386</v>
      </c>
      <c r="E145" s="3248" t="s">
        <v>3220</v>
      </c>
      <c r="F145" s="3250">
        <v>30.45</v>
      </c>
      <c r="G145" s="3250"/>
      <c r="H145" s="3250"/>
      <c r="I145" s="3250"/>
    </row>
    <row r="146" spans="1:9">
      <c r="A146" s="3249">
        <v>145</v>
      </c>
      <c r="B146" s="3249">
        <v>-3</v>
      </c>
      <c r="C146" s="3584"/>
      <c r="D146" s="3249" t="s">
        <v>3387</v>
      </c>
      <c r="E146" s="3248" t="s">
        <v>3220</v>
      </c>
      <c r="F146" s="3250">
        <v>30.45</v>
      </c>
      <c r="G146" s="3250"/>
      <c r="H146" s="3250"/>
      <c r="I146" s="3250"/>
    </row>
    <row r="147" spans="1:9">
      <c r="A147" s="3249">
        <v>146</v>
      </c>
      <c r="B147" s="3249">
        <v>-3</v>
      </c>
      <c r="C147" s="3584"/>
      <c r="D147" s="3249" t="s">
        <v>3388</v>
      </c>
      <c r="E147" s="3248" t="s">
        <v>3220</v>
      </c>
      <c r="F147" s="3250">
        <v>30.45</v>
      </c>
      <c r="G147" s="3250"/>
      <c r="H147" s="3250"/>
      <c r="I147" s="3250"/>
    </row>
    <row r="148" spans="1:9">
      <c r="A148" s="3249">
        <v>147</v>
      </c>
      <c r="B148" s="3249">
        <v>-3</v>
      </c>
      <c r="C148" s="3584"/>
      <c r="D148" s="3249" t="s">
        <v>3389</v>
      </c>
      <c r="E148" s="3248" t="s">
        <v>3220</v>
      </c>
      <c r="F148" s="3250">
        <v>30.45</v>
      </c>
      <c r="G148" s="3250"/>
      <c r="H148" s="3250"/>
      <c r="I148" s="3250"/>
    </row>
    <row r="149" spans="1:9">
      <c r="A149" s="3249">
        <v>148</v>
      </c>
      <c r="B149" s="3249">
        <v>-3</v>
      </c>
      <c r="C149" s="3584"/>
      <c r="D149" s="3249" t="s">
        <v>3390</v>
      </c>
      <c r="E149" s="3248" t="s">
        <v>3220</v>
      </c>
      <c r="F149" s="3250">
        <v>30.45</v>
      </c>
      <c r="G149" s="3250"/>
      <c r="H149" s="3250"/>
      <c r="I149" s="3250"/>
    </row>
    <row r="150" spans="1:9">
      <c r="A150" s="3249">
        <v>149</v>
      </c>
      <c r="B150" s="3249">
        <v>-3</v>
      </c>
      <c r="C150" s="3584"/>
      <c r="D150" s="3249" t="s">
        <v>3391</v>
      </c>
      <c r="E150" s="3248" t="s">
        <v>3220</v>
      </c>
      <c r="F150" s="3250">
        <v>30.45</v>
      </c>
      <c r="G150" s="3250"/>
      <c r="H150" s="3250"/>
      <c r="I150" s="3250"/>
    </row>
    <row r="151" spans="1:9">
      <c r="A151" s="3249">
        <v>150</v>
      </c>
      <c r="B151" s="3249">
        <v>-3</v>
      </c>
      <c r="C151" s="3584"/>
      <c r="D151" s="3249" t="s">
        <v>3392</v>
      </c>
      <c r="E151" s="3248" t="s">
        <v>3220</v>
      </c>
      <c r="F151" s="3250">
        <v>30.45</v>
      </c>
      <c r="G151" s="3250"/>
      <c r="H151" s="3250"/>
      <c r="I151" s="3250"/>
    </row>
    <row r="152" spans="1:9">
      <c r="A152" s="3249">
        <v>151</v>
      </c>
      <c r="B152" s="3249">
        <v>-3</v>
      </c>
      <c r="C152" s="3584"/>
      <c r="D152" s="3249" t="s">
        <v>3393</v>
      </c>
      <c r="E152" s="3248" t="s">
        <v>3220</v>
      </c>
      <c r="F152" s="3250">
        <v>30.45</v>
      </c>
      <c r="G152" s="3250"/>
      <c r="H152" s="3250"/>
      <c r="I152" s="3250"/>
    </row>
    <row r="153" spans="1:9">
      <c r="A153" s="3249">
        <v>152</v>
      </c>
      <c r="B153" s="3249">
        <v>-3</v>
      </c>
      <c r="C153" s="3584"/>
      <c r="D153" s="3249" t="s">
        <v>3394</v>
      </c>
      <c r="E153" s="3248" t="s">
        <v>3220</v>
      </c>
      <c r="F153" s="3250">
        <v>30.45</v>
      </c>
      <c r="G153" s="3250"/>
      <c r="H153" s="3250"/>
      <c r="I153" s="3250"/>
    </row>
    <row r="154" spans="1:9">
      <c r="A154" s="3249">
        <v>153</v>
      </c>
      <c r="B154" s="3249">
        <v>-3</v>
      </c>
      <c r="C154" s="3584"/>
      <c r="D154" s="3249" t="s">
        <v>3395</v>
      </c>
      <c r="E154" s="3248" t="s">
        <v>3220</v>
      </c>
      <c r="F154" s="3250">
        <v>30.45</v>
      </c>
      <c r="G154" s="3250"/>
      <c r="H154" s="3250"/>
      <c r="I154" s="3250"/>
    </row>
    <row r="155" spans="1:9">
      <c r="A155" s="3249">
        <v>154</v>
      </c>
      <c r="B155" s="3249">
        <v>-3</v>
      </c>
      <c r="C155" s="3584"/>
      <c r="D155" s="3249" t="s">
        <v>3396</v>
      </c>
      <c r="E155" s="3248" t="s">
        <v>3220</v>
      </c>
      <c r="F155" s="3250">
        <v>30.45</v>
      </c>
      <c r="G155" s="3250"/>
      <c r="H155" s="3250"/>
      <c r="I155" s="3250"/>
    </row>
    <row r="156" spans="1:9">
      <c r="A156" s="3249">
        <v>155</v>
      </c>
      <c r="B156" s="3249">
        <v>-3</v>
      </c>
      <c r="C156" s="3584"/>
      <c r="D156" s="3249" t="s">
        <v>3397</v>
      </c>
      <c r="E156" s="3248" t="s">
        <v>3220</v>
      </c>
      <c r="F156" s="3250">
        <v>30.45</v>
      </c>
      <c r="G156" s="3250"/>
      <c r="H156" s="3250"/>
      <c r="I156" s="3250"/>
    </row>
    <row r="157" spans="1:9">
      <c r="A157" s="3249">
        <v>156</v>
      </c>
      <c r="B157" s="3249">
        <v>-3</v>
      </c>
      <c r="C157" s="3584"/>
      <c r="D157" s="3249" t="s">
        <v>3398</v>
      </c>
      <c r="E157" s="3248" t="s">
        <v>3220</v>
      </c>
      <c r="F157" s="3250">
        <v>30.45</v>
      </c>
      <c r="G157" s="3250"/>
      <c r="H157" s="3250"/>
      <c r="I157" s="3250"/>
    </row>
    <row r="158" spans="1:9">
      <c r="A158" s="3249">
        <v>157</v>
      </c>
      <c r="B158" s="3249">
        <v>-3</v>
      </c>
      <c r="C158" s="3584"/>
      <c r="D158" s="3249" t="s">
        <v>3399</v>
      </c>
      <c r="E158" s="3248" t="s">
        <v>3220</v>
      </c>
      <c r="F158" s="3250">
        <v>30.45</v>
      </c>
      <c r="G158" s="3250"/>
      <c r="H158" s="3250"/>
      <c r="I158" s="3250"/>
    </row>
    <row r="159" spans="1:9">
      <c r="A159" s="3249">
        <v>158</v>
      </c>
      <c r="B159" s="3249">
        <v>-3</v>
      </c>
      <c r="C159" s="3584"/>
      <c r="D159" s="3249" t="s">
        <v>3400</v>
      </c>
      <c r="E159" s="3248" t="s">
        <v>3220</v>
      </c>
      <c r="F159" s="3250">
        <v>30.45</v>
      </c>
      <c r="G159" s="3250"/>
      <c r="H159" s="3250"/>
      <c r="I159" s="3250"/>
    </row>
    <row r="160" spans="1:9">
      <c r="A160" s="3249">
        <v>159</v>
      </c>
      <c r="B160" s="3249">
        <v>-3</v>
      </c>
      <c r="C160" s="3584"/>
      <c r="D160" s="3249" t="s">
        <v>3401</v>
      </c>
      <c r="E160" s="3248" t="s">
        <v>3220</v>
      </c>
      <c r="F160" s="3250">
        <v>30.45</v>
      </c>
      <c r="G160" s="3250"/>
      <c r="H160" s="3250"/>
      <c r="I160" s="3250"/>
    </row>
    <row r="161" spans="1:9">
      <c r="A161" s="3249">
        <v>160</v>
      </c>
      <c r="B161" s="3249">
        <v>-3</v>
      </c>
      <c r="C161" s="3584"/>
      <c r="D161" s="3249" t="s">
        <v>3402</v>
      </c>
      <c r="E161" s="3248" t="s">
        <v>3220</v>
      </c>
      <c r="F161" s="3250">
        <v>30.45</v>
      </c>
      <c r="G161" s="3250"/>
      <c r="H161" s="3250"/>
      <c r="I161" s="3250"/>
    </row>
    <row r="162" spans="1:9">
      <c r="A162" s="3249">
        <v>161</v>
      </c>
      <c r="B162" s="3249">
        <v>-3</v>
      </c>
      <c r="C162" s="3584"/>
      <c r="D162" s="3249" t="s">
        <v>3403</v>
      </c>
      <c r="E162" s="3248" t="s">
        <v>3220</v>
      </c>
      <c r="F162" s="3250">
        <v>30.45</v>
      </c>
      <c r="G162" s="3250"/>
      <c r="H162" s="3250"/>
      <c r="I162" s="3250"/>
    </row>
    <row r="163" spans="1:9">
      <c r="A163" s="3249">
        <v>162</v>
      </c>
      <c r="B163" s="3249">
        <v>-3</v>
      </c>
      <c r="C163" s="3584"/>
      <c r="D163" s="3249" t="s">
        <v>3404</v>
      </c>
      <c r="E163" s="3248" t="s">
        <v>3220</v>
      </c>
      <c r="F163" s="3250">
        <v>30.45</v>
      </c>
      <c r="G163" s="3250"/>
      <c r="H163" s="3250"/>
      <c r="I163" s="3250"/>
    </row>
    <row r="164" spans="1:9">
      <c r="A164" s="3249">
        <v>163</v>
      </c>
      <c r="B164" s="3249">
        <v>-3</v>
      </c>
      <c r="C164" s="3584"/>
      <c r="D164" s="3249" t="s">
        <v>3405</v>
      </c>
      <c r="E164" s="3248" t="s">
        <v>3220</v>
      </c>
      <c r="F164" s="3250">
        <v>30.45</v>
      </c>
      <c r="G164" s="3250"/>
      <c r="H164" s="3250"/>
      <c r="I164" s="3250"/>
    </row>
    <row r="165" spans="1:9">
      <c r="A165" s="3249">
        <v>164</v>
      </c>
      <c r="B165" s="3249">
        <v>-3</v>
      </c>
      <c r="C165" s="3584"/>
      <c r="D165" s="3249" t="s">
        <v>3406</v>
      </c>
      <c r="E165" s="3248" t="s">
        <v>3220</v>
      </c>
      <c r="F165" s="3250">
        <v>30.45</v>
      </c>
      <c r="G165" s="3250"/>
      <c r="H165" s="3250"/>
      <c r="I165" s="3250"/>
    </row>
    <row r="166" spans="1:9">
      <c r="A166" s="3249">
        <v>165</v>
      </c>
      <c r="B166" s="3249">
        <v>-3</v>
      </c>
      <c r="C166" s="3584"/>
      <c r="D166" s="3249" t="s">
        <v>3407</v>
      </c>
      <c r="E166" s="3248" t="s">
        <v>3220</v>
      </c>
      <c r="F166" s="3250">
        <v>30.45</v>
      </c>
      <c r="G166" s="3250"/>
      <c r="H166" s="3250"/>
      <c r="I166" s="3250"/>
    </row>
    <row r="167" spans="1:9">
      <c r="A167" s="3249">
        <v>166</v>
      </c>
      <c r="B167" s="3249">
        <v>-3</v>
      </c>
      <c r="C167" s="3584"/>
      <c r="D167" s="3249" t="s">
        <v>3408</v>
      </c>
      <c r="E167" s="3248" t="s">
        <v>3220</v>
      </c>
      <c r="F167" s="3250">
        <v>27.41</v>
      </c>
      <c r="G167" s="3250"/>
      <c r="H167" s="3250"/>
      <c r="I167" s="3250"/>
    </row>
    <row r="168" spans="1:9">
      <c r="A168" s="3249">
        <v>167</v>
      </c>
      <c r="B168" s="3249">
        <v>-3</v>
      </c>
      <c r="C168" s="3584"/>
      <c r="D168" s="3249" t="s">
        <v>3409</v>
      </c>
      <c r="E168" s="3248" t="s">
        <v>3220</v>
      </c>
      <c r="F168" s="3250">
        <v>30.45</v>
      </c>
      <c r="G168" s="3250"/>
      <c r="H168" s="3250"/>
      <c r="I168" s="3250"/>
    </row>
    <row r="169" spans="1:9">
      <c r="A169" s="3249">
        <v>168</v>
      </c>
      <c r="B169" s="3249">
        <v>-3</v>
      </c>
      <c r="C169" s="3584"/>
      <c r="D169" s="3249" t="s">
        <v>3410</v>
      </c>
      <c r="E169" s="3248" t="s">
        <v>3220</v>
      </c>
      <c r="F169" s="3250">
        <v>30.45</v>
      </c>
      <c r="G169" s="3250"/>
      <c r="H169" s="3250"/>
      <c r="I169" s="3250"/>
    </row>
    <row r="170" spans="1:9">
      <c r="A170" s="3249">
        <v>169</v>
      </c>
      <c r="B170" s="3249">
        <v>-3</v>
      </c>
      <c r="C170" s="3584"/>
      <c r="D170" s="3249" t="s">
        <v>3411</v>
      </c>
      <c r="E170" s="3248" t="s">
        <v>3220</v>
      </c>
      <c r="F170" s="3250">
        <v>30.45</v>
      </c>
      <c r="G170" s="3250"/>
      <c r="H170" s="3250"/>
      <c r="I170" s="3250"/>
    </row>
    <row r="171" spans="1:9">
      <c r="A171" s="3249">
        <v>170</v>
      </c>
      <c r="B171" s="3249">
        <v>-3</v>
      </c>
      <c r="C171" s="3584"/>
      <c r="D171" s="3249" t="s">
        <v>3412</v>
      </c>
      <c r="E171" s="3248" t="s">
        <v>3220</v>
      </c>
      <c r="F171" s="3250">
        <v>30.45</v>
      </c>
      <c r="G171" s="3250"/>
      <c r="H171" s="3250"/>
      <c r="I171" s="3250"/>
    </row>
    <row r="172" spans="1:9">
      <c r="A172" s="3249">
        <v>171</v>
      </c>
      <c r="B172" s="3249">
        <v>-3</v>
      </c>
      <c r="C172" s="3584"/>
      <c r="D172" s="3249" t="s">
        <v>3413</v>
      </c>
      <c r="E172" s="3248" t="s">
        <v>3220</v>
      </c>
      <c r="F172" s="3250">
        <v>30.45</v>
      </c>
      <c r="G172" s="3250"/>
      <c r="H172" s="3250"/>
      <c r="I172" s="3250"/>
    </row>
    <row r="173" spans="1:9">
      <c r="A173" s="3249">
        <v>172</v>
      </c>
      <c r="B173" s="3249">
        <v>-3</v>
      </c>
      <c r="C173" s="3584"/>
      <c r="D173" s="3249" t="s">
        <v>3414</v>
      </c>
      <c r="E173" s="3248" t="s">
        <v>3220</v>
      </c>
      <c r="F173" s="3250">
        <v>30.45</v>
      </c>
      <c r="G173" s="3250"/>
      <c r="H173" s="3250"/>
      <c r="I173" s="3250"/>
    </row>
    <row r="174" spans="1:9">
      <c r="A174" s="3249">
        <v>173</v>
      </c>
      <c r="B174" s="3249">
        <v>-3</v>
      </c>
      <c r="C174" s="3584"/>
      <c r="D174" s="3249" t="s">
        <v>3415</v>
      </c>
      <c r="E174" s="3248" t="s">
        <v>3220</v>
      </c>
      <c r="F174" s="3250">
        <v>30.45</v>
      </c>
      <c r="G174" s="3250"/>
      <c r="H174" s="3250"/>
      <c r="I174" s="3250"/>
    </row>
    <row r="175" spans="1:9">
      <c r="A175" s="3249">
        <v>174</v>
      </c>
      <c r="B175" s="3249">
        <v>-3</v>
      </c>
      <c r="C175" s="3584"/>
      <c r="D175" s="3249" t="s">
        <v>3416</v>
      </c>
      <c r="E175" s="3248" t="s">
        <v>3220</v>
      </c>
      <c r="F175" s="3250">
        <v>30.45</v>
      </c>
      <c r="G175" s="3250"/>
      <c r="H175" s="3250"/>
      <c r="I175" s="3250"/>
    </row>
    <row r="176" spans="1:9">
      <c r="A176" s="3249">
        <v>175</v>
      </c>
      <c r="B176" s="3249">
        <v>-3</v>
      </c>
      <c r="C176" s="3584"/>
      <c r="D176" s="3249" t="s">
        <v>3417</v>
      </c>
      <c r="E176" s="3248" t="s">
        <v>3220</v>
      </c>
      <c r="F176" s="3250">
        <v>30.45</v>
      </c>
      <c r="G176" s="3250"/>
      <c r="H176" s="3250"/>
      <c r="I176" s="3250"/>
    </row>
    <row r="177" spans="1:9">
      <c r="A177" s="3249">
        <v>176</v>
      </c>
      <c r="B177" s="3249">
        <v>-3</v>
      </c>
      <c r="C177" s="3584"/>
      <c r="D177" s="3249" t="s">
        <v>3418</v>
      </c>
      <c r="E177" s="3248" t="s">
        <v>3220</v>
      </c>
      <c r="F177" s="3250">
        <v>30.45</v>
      </c>
      <c r="G177" s="3250"/>
      <c r="H177" s="3250"/>
      <c r="I177" s="3250"/>
    </row>
    <row r="178" spans="1:9">
      <c r="A178" s="3249">
        <v>177</v>
      </c>
      <c r="B178" s="3249">
        <v>-3</v>
      </c>
      <c r="C178" s="3584"/>
      <c r="D178" s="3249" t="s">
        <v>3419</v>
      </c>
      <c r="E178" s="3248" t="s">
        <v>3220</v>
      </c>
      <c r="F178" s="3250">
        <v>30.45</v>
      </c>
      <c r="G178" s="3250"/>
      <c r="H178" s="3250"/>
      <c r="I178" s="3250"/>
    </row>
    <row r="179" spans="1:9">
      <c r="A179" s="3249">
        <v>178</v>
      </c>
      <c r="B179" s="3249">
        <v>-3</v>
      </c>
      <c r="C179" s="3584"/>
      <c r="D179" s="3249" t="s">
        <v>3420</v>
      </c>
      <c r="E179" s="3248" t="s">
        <v>3220</v>
      </c>
      <c r="F179" s="3250">
        <v>30.45</v>
      </c>
      <c r="G179" s="3250"/>
      <c r="H179" s="3250"/>
      <c r="I179" s="3250"/>
    </row>
    <row r="180" spans="1:9">
      <c r="A180" s="3249">
        <v>179</v>
      </c>
      <c r="B180" s="3249">
        <v>-3</v>
      </c>
      <c r="C180" s="3584"/>
      <c r="D180" s="3249" t="s">
        <v>3421</v>
      </c>
      <c r="E180" s="3248" t="s">
        <v>3220</v>
      </c>
      <c r="F180" s="3250">
        <v>30.45</v>
      </c>
      <c r="G180" s="3250"/>
      <c r="H180" s="3250"/>
      <c r="I180" s="3250"/>
    </row>
    <row r="181" spans="1:9">
      <c r="A181" s="3249">
        <v>180</v>
      </c>
      <c r="B181" s="3249">
        <v>-3</v>
      </c>
      <c r="C181" s="3584"/>
      <c r="D181" s="3249" t="s">
        <v>3422</v>
      </c>
      <c r="E181" s="3248" t="s">
        <v>3220</v>
      </c>
      <c r="F181" s="3250">
        <v>30.45</v>
      </c>
      <c r="G181" s="3250"/>
      <c r="H181" s="3250"/>
      <c r="I181" s="3250"/>
    </row>
    <row r="182" spans="1:9">
      <c r="A182" s="3249">
        <v>181</v>
      </c>
      <c r="B182" s="3249">
        <v>-3</v>
      </c>
      <c r="C182" s="3584"/>
      <c r="D182" s="3249" t="s">
        <v>3423</v>
      </c>
      <c r="E182" s="3248" t="s">
        <v>3220</v>
      </c>
      <c r="F182" s="3250">
        <v>30.45</v>
      </c>
      <c r="G182" s="3250"/>
      <c r="H182" s="3250"/>
      <c r="I182" s="3250"/>
    </row>
    <row r="183" spans="1:9">
      <c r="A183" s="3249">
        <v>182</v>
      </c>
      <c r="B183" s="3249">
        <v>-3</v>
      </c>
      <c r="C183" s="3584"/>
      <c r="D183" s="3249" t="s">
        <v>3424</v>
      </c>
      <c r="E183" s="3248" t="s">
        <v>3220</v>
      </c>
      <c r="F183" s="3250">
        <v>30.45</v>
      </c>
      <c r="G183" s="3250"/>
      <c r="H183" s="3250"/>
      <c r="I183" s="3250"/>
    </row>
    <row r="184" spans="1:9">
      <c r="A184" s="3249">
        <v>183</v>
      </c>
      <c r="B184" s="3249">
        <v>-3</v>
      </c>
      <c r="C184" s="3584"/>
      <c r="D184" s="3249" t="s">
        <v>3425</v>
      </c>
      <c r="E184" s="3248" t="s">
        <v>3220</v>
      </c>
      <c r="F184" s="3250">
        <v>30.45</v>
      </c>
      <c r="G184" s="3250"/>
      <c r="H184" s="3250"/>
      <c r="I184" s="3250"/>
    </row>
    <row r="185" spans="1:9">
      <c r="A185" s="3249">
        <v>184</v>
      </c>
      <c r="B185" s="3249">
        <v>-3</v>
      </c>
      <c r="C185" s="3584"/>
      <c r="D185" s="3249" t="s">
        <v>3426</v>
      </c>
      <c r="E185" s="3248" t="s">
        <v>3220</v>
      </c>
      <c r="F185" s="3250">
        <v>30.45</v>
      </c>
      <c r="G185" s="3250"/>
      <c r="H185" s="3250"/>
      <c r="I185" s="3250"/>
    </row>
    <row r="186" spans="1:9">
      <c r="A186" s="3249">
        <v>185</v>
      </c>
      <c r="B186" s="3249">
        <v>-3</v>
      </c>
      <c r="C186" s="3584"/>
      <c r="D186" s="3249" t="s">
        <v>3427</v>
      </c>
      <c r="E186" s="3248" t="s">
        <v>3220</v>
      </c>
      <c r="F186" s="3250">
        <v>30.45</v>
      </c>
      <c r="G186" s="3250"/>
      <c r="H186" s="3250"/>
      <c r="I186" s="3250"/>
    </row>
    <row r="187" spans="1:9">
      <c r="A187" s="3249">
        <v>186</v>
      </c>
      <c r="B187" s="3249">
        <v>-3</v>
      </c>
      <c r="C187" s="3584"/>
      <c r="D187" s="3249" t="s">
        <v>3428</v>
      </c>
      <c r="E187" s="3248" t="s">
        <v>3220</v>
      </c>
      <c r="F187" s="3250">
        <v>30.45</v>
      </c>
      <c r="G187" s="3250"/>
      <c r="H187" s="3250"/>
      <c r="I187" s="3250"/>
    </row>
    <row r="188" spans="1:9">
      <c r="A188" s="3249">
        <v>187</v>
      </c>
      <c r="B188" s="3249">
        <v>-3</v>
      </c>
      <c r="C188" s="3584"/>
      <c r="D188" s="3249" t="s">
        <v>3429</v>
      </c>
      <c r="E188" s="3248" t="s">
        <v>3220</v>
      </c>
      <c r="F188" s="3250">
        <v>30.45</v>
      </c>
      <c r="G188" s="3250"/>
      <c r="H188" s="3250"/>
      <c r="I188" s="3250"/>
    </row>
    <row r="189" spans="1:9">
      <c r="A189" s="3249">
        <v>188</v>
      </c>
      <c r="B189" s="3249">
        <v>-3</v>
      </c>
      <c r="C189" s="3584"/>
      <c r="D189" s="3249" t="s">
        <v>3430</v>
      </c>
      <c r="E189" s="3248" t="s">
        <v>3220</v>
      </c>
      <c r="F189" s="3250">
        <v>30.45</v>
      </c>
      <c r="G189" s="3250"/>
      <c r="H189" s="3250"/>
      <c r="I189" s="3250"/>
    </row>
    <row r="190" spans="1:9">
      <c r="A190" s="3249">
        <v>189</v>
      </c>
      <c r="B190" s="3249">
        <v>-3</v>
      </c>
      <c r="C190" s="3584"/>
      <c r="D190" s="3249" t="s">
        <v>3431</v>
      </c>
      <c r="E190" s="3248" t="s">
        <v>3220</v>
      </c>
      <c r="F190" s="3250">
        <v>30.45</v>
      </c>
      <c r="G190" s="3250"/>
      <c r="H190" s="3250"/>
      <c r="I190" s="3250"/>
    </row>
    <row r="191" spans="1:9">
      <c r="A191" s="3249">
        <v>190</v>
      </c>
      <c r="B191" s="3249">
        <v>-3</v>
      </c>
      <c r="C191" s="3584"/>
      <c r="D191" s="3249" t="s">
        <v>3432</v>
      </c>
      <c r="E191" s="3248" t="s">
        <v>3220</v>
      </c>
      <c r="F191" s="3250">
        <v>30.45</v>
      </c>
      <c r="G191" s="3250"/>
      <c r="H191" s="3250"/>
      <c r="I191" s="3250"/>
    </row>
    <row r="192" spans="1:9">
      <c r="A192" s="3249">
        <v>191</v>
      </c>
      <c r="B192" s="3249">
        <v>-3</v>
      </c>
      <c r="C192" s="3584"/>
      <c r="D192" s="3249" t="s">
        <v>3433</v>
      </c>
      <c r="E192" s="3248" t="s">
        <v>3220</v>
      </c>
      <c r="F192" s="3250">
        <v>30.45</v>
      </c>
      <c r="G192" s="3250"/>
      <c r="H192" s="3250"/>
      <c r="I192" s="3250"/>
    </row>
    <row r="193" spans="1:9">
      <c r="A193" s="3249">
        <v>192</v>
      </c>
      <c r="B193" s="3249">
        <v>-3</v>
      </c>
      <c r="C193" s="3584"/>
      <c r="D193" s="3249" t="s">
        <v>3434</v>
      </c>
      <c r="E193" s="3248" t="s">
        <v>3220</v>
      </c>
      <c r="F193" s="3250">
        <v>30.45</v>
      </c>
      <c r="G193" s="3250"/>
      <c r="H193" s="3250"/>
      <c r="I193" s="3250"/>
    </row>
    <row r="194" spans="1:9">
      <c r="A194" s="3249">
        <v>193</v>
      </c>
      <c r="B194" s="3249">
        <v>-3</v>
      </c>
      <c r="C194" s="3584"/>
      <c r="D194" s="3249" t="s">
        <v>3435</v>
      </c>
      <c r="E194" s="3248" t="s">
        <v>3220</v>
      </c>
      <c r="F194" s="3250">
        <v>30.45</v>
      </c>
      <c r="G194" s="3250"/>
      <c r="H194" s="3250"/>
      <c r="I194" s="3250"/>
    </row>
    <row r="195" spans="1:9">
      <c r="A195" s="3249">
        <v>194</v>
      </c>
      <c r="B195" s="3249">
        <v>-3</v>
      </c>
      <c r="C195" s="3584"/>
      <c r="D195" s="3249" t="s">
        <v>3436</v>
      </c>
      <c r="E195" s="3248" t="s">
        <v>3220</v>
      </c>
      <c r="F195" s="3250">
        <v>30.45</v>
      </c>
      <c r="G195" s="3250"/>
      <c r="H195" s="3250"/>
      <c r="I195" s="3250"/>
    </row>
    <row r="196" spans="1:9">
      <c r="A196" s="3249">
        <v>195</v>
      </c>
      <c r="B196" s="3249">
        <v>-3</v>
      </c>
      <c r="C196" s="3584"/>
      <c r="D196" s="3249" t="s">
        <v>3437</v>
      </c>
      <c r="E196" s="3248" t="s">
        <v>3220</v>
      </c>
      <c r="F196" s="3250">
        <v>30.45</v>
      </c>
      <c r="G196" s="3250"/>
      <c r="H196" s="3250"/>
      <c r="I196" s="3250"/>
    </row>
    <row r="197" spans="1:9">
      <c r="A197" s="3249">
        <v>196</v>
      </c>
      <c r="B197" s="3249">
        <v>-3</v>
      </c>
      <c r="C197" s="3584"/>
      <c r="D197" s="3249" t="s">
        <v>3438</v>
      </c>
      <c r="E197" s="3248" t="s">
        <v>3220</v>
      </c>
      <c r="F197" s="3250">
        <v>30.45</v>
      </c>
      <c r="G197" s="3250"/>
      <c r="H197" s="3250"/>
      <c r="I197" s="3250"/>
    </row>
    <row r="198" spans="1:9">
      <c r="A198" s="3249">
        <v>197</v>
      </c>
      <c r="B198" s="3249">
        <v>-3</v>
      </c>
      <c r="C198" s="3584"/>
      <c r="D198" s="3249" t="s">
        <v>3439</v>
      </c>
      <c r="E198" s="3248" t="s">
        <v>3220</v>
      </c>
      <c r="F198" s="3250">
        <v>30.45</v>
      </c>
      <c r="G198" s="3250"/>
      <c r="H198" s="3250"/>
      <c r="I198" s="3250"/>
    </row>
    <row r="199" spans="1:9">
      <c r="A199" s="3249">
        <v>198</v>
      </c>
      <c r="B199" s="3249">
        <v>-3</v>
      </c>
      <c r="C199" s="3584"/>
      <c r="D199" s="3249" t="s">
        <v>3440</v>
      </c>
      <c r="E199" s="3248" t="s">
        <v>3220</v>
      </c>
      <c r="F199" s="3250">
        <v>30.45</v>
      </c>
      <c r="G199" s="3250"/>
      <c r="H199" s="3250"/>
      <c r="I199" s="3250"/>
    </row>
    <row r="200" spans="1:9">
      <c r="A200" s="3249">
        <v>199</v>
      </c>
      <c r="B200" s="3249">
        <v>-3</v>
      </c>
      <c r="C200" s="3584"/>
      <c r="D200" s="3249" t="s">
        <v>3441</v>
      </c>
      <c r="E200" s="3248" t="s">
        <v>3220</v>
      </c>
      <c r="F200" s="3250">
        <v>30.45</v>
      </c>
      <c r="G200" s="3250"/>
      <c r="H200" s="3250"/>
      <c r="I200" s="3250"/>
    </row>
    <row r="201" spans="1:9">
      <c r="A201" s="3249">
        <v>200</v>
      </c>
      <c r="B201" s="3249">
        <v>-3</v>
      </c>
      <c r="C201" s="3584"/>
      <c r="D201" s="3249" t="s">
        <v>3442</v>
      </c>
      <c r="E201" s="3248" t="s">
        <v>3220</v>
      </c>
      <c r="F201" s="3250">
        <v>30.45</v>
      </c>
      <c r="G201" s="3250"/>
      <c r="H201" s="3250"/>
      <c r="I201" s="3250"/>
    </row>
    <row r="202" spans="1:9">
      <c r="A202" s="3249">
        <v>201</v>
      </c>
      <c r="B202" s="3249">
        <v>-3</v>
      </c>
      <c r="C202" s="3584"/>
      <c r="D202" s="3249" t="s">
        <v>3443</v>
      </c>
      <c r="E202" s="3248" t="s">
        <v>3220</v>
      </c>
      <c r="F202" s="3250">
        <v>30.45</v>
      </c>
      <c r="G202" s="3250"/>
      <c r="H202" s="3250"/>
      <c r="I202" s="3250"/>
    </row>
    <row r="203" spans="1:9">
      <c r="A203" s="3249">
        <v>202</v>
      </c>
      <c r="B203" s="3249">
        <v>-3</v>
      </c>
      <c r="C203" s="3584"/>
      <c r="D203" s="3249" t="s">
        <v>3444</v>
      </c>
      <c r="E203" s="3248" t="s">
        <v>3220</v>
      </c>
      <c r="F203" s="3250">
        <v>30.45</v>
      </c>
      <c r="G203" s="3250"/>
      <c r="H203" s="3250"/>
      <c r="I203" s="3250"/>
    </row>
    <row r="204" spans="1:9">
      <c r="A204" s="3249">
        <v>203</v>
      </c>
      <c r="B204" s="3249">
        <v>-3</v>
      </c>
      <c r="C204" s="3584"/>
      <c r="D204" s="3249" t="s">
        <v>3445</v>
      </c>
      <c r="E204" s="3248" t="s">
        <v>3220</v>
      </c>
      <c r="F204" s="3250">
        <v>30.45</v>
      </c>
      <c r="G204" s="3250"/>
      <c r="H204" s="3250"/>
      <c r="I204" s="3250"/>
    </row>
    <row r="205" spans="1:9">
      <c r="A205" s="3249">
        <v>204</v>
      </c>
      <c r="B205" s="3249">
        <v>-3</v>
      </c>
      <c r="C205" s="3584"/>
      <c r="D205" s="3249" t="s">
        <v>3446</v>
      </c>
      <c r="E205" s="3248" t="s">
        <v>3220</v>
      </c>
      <c r="F205" s="3250">
        <v>30.45</v>
      </c>
      <c r="G205" s="3250"/>
      <c r="H205" s="3250"/>
      <c r="I205" s="3250"/>
    </row>
    <row r="206" spans="1:9">
      <c r="A206" s="3249">
        <v>205</v>
      </c>
      <c r="B206" s="3249">
        <v>-3</v>
      </c>
      <c r="C206" s="3584"/>
      <c r="D206" s="3249" t="s">
        <v>3447</v>
      </c>
      <c r="E206" s="3248" t="s">
        <v>3220</v>
      </c>
      <c r="F206" s="3250">
        <v>30.45</v>
      </c>
      <c r="G206" s="3250"/>
      <c r="H206" s="3250"/>
      <c r="I206" s="3250"/>
    </row>
    <row r="207" spans="1:9">
      <c r="A207" s="3249">
        <v>206</v>
      </c>
      <c r="B207" s="3249">
        <v>-3</v>
      </c>
      <c r="C207" s="3584"/>
      <c r="D207" s="3249" t="s">
        <v>3448</v>
      </c>
      <c r="E207" s="3248" t="s">
        <v>3220</v>
      </c>
      <c r="F207" s="3250">
        <v>30.45</v>
      </c>
      <c r="G207" s="3250"/>
      <c r="H207" s="3250"/>
      <c r="I207" s="3250"/>
    </row>
    <row r="208" spans="1:9">
      <c r="A208" s="3249">
        <v>207</v>
      </c>
      <c r="B208" s="3249">
        <v>-3</v>
      </c>
      <c r="C208" s="3584"/>
      <c r="D208" s="3249" t="s">
        <v>3449</v>
      </c>
      <c r="E208" s="3248" t="s">
        <v>3220</v>
      </c>
      <c r="F208" s="3250">
        <v>30.45</v>
      </c>
      <c r="G208" s="3250"/>
      <c r="H208" s="3250"/>
      <c r="I208" s="3250"/>
    </row>
    <row r="209" spans="1:9">
      <c r="A209" s="3249">
        <v>208</v>
      </c>
      <c r="B209" s="3249">
        <v>-3</v>
      </c>
      <c r="C209" s="3584"/>
      <c r="D209" s="3249" t="s">
        <v>3450</v>
      </c>
      <c r="E209" s="3248" t="s">
        <v>3220</v>
      </c>
      <c r="F209" s="3250">
        <v>30.45</v>
      </c>
      <c r="G209" s="3250"/>
      <c r="H209" s="3250"/>
      <c r="I209" s="3250"/>
    </row>
    <row r="210" spans="1:9">
      <c r="A210" s="3249">
        <v>209</v>
      </c>
      <c r="B210" s="3249">
        <v>-3</v>
      </c>
      <c r="C210" s="3584"/>
      <c r="D210" s="3249" t="s">
        <v>3451</v>
      </c>
      <c r="E210" s="3248" t="s">
        <v>3220</v>
      </c>
      <c r="F210" s="3250">
        <v>30.45</v>
      </c>
      <c r="G210" s="3250"/>
      <c r="H210" s="3250"/>
      <c r="I210" s="3250"/>
    </row>
    <row r="211" spans="1:9">
      <c r="A211" s="3249">
        <v>210</v>
      </c>
      <c r="B211" s="3249">
        <v>-3</v>
      </c>
      <c r="C211" s="3584"/>
      <c r="D211" s="3249" t="s">
        <v>3452</v>
      </c>
      <c r="E211" s="3248" t="s">
        <v>3220</v>
      </c>
      <c r="F211" s="3250">
        <v>30.45</v>
      </c>
      <c r="G211" s="3250"/>
      <c r="H211" s="3250"/>
      <c r="I211" s="3250"/>
    </row>
    <row r="212" spans="1:9">
      <c r="A212" s="3249">
        <v>211</v>
      </c>
      <c r="B212" s="3249">
        <v>-3</v>
      </c>
      <c r="C212" s="3584"/>
      <c r="D212" s="3249" t="s">
        <v>3453</v>
      </c>
      <c r="E212" s="3248" t="s">
        <v>3220</v>
      </c>
      <c r="F212" s="3250">
        <v>30.45</v>
      </c>
      <c r="G212" s="3250"/>
      <c r="H212" s="3250"/>
      <c r="I212" s="3250"/>
    </row>
    <row r="213" spans="1:9">
      <c r="A213" s="3249">
        <v>212</v>
      </c>
      <c r="B213" s="3249">
        <v>-3</v>
      </c>
      <c r="C213" s="3584"/>
      <c r="D213" s="3249" t="s">
        <v>3454</v>
      </c>
      <c r="E213" s="3248" t="s">
        <v>3220</v>
      </c>
      <c r="F213" s="3250">
        <v>30.45</v>
      </c>
      <c r="G213" s="3250"/>
      <c r="H213" s="3250"/>
      <c r="I213" s="3250"/>
    </row>
    <row r="214" spans="1:9">
      <c r="A214" s="3249">
        <v>213</v>
      </c>
      <c r="B214" s="3249">
        <v>-3</v>
      </c>
      <c r="C214" s="3584"/>
      <c r="D214" s="3249" t="s">
        <v>3455</v>
      </c>
      <c r="E214" s="3248" t="s">
        <v>3220</v>
      </c>
      <c r="F214" s="3250">
        <v>30.45</v>
      </c>
      <c r="G214" s="3250"/>
      <c r="H214" s="3250"/>
      <c r="I214" s="3250"/>
    </row>
    <row r="215" spans="1:9">
      <c r="A215" s="3249">
        <v>214</v>
      </c>
      <c r="B215" s="3249">
        <v>-3</v>
      </c>
      <c r="C215" s="3584"/>
      <c r="D215" s="3249" t="s">
        <v>3456</v>
      </c>
      <c r="E215" s="3248" t="s">
        <v>3220</v>
      </c>
      <c r="F215" s="3250">
        <v>30.45</v>
      </c>
      <c r="G215" s="3250"/>
      <c r="H215" s="3250"/>
      <c r="I215" s="3250"/>
    </row>
    <row r="216" spans="1:9">
      <c r="A216" s="3249">
        <v>215</v>
      </c>
      <c r="B216" s="3249">
        <v>-3</v>
      </c>
      <c r="C216" s="3584"/>
      <c r="D216" s="3249" t="s">
        <v>3457</v>
      </c>
      <c r="E216" s="3248" t="s">
        <v>3220</v>
      </c>
      <c r="F216" s="3250">
        <v>30.45</v>
      </c>
      <c r="G216" s="3250"/>
      <c r="H216" s="3250"/>
      <c r="I216" s="3250"/>
    </row>
    <row r="217" spans="1:9">
      <c r="A217" s="3249">
        <v>216</v>
      </c>
      <c r="B217" s="3249">
        <v>-3</v>
      </c>
      <c r="C217" s="3584"/>
      <c r="D217" s="3249" t="s">
        <v>3458</v>
      </c>
      <c r="E217" s="3248" t="s">
        <v>3220</v>
      </c>
      <c r="F217" s="3250">
        <v>30.45</v>
      </c>
      <c r="G217" s="3250"/>
      <c r="H217" s="3250"/>
      <c r="I217" s="3250"/>
    </row>
    <row r="218" spans="1:9">
      <c r="A218" s="3249">
        <v>217</v>
      </c>
      <c r="B218" s="3249">
        <v>-3</v>
      </c>
      <c r="C218" s="3584"/>
      <c r="D218" s="3249" t="s">
        <v>3459</v>
      </c>
      <c r="E218" s="3248" t="s">
        <v>3220</v>
      </c>
      <c r="F218" s="3250">
        <v>30.45</v>
      </c>
      <c r="G218" s="3250"/>
      <c r="H218" s="3250"/>
      <c r="I218" s="3250"/>
    </row>
    <row r="219" spans="1:9">
      <c r="A219" s="3249">
        <v>218</v>
      </c>
      <c r="B219" s="3249">
        <v>-3</v>
      </c>
      <c r="C219" s="3584"/>
      <c r="D219" s="3249" t="s">
        <v>3460</v>
      </c>
      <c r="E219" s="3248" t="s">
        <v>3220</v>
      </c>
      <c r="F219" s="3250">
        <v>30.45</v>
      </c>
      <c r="G219" s="3250"/>
      <c r="H219" s="3250"/>
      <c r="I219" s="3250"/>
    </row>
    <row r="220" spans="1:9">
      <c r="A220" s="3249">
        <v>219</v>
      </c>
      <c r="B220" s="3249">
        <v>-3</v>
      </c>
      <c r="C220" s="3584"/>
      <c r="D220" s="3249" t="s">
        <v>3461</v>
      </c>
      <c r="E220" s="3248" t="s">
        <v>3220</v>
      </c>
      <c r="F220" s="3250">
        <v>30.45</v>
      </c>
      <c r="G220" s="3250"/>
      <c r="H220" s="3250"/>
      <c r="I220" s="3250"/>
    </row>
    <row r="221" spans="1:9">
      <c r="A221" s="3249">
        <v>220</v>
      </c>
      <c r="B221" s="3249">
        <v>-3</v>
      </c>
      <c r="C221" s="3584"/>
      <c r="D221" s="3249" t="s">
        <v>3462</v>
      </c>
      <c r="E221" s="3248" t="s">
        <v>3220</v>
      </c>
      <c r="F221" s="3250">
        <v>30.45</v>
      </c>
      <c r="G221" s="3250"/>
      <c r="H221" s="3250"/>
      <c r="I221" s="3250"/>
    </row>
    <row r="222" spans="1:9">
      <c r="A222" s="3249">
        <v>221</v>
      </c>
      <c r="B222" s="3249">
        <v>-3</v>
      </c>
      <c r="C222" s="3584"/>
      <c r="D222" s="3249" t="s">
        <v>3463</v>
      </c>
      <c r="E222" s="3248" t="s">
        <v>3220</v>
      </c>
      <c r="F222" s="3250">
        <v>30.45</v>
      </c>
      <c r="G222" s="3250"/>
      <c r="H222" s="3250"/>
      <c r="I222" s="3250"/>
    </row>
    <row r="223" spans="1:9">
      <c r="A223" s="3249">
        <v>222</v>
      </c>
      <c r="B223" s="3249">
        <v>-3</v>
      </c>
      <c r="C223" s="3584"/>
      <c r="D223" s="3249" t="s">
        <v>3464</v>
      </c>
      <c r="E223" s="3248" t="s">
        <v>3220</v>
      </c>
      <c r="F223" s="3250">
        <v>30.45</v>
      </c>
      <c r="G223" s="3250"/>
      <c r="H223" s="3250"/>
      <c r="I223" s="3250"/>
    </row>
    <row r="224" spans="1:9">
      <c r="A224" s="3249">
        <v>223</v>
      </c>
      <c r="B224" s="3249">
        <v>-3</v>
      </c>
      <c r="C224" s="3584"/>
      <c r="D224" s="3249" t="s">
        <v>3465</v>
      </c>
      <c r="E224" s="3248" t="s">
        <v>3220</v>
      </c>
      <c r="F224" s="3250">
        <v>30.45</v>
      </c>
      <c r="G224" s="3250"/>
      <c r="H224" s="3250"/>
      <c r="I224" s="3250"/>
    </row>
    <row r="225" spans="1:9">
      <c r="A225" s="3249">
        <v>224</v>
      </c>
      <c r="B225" s="3249">
        <v>-3</v>
      </c>
      <c r="C225" s="3584"/>
      <c r="D225" s="3249" t="s">
        <v>3466</v>
      </c>
      <c r="E225" s="3248" t="s">
        <v>3220</v>
      </c>
      <c r="F225" s="3250">
        <v>30.45</v>
      </c>
      <c r="G225" s="3250"/>
      <c r="H225" s="3250"/>
      <c r="I225" s="3250"/>
    </row>
    <row r="226" spans="1:9">
      <c r="A226" s="3249">
        <v>225</v>
      </c>
      <c r="B226" s="3249">
        <v>-3</v>
      </c>
      <c r="C226" s="3584"/>
      <c r="D226" s="3249" t="s">
        <v>3467</v>
      </c>
      <c r="E226" s="3248" t="s">
        <v>3220</v>
      </c>
      <c r="F226" s="3250">
        <v>42.51</v>
      </c>
      <c r="G226" s="3250"/>
      <c r="H226" s="3250"/>
      <c r="I226" s="3250"/>
    </row>
    <row r="227" spans="1:9">
      <c r="A227" s="3249">
        <v>226</v>
      </c>
      <c r="B227" s="3249">
        <v>-3</v>
      </c>
      <c r="C227" s="3584"/>
      <c r="D227" s="3249" t="s">
        <v>3468</v>
      </c>
      <c r="E227" s="3248" t="s">
        <v>3220</v>
      </c>
      <c r="F227" s="3250">
        <v>30.45</v>
      </c>
      <c r="G227" s="3250"/>
      <c r="H227" s="3250"/>
      <c r="I227" s="3250"/>
    </row>
    <row r="228" spans="1:9">
      <c r="A228" s="3249">
        <v>227</v>
      </c>
      <c r="B228" s="3249">
        <v>-3</v>
      </c>
      <c r="C228" s="3584"/>
      <c r="D228" s="3249" t="s">
        <v>3469</v>
      </c>
      <c r="E228" s="3248" t="s">
        <v>3220</v>
      </c>
      <c r="F228" s="3250">
        <v>30.45</v>
      </c>
      <c r="G228" s="3250"/>
      <c r="H228" s="3250"/>
      <c r="I228" s="3250"/>
    </row>
    <row r="229" spans="1:9">
      <c r="A229" s="3249">
        <v>228</v>
      </c>
      <c r="B229" s="3249">
        <v>-3</v>
      </c>
      <c r="C229" s="3584"/>
      <c r="D229" s="3249" t="s">
        <v>3470</v>
      </c>
      <c r="E229" s="3248" t="s">
        <v>3220</v>
      </c>
      <c r="F229" s="3250">
        <v>30.45</v>
      </c>
      <c r="G229" s="3250"/>
      <c r="H229" s="3250"/>
      <c r="I229" s="3250"/>
    </row>
    <row r="230" spans="1:9">
      <c r="A230" s="3249">
        <v>229</v>
      </c>
      <c r="B230" s="3249">
        <v>-3</v>
      </c>
      <c r="C230" s="3584"/>
      <c r="D230" s="3249" t="s">
        <v>3471</v>
      </c>
      <c r="E230" s="3248" t="s">
        <v>3220</v>
      </c>
      <c r="F230" s="3250">
        <v>30.45</v>
      </c>
      <c r="G230" s="3250"/>
      <c r="H230" s="3250"/>
      <c r="I230" s="3250"/>
    </row>
    <row r="231" spans="1:9">
      <c r="A231" s="3249">
        <v>230</v>
      </c>
      <c r="B231" s="3249">
        <v>-3</v>
      </c>
      <c r="C231" s="3584"/>
      <c r="D231" s="3249" t="s">
        <v>3472</v>
      </c>
      <c r="E231" s="3248" t="s">
        <v>3220</v>
      </c>
      <c r="F231" s="3250">
        <v>30.45</v>
      </c>
      <c r="G231" s="3250"/>
      <c r="H231" s="3250"/>
      <c r="I231" s="3250"/>
    </row>
    <row r="232" spans="1:9">
      <c r="A232" s="3249">
        <v>231</v>
      </c>
      <c r="B232" s="3249">
        <v>-3</v>
      </c>
      <c r="C232" s="3584"/>
      <c r="D232" s="3249" t="s">
        <v>3473</v>
      </c>
      <c r="E232" s="3248" t="s">
        <v>3220</v>
      </c>
      <c r="F232" s="3250">
        <v>30.45</v>
      </c>
      <c r="G232" s="3250"/>
      <c r="H232" s="3250"/>
      <c r="I232" s="3250"/>
    </row>
    <row r="233" spans="1:9">
      <c r="A233" s="3249">
        <v>232</v>
      </c>
      <c r="B233" s="3249">
        <v>-3</v>
      </c>
      <c r="C233" s="3584"/>
      <c r="D233" s="3249" t="s">
        <v>3474</v>
      </c>
      <c r="E233" s="3248" t="s">
        <v>3220</v>
      </c>
      <c r="F233" s="3250">
        <v>30.45</v>
      </c>
      <c r="G233" s="3250"/>
      <c r="H233" s="3250"/>
      <c r="I233" s="3250"/>
    </row>
    <row r="234" spans="1:9">
      <c r="A234" s="3249">
        <v>233</v>
      </c>
      <c r="B234" s="3249">
        <v>-3</v>
      </c>
      <c r="C234" s="3584"/>
      <c r="D234" s="3249" t="s">
        <v>3475</v>
      </c>
      <c r="E234" s="3248" t="s">
        <v>3220</v>
      </c>
      <c r="F234" s="3250">
        <v>30.45</v>
      </c>
      <c r="G234" s="3250"/>
      <c r="H234" s="3250"/>
      <c r="I234" s="3250"/>
    </row>
    <row r="235" spans="1:9">
      <c r="A235" s="3249">
        <v>234</v>
      </c>
      <c r="B235" s="3249">
        <v>-3</v>
      </c>
      <c r="C235" s="3584"/>
      <c r="D235" s="3249" t="s">
        <v>3476</v>
      </c>
      <c r="E235" s="3248" t="s">
        <v>3220</v>
      </c>
      <c r="F235" s="3250">
        <v>30.45</v>
      </c>
      <c r="G235" s="3250"/>
      <c r="H235" s="3250"/>
      <c r="I235" s="3250"/>
    </row>
    <row r="236" spans="1:9">
      <c r="A236" s="3249">
        <v>235</v>
      </c>
      <c r="B236" s="3249">
        <v>-3</v>
      </c>
      <c r="C236" s="3584"/>
      <c r="D236" s="3249" t="s">
        <v>3477</v>
      </c>
      <c r="E236" s="3248" t="s">
        <v>3220</v>
      </c>
      <c r="F236" s="3250">
        <v>30.45</v>
      </c>
      <c r="G236" s="3250"/>
      <c r="H236" s="3250"/>
      <c r="I236" s="3250"/>
    </row>
    <row r="237" spans="1:9">
      <c r="A237" s="3249">
        <v>236</v>
      </c>
      <c r="B237" s="3249">
        <v>-3</v>
      </c>
      <c r="C237" s="3584"/>
      <c r="D237" s="3249" t="s">
        <v>3478</v>
      </c>
      <c r="E237" s="3248" t="s">
        <v>3220</v>
      </c>
      <c r="F237" s="3250">
        <v>30.45</v>
      </c>
      <c r="G237" s="3250"/>
      <c r="H237" s="3250"/>
      <c r="I237" s="3250"/>
    </row>
    <row r="238" spans="1:9">
      <c r="A238" s="3249">
        <v>237</v>
      </c>
      <c r="B238" s="3249">
        <v>-3</v>
      </c>
      <c r="C238" s="3584"/>
      <c r="D238" s="3249" t="s">
        <v>3479</v>
      </c>
      <c r="E238" s="3248" t="s">
        <v>3220</v>
      </c>
      <c r="F238" s="3250">
        <v>30.45</v>
      </c>
      <c r="G238" s="3250"/>
      <c r="H238" s="3250"/>
      <c r="I238" s="3250"/>
    </row>
    <row r="239" spans="1:9">
      <c r="A239" s="3249">
        <v>238</v>
      </c>
      <c r="B239" s="3249">
        <v>-3</v>
      </c>
      <c r="C239" s="3584"/>
      <c r="D239" s="3249" t="s">
        <v>3480</v>
      </c>
      <c r="E239" s="3248" t="s">
        <v>3220</v>
      </c>
      <c r="F239" s="3250">
        <v>30.45</v>
      </c>
      <c r="G239" s="3250"/>
      <c r="H239" s="3250"/>
      <c r="I239" s="3250"/>
    </row>
    <row r="240" spans="1:9">
      <c r="A240" s="3249">
        <v>239</v>
      </c>
      <c r="B240" s="3249">
        <v>-3</v>
      </c>
      <c r="C240" s="3584"/>
      <c r="D240" s="3249" t="s">
        <v>3481</v>
      </c>
      <c r="E240" s="3248" t="s">
        <v>3220</v>
      </c>
      <c r="F240" s="3250">
        <v>30.45</v>
      </c>
      <c r="G240" s="3250"/>
      <c r="H240" s="3250"/>
      <c r="I240" s="3250"/>
    </row>
    <row r="241" spans="1:9">
      <c r="A241" s="3249">
        <v>240</v>
      </c>
      <c r="B241" s="3249">
        <v>-3</v>
      </c>
      <c r="C241" s="3584"/>
      <c r="D241" s="3249" t="s">
        <v>3482</v>
      </c>
      <c r="E241" s="3248" t="s">
        <v>3220</v>
      </c>
      <c r="F241" s="3250">
        <v>30.45</v>
      </c>
      <c r="G241" s="3250"/>
      <c r="H241" s="3250"/>
      <c r="I241" s="3250"/>
    </row>
    <row r="242" spans="1:9">
      <c r="A242" s="3249">
        <v>241</v>
      </c>
      <c r="B242" s="3249">
        <v>-3</v>
      </c>
      <c r="C242" s="3584"/>
      <c r="D242" s="3249" t="s">
        <v>3483</v>
      </c>
      <c r="E242" s="3248" t="s">
        <v>3220</v>
      </c>
      <c r="F242" s="3250">
        <v>30.45</v>
      </c>
      <c r="G242" s="3250"/>
      <c r="H242" s="3250"/>
      <c r="I242" s="3250"/>
    </row>
    <row r="243" spans="1:9">
      <c r="A243" s="3249">
        <v>242</v>
      </c>
      <c r="B243" s="3249">
        <v>-3</v>
      </c>
      <c r="C243" s="3584"/>
      <c r="D243" s="3249" t="s">
        <v>3484</v>
      </c>
      <c r="E243" s="3248" t="s">
        <v>3220</v>
      </c>
      <c r="F243" s="3250">
        <v>30.45</v>
      </c>
      <c r="G243" s="3250"/>
      <c r="H243" s="3250"/>
      <c r="I243" s="3250"/>
    </row>
    <row r="244" spans="1:9">
      <c r="A244" s="3249">
        <v>243</v>
      </c>
      <c r="B244" s="3249">
        <v>-3</v>
      </c>
      <c r="C244" s="3584"/>
      <c r="D244" s="3249" t="s">
        <v>3485</v>
      </c>
      <c r="E244" s="3248" t="s">
        <v>3220</v>
      </c>
      <c r="F244" s="3250">
        <v>30.45</v>
      </c>
      <c r="G244" s="3250"/>
      <c r="H244" s="3250"/>
      <c r="I244" s="3250"/>
    </row>
    <row r="245" spans="1:9">
      <c r="A245" s="3249">
        <v>244</v>
      </c>
      <c r="B245" s="3249">
        <v>-3</v>
      </c>
      <c r="C245" s="3584"/>
      <c r="D245" s="3249" t="s">
        <v>3486</v>
      </c>
      <c r="E245" s="3248" t="s">
        <v>3220</v>
      </c>
      <c r="F245" s="3250">
        <v>30.45</v>
      </c>
      <c r="G245" s="3250"/>
      <c r="H245" s="3250"/>
      <c r="I245" s="3250"/>
    </row>
    <row r="246" spans="1:9">
      <c r="A246" s="3249">
        <v>245</v>
      </c>
      <c r="B246" s="3249">
        <v>-3</v>
      </c>
      <c r="C246" s="3584"/>
      <c r="D246" s="3249" t="s">
        <v>3487</v>
      </c>
      <c r="E246" s="3248" t="s">
        <v>3220</v>
      </c>
      <c r="F246" s="3250">
        <v>30.45</v>
      </c>
      <c r="G246" s="3250"/>
      <c r="H246" s="3250"/>
      <c r="I246" s="3250"/>
    </row>
    <row r="247" spans="1:9">
      <c r="A247" s="3249">
        <v>246</v>
      </c>
      <c r="B247" s="3249">
        <v>-3</v>
      </c>
      <c r="C247" s="3584"/>
      <c r="D247" s="3249" t="s">
        <v>3488</v>
      </c>
      <c r="E247" s="3248" t="s">
        <v>3220</v>
      </c>
      <c r="F247" s="3250">
        <v>30.45</v>
      </c>
      <c r="G247" s="3250"/>
      <c r="H247" s="3250"/>
      <c r="I247" s="3250"/>
    </row>
    <row r="248" spans="1:9">
      <c r="A248" s="3249">
        <v>247</v>
      </c>
      <c r="B248" s="3249">
        <v>-3</v>
      </c>
      <c r="C248" s="3584"/>
      <c r="D248" s="3249" t="s">
        <v>3489</v>
      </c>
      <c r="E248" s="3248" t="s">
        <v>3220</v>
      </c>
      <c r="F248" s="3250">
        <v>30.45</v>
      </c>
      <c r="G248" s="3250"/>
      <c r="H248" s="3250"/>
      <c r="I248" s="3250"/>
    </row>
    <row r="249" spans="1:9">
      <c r="A249" s="3249">
        <v>248</v>
      </c>
      <c r="B249" s="3249">
        <v>-3</v>
      </c>
      <c r="C249" s="3584"/>
      <c r="D249" s="3249" t="s">
        <v>3490</v>
      </c>
      <c r="E249" s="3248" t="s">
        <v>3220</v>
      </c>
      <c r="F249" s="3250">
        <v>30.45</v>
      </c>
      <c r="G249" s="3250"/>
      <c r="H249" s="3250"/>
      <c r="I249" s="3250"/>
    </row>
    <row r="250" spans="1:9">
      <c r="A250" s="3249">
        <v>249</v>
      </c>
      <c r="B250" s="3249">
        <v>-3</v>
      </c>
      <c r="C250" s="3584"/>
      <c r="D250" s="3249" t="s">
        <v>3491</v>
      </c>
      <c r="E250" s="3248" t="s">
        <v>3220</v>
      </c>
      <c r="F250" s="3250">
        <v>30.45</v>
      </c>
      <c r="G250" s="3250"/>
      <c r="H250" s="3250"/>
      <c r="I250" s="3250"/>
    </row>
    <row r="251" spans="1:9">
      <c r="A251" s="3249">
        <v>250</v>
      </c>
      <c r="B251" s="3249">
        <v>-3</v>
      </c>
      <c r="C251" s="3584"/>
      <c r="D251" s="3249" t="s">
        <v>3492</v>
      </c>
      <c r="E251" s="3248" t="s">
        <v>3220</v>
      </c>
      <c r="F251" s="3250">
        <v>30.45</v>
      </c>
      <c r="G251" s="3250"/>
      <c r="H251" s="3250"/>
      <c r="I251" s="3250"/>
    </row>
    <row r="252" spans="1:9">
      <c r="A252" s="3249">
        <v>251</v>
      </c>
      <c r="B252" s="3249">
        <v>-3</v>
      </c>
      <c r="C252" s="3584"/>
      <c r="D252" s="3249" t="s">
        <v>3493</v>
      </c>
      <c r="E252" s="3248" t="s">
        <v>3220</v>
      </c>
      <c r="F252" s="3250">
        <v>30.45</v>
      </c>
      <c r="G252" s="3250"/>
      <c r="H252" s="3250"/>
      <c r="I252" s="3250"/>
    </row>
    <row r="253" spans="1:9">
      <c r="A253" s="3249">
        <v>252</v>
      </c>
      <c r="B253" s="3249">
        <v>-3</v>
      </c>
      <c r="C253" s="3584"/>
      <c r="D253" s="3249" t="s">
        <v>3494</v>
      </c>
      <c r="E253" s="3248" t="s">
        <v>3220</v>
      </c>
      <c r="F253" s="3250">
        <v>30.45</v>
      </c>
      <c r="G253" s="3250"/>
      <c r="H253" s="3250"/>
      <c r="I253" s="3250"/>
    </row>
    <row r="254" spans="1:9">
      <c r="A254" s="3249">
        <v>253</v>
      </c>
      <c r="B254" s="3249">
        <v>-3</v>
      </c>
      <c r="C254" s="3584"/>
      <c r="D254" s="3249" t="s">
        <v>3495</v>
      </c>
      <c r="E254" s="3248" t="s">
        <v>3220</v>
      </c>
      <c r="F254" s="3250">
        <v>30.45</v>
      </c>
      <c r="G254" s="3250"/>
      <c r="H254" s="3250"/>
      <c r="I254" s="3250"/>
    </row>
    <row r="255" spans="1:9">
      <c r="A255" s="3249">
        <v>254</v>
      </c>
      <c r="B255" s="3249">
        <v>-3</v>
      </c>
      <c r="C255" s="3584"/>
      <c r="D255" s="3249" t="s">
        <v>3496</v>
      </c>
      <c r="E255" s="3248" t="s">
        <v>3220</v>
      </c>
      <c r="F255" s="3250">
        <v>30.45</v>
      </c>
      <c r="G255" s="3250"/>
      <c r="H255" s="3250"/>
      <c r="I255" s="3250"/>
    </row>
    <row r="256" spans="1:9">
      <c r="A256" s="3249">
        <v>255</v>
      </c>
      <c r="B256" s="3249">
        <v>-3</v>
      </c>
      <c r="C256" s="3584"/>
      <c r="D256" s="3249" t="s">
        <v>3497</v>
      </c>
      <c r="E256" s="3248" t="s">
        <v>3220</v>
      </c>
      <c r="F256" s="3250">
        <v>30.45</v>
      </c>
      <c r="G256" s="3250"/>
      <c r="H256" s="3250"/>
      <c r="I256" s="3250"/>
    </row>
    <row r="257" spans="1:9">
      <c r="A257" s="3249">
        <v>256</v>
      </c>
      <c r="B257" s="3249">
        <v>-3</v>
      </c>
      <c r="C257" s="3584"/>
      <c r="D257" s="3249" t="s">
        <v>3498</v>
      </c>
      <c r="E257" s="3248" t="s">
        <v>3220</v>
      </c>
      <c r="F257" s="3250">
        <v>30.45</v>
      </c>
      <c r="G257" s="3250"/>
      <c r="H257" s="3250"/>
      <c r="I257" s="3250"/>
    </row>
    <row r="258" spans="1:9">
      <c r="A258" s="3249">
        <v>257</v>
      </c>
      <c r="B258" s="3249">
        <v>-3</v>
      </c>
      <c r="C258" s="3584"/>
      <c r="D258" s="3249" t="s">
        <v>3499</v>
      </c>
      <c r="E258" s="3248" t="s">
        <v>3220</v>
      </c>
      <c r="F258" s="3250">
        <v>30.45</v>
      </c>
      <c r="G258" s="3250"/>
      <c r="H258" s="3250"/>
      <c r="I258" s="3250"/>
    </row>
    <row r="259" spans="1:9">
      <c r="A259" s="3249">
        <v>258</v>
      </c>
      <c r="B259" s="3249">
        <v>-3</v>
      </c>
      <c r="C259" s="3584"/>
      <c r="D259" s="3249" t="s">
        <v>3500</v>
      </c>
      <c r="E259" s="3248" t="s">
        <v>3220</v>
      </c>
      <c r="F259" s="3250">
        <v>30.45</v>
      </c>
      <c r="G259" s="3250"/>
      <c r="H259" s="3250"/>
      <c r="I259" s="3250"/>
    </row>
    <row r="260" spans="1:9">
      <c r="A260" s="3249">
        <v>259</v>
      </c>
      <c r="B260" s="3249">
        <v>-3</v>
      </c>
      <c r="C260" s="3584"/>
      <c r="D260" s="3249" t="s">
        <v>3501</v>
      </c>
      <c r="E260" s="3248" t="s">
        <v>3220</v>
      </c>
      <c r="F260" s="3250">
        <v>30.45</v>
      </c>
      <c r="G260" s="3250"/>
      <c r="H260" s="3250"/>
      <c r="I260" s="3250"/>
    </row>
    <row r="261" spans="1:9">
      <c r="A261" s="3249">
        <v>260</v>
      </c>
      <c r="B261" s="3249">
        <v>-3</v>
      </c>
      <c r="C261" s="3584"/>
      <c r="D261" s="3249" t="s">
        <v>3502</v>
      </c>
      <c r="E261" s="3248" t="s">
        <v>3220</v>
      </c>
      <c r="F261" s="3250">
        <v>30.45</v>
      </c>
      <c r="G261" s="3250"/>
      <c r="H261" s="3250"/>
      <c r="I261" s="3250"/>
    </row>
    <row r="262" spans="1:9">
      <c r="A262" s="3249">
        <v>261</v>
      </c>
      <c r="B262" s="3249">
        <v>-3</v>
      </c>
      <c r="C262" s="3584"/>
      <c r="D262" s="3249" t="s">
        <v>3503</v>
      </c>
      <c r="E262" s="3248" t="s">
        <v>3220</v>
      </c>
      <c r="F262" s="3250">
        <v>30.45</v>
      </c>
      <c r="G262" s="3250"/>
      <c r="H262" s="3250"/>
      <c r="I262" s="3250"/>
    </row>
    <row r="263" spans="1:9">
      <c r="A263" s="3249">
        <v>262</v>
      </c>
      <c r="B263" s="3249">
        <v>-3</v>
      </c>
      <c r="C263" s="3584"/>
      <c r="D263" s="3249" t="s">
        <v>3504</v>
      </c>
      <c r="E263" s="3248" t="s">
        <v>3220</v>
      </c>
      <c r="F263" s="3250">
        <v>30.45</v>
      </c>
      <c r="G263" s="3250"/>
      <c r="H263" s="3250"/>
      <c r="I263" s="3250"/>
    </row>
    <row r="264" spans="1:9">
      <c r="A264" s="3249">
        <v>263</v>
      </c>
      <c r="B264" s="3249">
        <v>-3</v>
      </c>
      <c r="C264" s="3584"/>
      <c r="D264" s="3249" t="s">
        <v>3505</v>
      </c>
      <c r="E264" s="3248" t="s">
        <v>3220</v>
      </c>
      <c r="F264" s="3250">
        <v>30.45</v>
      </c>
      <c r="G264" s="3250"/>
      <c r="H264" s="3250"/>
      <c r="I264" s="3250"/>
    </row>
    <row r="265" spans="1:9">
      <c r="A265" s="3249">
        <v>264</v>
      </c>
      <c r="B265" s="3249">
        <v>-3</v>
      </c>
      <c r="C265" s="3584"/>
      <c r="D265" s="3249" t="s">
        <v>3506</v>
      </c>
      <c r="E265" s="3248" t="s">
        <v>3220</v>
      </c>
      <c r="F265" s="3250">
        <v>30.45</v>
      </c>
      <c r="G265" s="3250"/>
      <c r="H265" s="3250"/>
      <c r="I265" s="3250"/>
    </row>
    <row r="266" spans="1:9">
      <c r="A266" s="3249">
        <v>265</v>
      </c>
      <c r="B266" s="3249">
        <v>-3</v>
      </c>
      <c r="C266" s="3584"/>
      <c r="D266" s="3249" t="s">
        <v>3507</v>
      </c>
      <c r="E266" s="3248" t="s">
        <v>3220</v>
      </c>
      <c r="F266" s="3250">
        <v>30.45</v>
      </c>
      <c r="G266" s="3250"/>
      <c r="H266" s="3250"/>
      <c r="I266" s="3250"/>
    </row>
    <row r="267" spans="1:9">
      <c r="A267" s="3249">
        <v>266</v>
      </c>
      <c r="B267" s="3249">
        <v>-3</v>
      </c>
      <c r="C267" s="3584"/>
      <c r="D267" s="3249" t="s">
        <v>3508</v>
      </c>
      <c r="E267" s="3248" t="s">
        <v>3220</v>
      </c>
      <c r="F267" s="3250">
        <v>30.45</v>
      </c>
      <c r="G267" s="3250"/>
      <c r="H267" s="3250"/>
      <c r="I267" s="3250"/>
    </row>
    <row r="268" spans="1:9">
      <c r="A268" s="3249">
        <v>267</v>
      </c>
      <c r="B268" s="3249">
        <v>-3</v>
      </c>
      <c r="C268" s="3584"/>
      <c r="D268" s="3249" t="s">
        <v>3509</v>
      </c>
      <c r="E268" s="3248" t="s">
        <v>3220</v>
      </c>
      <c r="F268" s="3250">
        <v>30.45</v>
      </c>
      <c r="G268" s="3250"/>
      <c r="H268" s="3250"/>
      <c r="I268" s="3250"/>
    </row>
    <row r="269" spans="1:9">
      <c r="A269" s="3249">
        <v>268</v>
      </c>
      <c r="B269" s="3249">
        <v>-3</v>
      </c>
      <c r="C269" s="3584"/>
      <c r="D269" s="3249" t="s">
        <v>3510</v>
      </c>
      <c r="E269" s="3248" t="s">
        <v>3220</v>
      </c>
      <c r="F269" s="3250">
        <v>30.45</v>
      </c>
      <c r="G269" s="3250"/>
      <c r="H269" s="3250"/>
      <c r="I269" s="3250"/>
    </row>
    <row r="270" spans="1:9">
      <c r="A270" s="3249">
        <v>269</v>
      </c>
      <c r="B270" s="3249">
        <v>-3</v>
      </c>
      <c r="C270" s="3584"/>
      <c r="D270" s="3249" t="s">
        <v>3511</v>
      </c>
      <c r="E270" s="3248" t="s">
        <v>3220</v>
      </c>
      <c r="F270" s="3250">
        <v>30.45</v>
      </c>
      <c r="G270" s="3250"/>
      <c r="H270" s="3250"/>
      <c r="I270" s="3250"/>
    </row>
    <row r="271" spans="1:9">
      <c r="A271" s="3249">
        <v>270</v>
      </c>
      <c r="B271" s="3249">
        <v>-3</v>
      </c>
      <c r="C271" s="3584"/>
      <c r="D271" s="3249" t="s">
        <v>3512</v>
      </c>
      <c r="E271" s="3248" t="s">
        <v>3220</v>
      </c>
      <c r="F271" s="3250">
        <v>30.45</v>
      </c>
      <c r="G271" s="3250"/>
      <c r="H271" s="3250"/>
      <c r="I271" s="3250"/>
    </row>
    <row r="272" spans="1:9">
      <c r="A272" s="3249">
        <v>271</v>
      </c>
      <c r="B272" s="3249">
        <v>-3</v>
      </c>
      <c r="C272" s="3584"/>
      <c r="D272" s="3249" t="s">
        <v>3513</v>
      </c>
      <c r="E272" s="3248" t="s">
        <v>3220</v>
      </c>
      <c r="F272" s="3250">
        <v>30.45</v>
      </c>
      <c r="G272" s="3250"/>
      <c r="H272" s="3250"/>
      <c r="I272" s="3250"/>
    </row>
    <row r="273" spans="1:9">
      <c r="A273" s="3249">
        <v>272</v>
      </c>
      <c r="B273" s="3249">
        <v>-3</v>
      </c>
      <c r="C273" s="3584"/>
      <c r="D273" s="3249" t="s">
        <v>3514</v>
      </c>
      <c r="E273" s="3248" t="s">
        <v>3220</v>
      </c>
      <c r="F273" s="3250">
        <v>30.45</v>
      </c>
      <c r="G273" s="3250"/>
      <c r="H273" s="3250"/>
      <c r="I273" s="3250"/>
    </row>
    <row r="274" spans="1:9">
      <c r="A274" s="3249">
        <v>273</v>
      </c>
      <c r="B274" s="3249">
        <v>-3</v>
      </c>
      <c r="C274" s="3584"/>
      <c r="D274" s="3249" t="s">
        <v>3515</v>
      </c>
      <c r="E274" s="3248" t="s">
        <v>3220</v>
      </c>
      <c r="F274" s="3250">
        <v>30.45</v>
      </c>
      <c r="G274" s="3250"/>
      <c r="H274" s="3250"/>
      <c r="I274" s="3250"/>
    </row>
    <row r="275" spans="1:9">
      <c r="A275" s="3249">
        <v>274</v>
      </c>
      <c r="B275" s="3249">
        <v>-3</v>
      </c>
      <c r="C275" s="3584"/>
      <c r="D275" s="3249" t="s">
        <v>3516</v>
      </c>
      <c r="E275" s="3248" t="s">
        <v>3220</v>
      </c>
      <c r="F275" s="3250">
        <v>30.45</v>
      </c>
      <c r="G275" s="3250"/>
      <c r="H275" s="3250"/>
      <c r="I275" s="3250"/>
    </row>
    <row r="276" spans="1:9">
      <c r="A276" s="3249">
        <v>275</v>
      </c>
      <c r="B276" s="3249">
        <v>-3</v>
      </c>
      <c r="C276" s="3584"/>
      <c r="D276" s="3249" t="s">
        <v>3517</v>
      </c>
      <c r="E276" s="3248" t="s">
        <v>3220</v>
      </c>
      <c r="F276" s="3250">
        <v>30.45</v>
      </c>
      <c r="G276" s="3250"/>
      <c r="H276" s="3250"/>
      <c r="I276" s="3250"/>
    </row>
    <row r="277" spans="1:9">
      <c r="A277" s="3249">
        <v>276</v>
      </c>
      <c r="B277" s="3249">
        <v>-3</v>
      </c>
      <c r="C277" s="3584"/>
      <c r="D277" s="3249" t="s">
        <v>3518</v>
      </c>
      <c r="E277" s="3248" t="s">
        <v>3220</v>
      </c>
      <c r="F277" s="3250">
        <v>30.45</v>
      </c>
      <c r="G277" s="3250"/>
      <c r="H277" s="3250"/>
      <c r="I277" s="3250"/>
    </row>
    <row r="278" spans="1:9">
      <c r="A278" s="3249">
        <v>277</v>
      </c>
      <c r="B278" s="3249">
        <v>-3</v>
      </c>
      <c r="C278" s="3584"/>
      <c r="D278" s="3249" t="s">
        <v>3519</v>
      </c>
      <c r="E278" s="3248" t="s">
        <v>3220</v>
      </c>
      <c r="F278" s="3250">
        <v>30.45</v>
      </c>
      <c r="G278" s="3250"/>
      <c r="H278" s="3250"/>
      <c r="I278" s="3250"/>
    </row>
    <row r="279" spans="1:9">
      <c r="A279" s="3249">
        <v>278</v>
      </c>
      <c r="B279" s="3249">
        <v>-3</v>
      </c>
      <c r="C279" s="3584"/>
      <c r="D279" s="3249" t="s">
        <v>3520</v>
      </c>
      <c r="E279" s="3248" t="s">
        <v>3220</v>
      </c>
      <c r="F279" s="3250">
        <v>30.45</v>
      </c>
      <c r="G279" s="3250"/>
      <c r="H279" s="3250"/>
      <c r="I279" s="3250"/>
    </row>
    <row r="280" spans="1:9">
      <c r="A280" s="3249">
        <v>279</v>
      </c>
      <c r="B280" s="3249">
        <v>-3</v>
      </c>
      <c r="C280" s="3584"/>
      <c r="D280" s="3249" t="s">
        <v>3521</v>
      </c>
      <c r="E280" s="3248" t="s">
        <v>3220</v>
      </c>
      <c r="F280" s="3250">
        <v>30.45</v>
      </c>
      <c r="G280" s="3250"/>
      <c r="H280" s="3250"/>
      <c r="I280" s="3250"/>
    </row>
    <row r="281" spans="1:9">
      <c r="A281" s="3249">
        <v>280</v>
      </c>
      <c r="B281" s="3249">
        <v>-3</v>
      </c>
      <c r="C281" s="3584"/>
      <c r="D281" s="3249" t="s">
        <v>3522</v>
      </c>
      <c r="E281" s="3248" t="s">
        <v>3220</v>
      </c>
      <c r="F281" s="3250">
        <v>30.45</v>
      </c>
      <c r="G281" s="3250"/>
      <c r="H281" s="3250"/>
      <c r="I281" s="3250"/>
    </row>
    <row r="282" spans="1:9">
      <c r="A282" s="3249">
        <v>281</v>
      </c>
      <c r="B282" s="3249">
        <v>-3</v>
      </c>
      <c r="C282" s="3584"/>
      <c r="D282" s="3249" t="s">
        <v>3523</v>
      </c>
      <c r="E282" s="3248" t="s">
        <v>3220</v>
      </c>
      <c r="F282" s="3250">
        <v>30.45</v>
      </c>
      <c r="G282" s="3250"/>
      <c r="H282" s="3250"/>
      <c r="I282" s="3250"/>
    </row>
    <row r="283" spans="1:9">
      <c r="A283" s="3249">
        <v>282</v>
      </c>
      <c r="B283" s="3249">
        <v>-3</v>
      </c>
      <c r="C283" s="3584"/>
      <c r="D283" s="3249" t="s">
        <v>3524</v>
      </c>
      <c r="E283" s="3248" t="s">
        <v>3220</v>
      </c>
      <c r="F283" s="3250">
        <v>30.45</v>
      </c>
      <c r="G283" s="3250"/>
      <c r="H283" s="3250"/>
      <c r="I283" s="3250"/>
    </row>
    <row r="284" spans="1:9">
      <c r="A284" s="3249">
        <v>283</v>
      </c>
      <c r="B284" s="3249">
        <v>-3</v>
      </c>
      <c r="C284" s="3584"/>
      <c r="D284" s="3249" t="s">
        <v>3525</v>
      </c>
      <c r="E284" s="3248" t="s">
        <v>3220</v>
      </c>
      <c r="F284" s="3250">
        <v>30.45</v>
      </c>
      <c r="G284" s="3250"/>
      <c r="H284" s="3250"/>
      <c r="I284" s="3250"/>
    </row>
    <row r="285" spans="1:9">
      <c r="A285" s="3249">
        <v>284</v>
      </c>
      <c r="B285" s="3249">
        <v>-3</v>
      </c>
      <c r="C285" s="3584"/>
      <c r="D285" s="3249" t="s">
        <v>3526</v>
      </c>
      <c r="E285" s="3248" t="s">
        <v>3220</v>
      </c>
      <c r="F285" s="3250">
        <v>30.45</v>
      </c>
      <c r="G285" s="3250"/>
      <c r="H285" s="3250"/>
      <c r="I285" s="3250"/>
    </row>
    <row r="286" spans="1:9">
      <c r="A286" s="3249">
        <v>285</v>
      </c>
      <c r="B286" s="3249">
        <v>-3</v>
      </c>
      <c r="C286" s="3584"/>
      <c r="D286" s="3249" t="s">
        <v>3527</v>
      </c>
      <c r="E286" s="3248" t="s">
        <v>3220</v>
      </c>
      <c r="F286" s="3250">
        <v>30.45</v>
      </c>
      <c r="G286" s="3250"/>
      <c r="H286" s="3250"/>
      <c r="I286" s="3250"/>
    </row>
    <row r="287" spans="1:9">
      <c r="A287" s="3249">
        <v>286</v>
      </c>
      <c r="B287" s="3249">
        <v>-3</v>
      </c>
      <c r="C287" s="3584"/>
      <c r="D287" s="3249" t="s">
        <v>3528</v>
      </c>
      <c r="E287" s="3248" t="s">
        <v>3220</v>
      </c>
      <c r="F287" s="3250">
        <v>30.45</v>
      </c>
      <c r="G287" s="3250"/>
      <c r="H287" s="3250"/>
      <c r="I287" s="3250"/>
    </row>
    <row r="288" spans="1:9">
      <c r="A288" s="3249">
        <v>287</v>
      </c>
      <c r="B288" s="3249">
        <v>-3</v>
      </c>
      <c r="C288" s="3584"/>
      <c r="D288" s="3249" t="s">
        <v>3529</v>
      </c>
      <c r="E288" s="3248" t="s">
        <v>3220</v>
      </c>
      <c r="F288" s="3250">
        <v>30.45</v>
      </c>
      <c r="G288" s="3250"/>
      <c r="H288" s="3250"/>
      <c r="I288" s="3250"/>
    </row>
    <row r="289" spans="1:9">
      <c r="A289" s="3249">
        <v>288</v>
      </c>
      <c r="B289" s="3249">
        <v>-3</v>
      </c>
      <c r="C289" s="3584"/>
      <c r="D289" s="3249" t="s">
        <v>3530</v>
      </c>
      <c r="E289" s="3248" t="s">
        <v>3220</v>
      </c>
      <c r="F289" s="3250">
        <v>30.45</v>
      </c>
      <c r="G289" s="3250"/>
      <c r="H289" s="3250"/>
      <c r="I289" s="3250"/>
    </row>
    <row r="290" spans="1:9">
      <c r="A290" s="3249">
        <v>289</v>
      </c>
      <c r="B290" s="3249">
        <v>-3</v>
      </c>
      <c r="C290" s="3584"/>
      <c r="D290" s="3249" t="s">
        <v>3531</v>
      </c>
      <c r="E290" s="3248" t="s">
        <v>3220</v>
      </c>
      <c r="F290" s="3250">
        <v>30.45</v>
      </c>
      <c r="G290" s="3250"/>
      <c r="H290" s="3250"/>
      <c r="I290" s="3250"/>
    </row>
    <row r="291" spans="1:9">
      <c r="A291" s="3249">
        <v>290</v>
      </c>
      <c r="B291" s="3249">
        <v>-3</v>
      </c>
      <c r="C291" s="3584"/>
      <c r="D291" s="3249" t="s">
        <v>3532</v>
      </c>
      <c r="E291" s="3248" t="s">
        <v>3220</v>
      </c>
      <c r="F291" s="3250">
        <v>30.45</v>
      </c>
      <c r="G291" s="3250"/>
      <c r="H291" s="3250"/>
      <c r="I291" s="3250"/>
    </row>
    <row r="292" spans="1:9">
      <c r="A292" s="3249">
        <v>291</v>
      </c>
      <c r="B292" s="3249">
        <v>-3</v>
      </c>
      <c r="C292" s="3584"/>
      <c r="D292" s="3249" t="s">
        <v>3533</v>
      </c>
      <c r="E292" s="3248" t="s">
        <v>3220</v>
      </c>
      <c r="F292" s="3250">
        <v>30.45</v>
      </c>
      <c r="G292" s="3250"/>
      <c r="H292" s="3250"/>
      <c r="I292" s="3250"/>
    </row>
    <row r="293" spans="1:9">
      <c r="A293" s="3249">
        <v>292</v>
      </c>
      <c r="B293" s="3249">
        <v>-3</v>
      </c>
      <c r="C293" s="3584"/>
      <c r="D293" s="3249" t="s">
        <v>3534</v>
      </c>
      <c r="E293" s="3248" t="s">
        <v>3220</v>
      </c>
      <c r="F293" s="3250">
        <v>30.45</v>
      </c>
      <c r="G293" s="3250"/>
      <c r="H293" s="3250"/>
      <c r="I293" s="3250"/>
    </row>
    <row r="294" spans="1:9">
      <c r="A294" s="3249">
        <v>293</v>
      </c>
      <c r="B294" s="3249">
        <v>-3</v>
      </c>
      <c r="C294" s="3584"/>
      <c r="D294" s="3249" t="s">
        <v>3535</v>
      </c>
      <c r="E294" s="3248" t="s">
        <v>3220</v>
      </c>
      <c r="F294" s="3250">
        <v>30.45</v>
      </c>
      <c r="G294" s="3250"/>
      <c r="H294" s="3250"/>
      <c r="I294" s="3250"/>
    </row>
    <row r="295" spans="1:9">
      <c r="A295" s="3249">
        <v>294</v>
      </c>
      <c r="B295" s="3249">
        <v>-3</v>
      </c>
      <c r="C295" s="3584"/>
      <c r="D295" s="3249" t="s">
        <v>3536</v>
      </c>
      <c r="E295" s="3248" t="s">
        <v>3220</v>
      </c>
      <c r="F295" s="3250">
        <v>30.45</v>
      </c>
      <c r="G295" s="3250"/>
      <c r="H295" s="3250"/>
      <c r="I295" s="3250"/>
    </row>
    <row r="296" spans="1:9">
      <c r="A296" s="3249">
        <v>295</v>
      </c>
      <c r="B296" s="3249">
        <v>-3</v>
      </c>
      <c r="C296" s="3584"/>
      <c r="D296" s="3249" t="s">
        <v>3537</v>
      </c>
      <c r="E296" s="3248" t="s">
        <v>3220</v>
      </c>
      <c r="F296" s="3250">
        <v>30.45</v>
      </c>
      <c r="G296" s="3250"/>
      <c r="H296" s="3250"/>
      <c r="I296" s="3250"/>
    </row>
    <row r="297" spans="1:9">
      <c r="A297" s="3249">
        <v>296</v>
      </c>
      <c r="B297" s="3249">
        <v>-3</v>
      </c>
      <c r="C297" s="3584"/>
      <c r="D297" s="3249" t="s">
        <v>3538</v>
      </c>
      <c r="E297" s="3248" t="s">
        <v>3220</v>
      </c>
      <c r="F297" s="3250">
        <v>30.45</v>
      </c>
      <c r="G297" s="3250"/>
      <c r="H297" s="3250"/>
      <c r="I297" s="3250"/>
    </row>
    <row r="298" spans="1:9">
      <c r="A298" s="3249">
        <v>297</v>
      </c>
      <c r="B298" s="3249">
        <v>-3</v>
      </c>
      <c r="C298" s="3584"/>
      <c r="D298" s="3249" t="s">
        <v>3539</v>
      </c>
      <c r="E298" s="3248" t="s">
        <v>3220</v>
      </c>
      <c r="F298" s="3250">
        <v>30.45</v>
      </c>
      <c r="G298" s="3250"/>
      <c r="H298" s="3250"/>
      <c r="I298" s="3250"/>
    </row>
    <row r="299" spans="1:9">
      <c r="A299" s="3249">
        <v>298</v>
      </c>
      <c r="B299" s="3249">
        <v>-3</v>
      </c>
      <c r="C299" s="3584"/>
      <c r="D299" s="3249" t="s">
        <v>3540</v>
      </c>
      <c r="E299" s="3248" t="s">
        <v>3220</v>
      </c>
      <c r="F299" s="3250">
        <v>30.45</v>
      </c>
      <c r="G299" s="3250"/>
      <c r="H299" s="3250"/>
      <c r="I299" s="3250"/>
    </row>
    <row r="300" spans="1:9">
      <c r="A300" s="3249">
        <v>299</v>
      </c>
      <c r="B300" s="3249">
        <v>-3</v>
      </c>
      <c r="C300" s="3584"/>
      <c r="D300" s="3249" t="s">
        <v>3541</v>
      </c>
      <c r="E300" s="3248" t="s">
        <v>3220</v>
      </c>
      <c r="F300" s="3250">
        <v>30.45</v>
      </c>
      <c r="G300" s="3250"/>
      <c r="H300" s="3250"/>
      <c r="I300" s="3250"/>
    </row>
    <row r="301" spans="1:9">
      <c r="A301" s="3249">
        <v>300</v>
      </c>
      <c r="B301" s="3249">
        <v>-3</v>
      </c>
      <c r="C301" s="3584"/>
      <c r="D301" s="3249" t="s">
        <v>3542</v>
      </c>
      <c r="E301" s="3248" t="s">
        <v>3220</v>
      </c>
      <c r="F301" s="3250">
        <v>30.45</v>
      </c>
      <c r="G301" s="3250"/>
      <c r="H301" s="3250"/>
      <c r="I301" s="3250"/>
    </row>
    <row r="302" spans="1:9">
      <c r="A302" s="3249">
        <v>301</v>
      </c>
      <c r="B302" s="3249">
        <v>-3</v>
      </c>
      <c r="C302" s="3584"/>
      <c r="D302" s="3249" t="s">
        <v>3543</v>
      </c>
      <c r="E302" s="3248" t="s">
        <v>3220</v>
      </c>
      <c r="F302" s="3250">
        <v>30.45</v>
      </c>
      <c r="G302" s="3250"/>
      <c r="H302" s="3250"/>
      <c r="I302" s="3250"/>
    </row>
    <row r="303" spans="1:9">
      <c r="A303" s="3249">
        <v>302</v>
      </c>
      <c r="B303" s="3249">
        <v>-3</v>
      </c>
      <c r="C303" s="3584"/>
      <c r="D303" s="3249" t="s">
        <v>3544</v>
      </c>
      <c r="E303" s="3248" t="s">
        <v>3220</v>
      </c>
      <c r="F303" s="3250">
        <v>30.45</v>
      </c>
      <c r="G303" s="3250"/>
      <c r="H303" s="3250"/>
      <c r="I303" s="3250"/>
    </row>
    <row r="304" spans="1:9">
      <c r="A304" s="3249">
        <v>303</v>
      </c>
      <c r="B304" s="3249">
        <v>-3</v>
      </c>
      <c r="C304" s="3584"/>
      <c r="D304" s="3249" t="s">
        <v>3545</v>
      </c>
      <c r="E304" s="3248" t="s">
        <v>3220</v>
      </c>
      <c r="F304" s="3250">
        <v>30.45</v>
      </c>
      <c r="G304" s="3250"/>
      <c r="H304" s="3250"/>
      <c r="I304" s="3250"/>
    </row>
    <row r="305" spans="1:9">
      <c r="A305" s="3249">
        <v>304</v>
      </c>
      <c r="B305" s="3249">
        <v>-3</v>
      </c>
      <c r="C305" s="3584"/>
      <c r="D305" s="3249" t="s">
        <v>3546</v>
      </c>
      <c r="E305" s="3248" t="s">
        <v>3220</v>
      </c>
      <c r="F305" s="3250">
        <v>30.45</v>
      </c>
      <c r="G305" s="3250"/>
      <c r="H305" s="3250"/>
      <c r="I305" s="3250"/>
    </row>
    <row r="306" spans="1:9">
      <c r="A306" s="3249">
        <v>305</v>
      </c>
      <c r="B306" s="3249">
        <v>-3</v>
      </c>
      <c r="C306" s="3584"/>
      <c r="D306" s="3249" t="s">
        <v>3547</v>
      </c>
      <c r="E306" s="3248" t="s">
        <v>3220</v>
      </c>
      <c r="F306" s="3250">
        <v>30.45</v>
      </c>
      <c r="G306" s="3250"/>
      <c r="H306" s="3250"/>
      <c r="I306" s="3250"/>
    </row>
    <row r="307" spans="1:9">
      <c r="A307" s="3249">
        <v>306</v>
      </c>
      <c r="B307" s="3249">
        <v>-3</v>
      </c>
      <c r="C307" s="3584"/>
      <c r="D307" s="3249" t="s">
        <v>3548</v>
      </c>
      <c r="E307" s="3248" t="s">
        <v>3220</v>
      </c>
      <c r="F307" s="3250">
        <v>30.45</v>
      </c>
      <c r="G307" s="3250"/>
      <c r="H307" s="3250"/>
      <c r="I307" s="3250"/>
    </row>
    <row r="308" spans="1:9">
      <c r="A308" s="3249">
        <v>307</v>
      </c>
      <c r="B308" s="3249">
        <v>-3</v>
      </c>
      <c r="C308" s="3584"/>
      <c r="D308" s="3249" t="s">
        <v>3549</v>
      </c>
      <c r="E308" s="3248" t="s">
        <v>3220</v>
      </c>
      <c r="F308" s="3250">
        <v>30.45</v>
      </c>
      <c r="G308" s="3250"/>
      <c r="H308" s="3250"/>
      <c r="I308" s="3250"/>
    </row>
    <row r="309" spans="1:9">
      <c r="A309" s="3249">
        <v>308</v>
      </c>
      <c r="B309" s="3249">
        <v>-3</v>
      </c>
      <c r="C309" s="3584"/>
      <c r="D309" s="3249" t="s">
        <v>3550</v>
      </c>
      <c r="E309" s="3248" t="s">
        <v>3220</v>
      </c>
      <c r="F309" s="3250">
        <v>30.45</v>
      </c>
      <c r="G309" s="3250"/>
      <c r="H309" s="3250"/>
      <c r="I309" s="3250"/>
    </row>
    <row r="310" spans="1:9">
      <c r="A310" s="3249">
        <v>309</v>
      </c>
      <c r="B310" s="3249">
        <v>-3</v>
      </c>
      <c r="C310" s="3584"/>
      <c r="D310" s="3249" t="s">
        <v>3551</v>
      </c>
      <c r="E310" s="3248" t="s">
        <v>3220</v>
      </c>
      <c r="F310" s="3250">
        <v>30.45</v>
      </c>
      <c r="G310" s="3250"/>
      <c r="H310" s="3250"/>
      <c r="I310" s="3250"/>
    </row>
    <row r="311" spans="1:9">
      <c r="A311" s="3249">
        <v>310</v>
      </c>
      <c r="B311" s="3249">
        <v>-3</v>
      </c>
      <c r="C311" s="3584"/>
      <c r="D311" s="3249" t="s">
        <v>3552</v>
      </c>
      <c r="E311" s="3248" t="s">
        <v>3220</v>
      </c>
      <c r="F311" s="3250">
        <v>30.45</v>
      </c>
      <c r="G311" s="3250"/>
      <c r="H311" s="3250"/>
      <c r="I311" s="3250"/>
    </row>
    <row r="312" spans="1:9">
      <c r="A312" s="3249">
        <v>311</v>
      </c>
      <c r="B312" s="3249">
        <v>-3</v>
      </c>
      <c r="C312" s="3584"/>
      <c r="D312" s="3249" t="s">
        <v>3553</v>
      </c>
      <c r="E312" s="3248" t="s">
        <v>3220</v>
      </c>
      <c r="F312" s="3250">
        <v>30.45</v>
      </c>
      <c r="G312" s="3250"/>
      <c r="H312" s="3250"/>
      <c r="I312" s="3250"/>
    </row>
    <row r="313" spans="1:9">
      <c r="A313" s="3249">
        <v>312</v>
      </c>
      <c r="B313" s="3249">
        <v>-3</v>
      </c>
      <c r="C313" s="3584"/>
      <c r="D313" s="3249" t="s">
        <v>3554</v>
      </c>
      <c r="E313" s="3248" t="s">
        <v>3220</v>
      </c>
      <c r="F313" s="3250">
        <v>30.45</v>
      </c>
      <c r="G313" s="3250"/>
      <c r="H313" s="3250"/>
      <c r="I313" s="3250"/>
    </row>
    <row r="314" spans="1:9">
      <c r="A314" s="3249">
        <v>313</v>
      </c>
      <c r="B314" s="3249">
        <v>-3</v>
      </c>
      <c r="C314" s="3584"/>
      <c r="D314" s="3249" t="s">
        <v>3555</v>
      </c>
      <c r="E314" s="3248" t="s">
        <v>3220</v>
      </c>
      <c r="F314" s="3250">
        <v>30.45</v>
      </c>
      <c r="G314" s="3250"/>
      <c r="H314" s="3250"/>
      <c r="I314" s="3250"/>
    </row>
    <row r="315" spans="1:9">
      <c r="A315" s="3249">
        <v>314</v>
      </c>
      <c r="B315" s="3249">
        <v>-3</v>
      </c>
      <c r="C315" s="3584"/>
      <c r="D315" s="3249" t="s">
        <v>3556</v>
      </c>
      <c r="E315" s="3248" t="s">
        <v>3220</v>
      </c>
      <c r="F315" s="3250">
        <v>30.45</v>
      </c>
      <c r="G315" s="3250"/>
      <c r="H315" s="3250"/>
      <c r="I315" s="3250"/>
    </row>
    <row r="316" spans="1:9">
      <c r="A316" s="3249">
        <v>315</v>
      </c>
      <c r="B316" s="3249">
        <v>-3</v>
      </c>
      <c r="C316" s="3584"/>
      <c r="D316" s="3249" t="s">
        <v>3557</v>
      </c>
      <c r="E316" s="3248" t="s">
        <v>3220</v>
      </c>
      <c r="F316" s="3250">
        <v>30.45</v>
      </c>
      <c r="G316" s="3250"/>
      <c r="H316" s="3250"/>
      <c r="I316" s="3250"/>
    </row>
    <row r="317" spans="1:9">
      <c r="A317" s="3249">
        <v>316</v>
      </c>
      <c r="B317" s="3249">
        <v>-3</v>
      </c>
      <c r="C317" s="3584"/>
      <c r="D317" s="3249" t="s">
        <v>3558</v>
      </c>
      <c r="E317" s="3248" t="s">
        <v>3220</v>
      </c>
      <c r="F317" s="3250">
        <v>30.45</v>
      </c>
      <c r="G317" s="3250"/>
      <c r="H317" s="3250"/>
      <c r="I317" s="3250"/>
    </row>
    <row r="318" spans="1:9">
      <c r="A318" s="3249">
        <v>317</v>
      </c>
      <c r="B318" s="3249">
        <v>-3</v>
      </c>
      <c r="C318" s="3584"/>
      <c r="D318" s="3249" t="s">
        <v>3559</v>
      </c>
      <c r="E318" s="3248" t="s">
        <v>3220</v>
      </c>
      <c r="F318" s="3250">
        <v>30.45</v>
      </c>
      <c r="G318" s="3250"/>
      <c r="H318" s="3250"/>
      <c r="I318" s="3250"/>
    </row>
    <row r="319" spans="1:9">
      <c r="A319" s="3249">
        <v>318</v>
      </c>
      <c r="B319" s="3249">
        <v>-3</v>
      </c>
      <c r="C319" s="3584"/>
      <c r="D319" s="3249" t="s">
        <v>3560</v>
      </c>
      <c r="E319" s="3248" t="s">
        <v>3220</v>
      </c>
      <c r="F319" s="3250">
        <v>30.45</v>
      </c>
      <c r="G319" s="3250"/>
      <c r="H319" s="3250"/>
      <c r="I319" s="3250"/>
    </row>
    <row r="320" spans="1:9">
      <c r="A320" s="3249">
        <v>319</v>
      </c>
      <c r="B320" s="3249">
        <v>-3</v>
      </c>
      <c r="C320" s="3584"/>
      <c r="D320" s="3249" t="s">
        <v>3561</v>
      </c>
      <c r="E320" s="3248" t="s">
        <v>3220</v>
      </c>
      <c r="F320" s="3250">
        <v>30.45</v>
      </c>
      <c r="G320" s="3250"/>
      <c r="H320" s="3250"/>
      <c r="I320" s="3250"/>
    </row>
    <row r="321" spans="1:9">
      <c r="A321" s="3249">
        <v>320</v>
      </c>
      <c r="B321" s="3249">
        <v>-3</v>
      </c>
      <c r="C321" s="3584"/>
      <c r="D321" s="3249" t="s">
        <v>3562</v>
      </c>
      <c r="E321" s="3248" t="s">
        <v>3220</v>
      </c>
      <c r="F321" s="3250">
        <v>30.45</v>
      </c>
      <c r="G321" s="3250"/>
      <c r="H321" s="3250"/>
      <c r="I321" s="3250"/>
    </row>
    <row r="322" spans="1:9">
      <c r="A322" s="3249">
        <v>321</v>
      </c>
      <c r="B322" s="3249">
        <v>-3</v>
      </c>
      <c r="C322" s="3584"/>
      <c r="D322" s="3249" t="s">
        <v>3563</v>
      </c>
      <c r="E322" s="3248" t="s">
        <v>3220</v>
      </c>
      <c r="F322" s="3250">
        <v>30.45</v>
      </c>
      <c r="G322" s="3250"/>
      <c r="H322" s="3250"/>
      <c r="I322" s="3250"/>
    </row>
    <row r="323" spans="1:9">
      <c r="A323" s="3249">
        <v>322</v>
      </c>
      <c r="B323" s="3249">
        <v>-3</v>
      </c>
      <c r="C323" s="3584"/>
      <c r="D323" s="3249" t="s">
        <v>3564</v>
      </c>
      <c r="E323" s="3248" t="s">
        <v>3220</v>
      </c>
      <c r="F323" s="3250">
        <v>30.45</v>
      </c>
      <c r="G323" s="3250"/>
      <c r="H323" s="3250"/>
      <c r="I323" s="3250"/>
    </row>
    <row r="324" spans="1:9">
      <c r="A324" s="3249">
        <v>323</v>
      </c>
      <c r="B324" s="3249">
        <v>-3</v>
      </c>
      <c r="C324" s="3584"/>
      <c r="D324" s="3249" t="s">
        <v>3565</v>
      </c>
      <c r="E324" s="3248" t="s">
        <v>3220</v>
      </c>
      <c r="F324" s="3250">
        <v>30.45</v>
      </c>
      <c r="G324" s="3250"/>
      <c r="H324" s="3250"/>
      <c r="I324" s="3250"/>
    </row>
    <row r="325" spans="1:9">
      <c r="A325" s="3249">
        <v>324</v>
      </c>
      <c r="B325" s="3249">
        <v>-3</v>
      </c>
      <c r="C325" s="3584"/>
      <c r="D325" s="3249" t="s">
        <v>3566</v>
      </c>
      <c r="E325" s="3248" t="s">
        <v>3220</v>
      </c>
      <c r="F325" s="3250">
        <v>30.45</v>
      </c>
      <c r="G325" s="3250"/>
      <c r="H325" s="3250"/>
      <c r="I325" s="3250"/>
    </row>
    <row r="326" spans="1:9">
      <c r="A326" s="3249">
        <v>325</v>
      </c>
      <c r="B326" s="3249">
        <v>-3</v>
      </c>
      <c r="C326" s="3584"/>
      <c r="D326" s="3249" t="s">
        <v>3567</v>
      </c>
      <c r="E326" s="3248" t="s">
        <v>3220</v>
      </c>
      <c r="F326" s="3250">
        <v>30.45</v>
      </c>
      <c r="G326" s="3250"/>
      <c r="H326" s="3250"/>
      <c r="I326" s="3250"/>
    </row>
    <row r="327" spans="1:9">
      <c r="A327" s="3249">
        <v>326</v>
      </c>
      <c r="B327" s="3249">
        <v>-3</v>
      </c>
      <c r="C327" s="3584"/>
      <c r="D327" s="3249" t="s">
        <v>3568</v>
      </c>
      <c r="E327" s="3248" t="s">
        <v>3220</v>
      </c>
      <c r="F327" s="3250">
        <v>30.45</v>
      </c>
      <c r="G327" s="3250"/>
      <c r="H327" s="3250"/>
      <c r="I327" s="3250"/>
    </row>
    <row r="328" spans="1:9">
      <c r="A328" s="3249">
        <v>327</v>
      </c>
      <c r="B328" s="3249">
        <v>-3</v>
      </c>
      <c r="C328" s="3584"/>
      <c r="D328" s="3249" t="s">
        <v>3569</v>
      </c>
      <c r="E328" s="3248" t="s">
        <v>3220</v>
      </c>
      <c r="F328" s="3250">
        <v>30.45</v>
      </c>
      <c r="G328" s="3250"/>
      <c r="H328" s="3250"/>
      <c r="I328" s="3250"/>
    </row>
    <row r="329" spans="1:9">
      <c r="A329" s="3249">
        <v>328</v>
      </c>
      <c r="B329" s="3249">
        <v>-3</v>
      </c>
      <c r="C329" s="3584"/>
      <c r="D329" s="3249" t="s">
        <v>3570</v>
      </c>
      <c r="E329" s="3248" t="s">
        <v>3220</v>
      </c>
      <c r="F329" s="3250">
        <v>30.45</v>
      </c>
      <c r="G329" s="3250"/>
      <c r="H329" s="3250"/>
      <c r="I329" s="3250"/>
    </row>
    <row r="330" spans="1:9">
      <c r="A330" s="3249">
        <v>329</v>
      </c>
      <c r="B330" s="3249">
        <v>-3</v>
      </c>
      <c r="C330" s="3584"/>
      <c r="D330" s="3249" t="s">
        <v>3571</v>
      </c>
      <c r="E330" s="3248" t="s">
        <v>3220</v>
      </c>
      <c r="F330" s="3250">
        <v>30.45</v>
      </c>
      <c r="G330" s="3250"/>
      <c r="H330" s="3250"/>
      <c r="I330" s="3250"/>
    </row>
    <row r="331" spans="1:9">
      <c r="A331" s="3249">
        <v>330</v>
      </c>
      <c r="B331" s="3249">
        <v>-3</v>
      </c>
      <c r="C331" s="3584"/>
      <c r="D331" s="3249" t="s">
        <v>3572</v>
      </c>
      <c r="E331" s="3248" t="s">
        <v>3220</v>
      </c>
      <c r="F331" s="3250">
        <v>30.45</v>
      </c>
      <c r="G331" s="3250"/>
      <c r="H331" s="3250"/>
      <c r="I331" s="3250"/>
    </row>
    <row r="332" spans="1:9">
      <c r="A332" s="3249">
        <v>331</v>
      </c>
      <c r="B332" s="3249">
        <v>-3</v>
      </c>
      <c r="C332" s="3584"/>
      <c r="D332" s="3249" t="s">
        <v>3573</v>
      </c>
      <c r="E332" s="3248" t="s">
        <v>3220</v>
      </c>
      <c r="F332" s="3250">
        <v>30.45</v>
      </c>
      <c r="G332" s="3250"/>
      <c r="H332" s="3250"/>
      <c r="I332" s="3250"/>
    </row>
    <row r="333" spans="1:9">
      <c r="A333" s="3249">
        <v>332</v>
      </c>
      <c r="B333" s="3249">
        <v>-3</v>
      </c>
      <c r="C333" s="3584"/>
      <c r="D333" s="3249" t="s">
        <v>3574</v>
      </c>
      <c r="E333" s="3248" t="s">
        <v>3220</v>
      </c>
      <c r="F333" s="3250">
        <v>30.45</v>
      </c>
      <c r="G333" s="3250"/>
      <c r="H333" s="3250"/>
      <c r="I333" s="3250"/>
    </row>
    <row r="334" spans="1:9">
      <c r="A334" s="3248" t="s">
        <v>4444</v>
      </c>
      <c r="F334" s="3250">
        <f>SUM(F2:F333)</f>
        <v>10132.520000000013</v>
      </c>
      <c r="G334" s="3250"/>
      <c r="H334" s="3250"/>
      <c r="I334" s="3250"/>
    </row>
  </sheetData>
  <mergeCells count="1">
    <mergeCell ref="C2:C333"/>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tabColor rgb="FFFFFF00"/>
  </sheetPr>
  <dimension ref="A1:K87"/>
  <sheetViews>
    <sheetView workbookViewId="0">
      <selection activeCell="I18" sqref="I18"/>
    </sheetView>
  </sheetViews>
  <sheetFormatPr defaultColWidth="8.875" defaultRowHeight="14.25"/>
  <cols>
    <col min="1" max="1" width="6.5" style="3232" customWidth="1"/>
    <col min="2" max="2" width="6" style="3232" customWidth="1"/>
    <col min="3" max="3" width="9.125" style="3232" customWidth="1"/>
    <col min="4" max="4" width="8.875" style="3232"/>
    <col min="5" max="5" width="13.625" style="3232" customWidth="1"/>
    <col min="6" max="6" width="8.875" style="3232"/>
    <col min="7" max="7" width="9.125" style="3232" customWidth="1"/>
    <col min="8" max="16384" width="8.875" style="3232"/>
  </cols>
  <sheetData>
    <row r="1" spans="1:11">
      <c r="A1" s="3231" t="s">
        <v>3174</v>
      </c>
      <c r="B1" s="3231" t="s">
        <v>3181</v>
      </c>
      <c r="C1" s="3231" t="s">
        <v>3221</v>
      </c>
      <c r="D1" s="3231" t="s">
        <v>3176</v>
      </c>
      <c r="E1" s="3231" t="s">
        <v>3208</v>
      </c>
      <c r="F1" s="3231" t="s">
        <v>3209</v>
      </c>
      <c r="I1" s="3231" t="s">
        <v>3177</v>
      </c>
      <c r="J1" s="3231" t="s">
        <v>4445</v>
      </c>
      <c r="K1" s="3231" t="s">
        <v>4446</v>
      </c>
    </row>
    <row r="2" spans="1:11">
      <c r="A2" s="3232">
        <v>1</v>
      </c>
      <c r="B2" s="3232" t="s">
        <v>3660</v>
      </c>
      <c r="C2" s="3231" t="s">
        <v>3664</v>
      </c>
      <c r="D2" s="3234" t="s">
        <v>3575</v>
      </c>
      <c r="E2" s="3232" t="s">
        <v>3219</v>
      </c>
      <c r="F2" s="3232">
        <v>53.1</v>
      </c>
      <c r="I2" s="3231" t="s">
        <v>3220</v>
      </c>
      <c r="J2" s="3232">
        <v>-2</v>
      </c>
      <c r="K2" s="3232">
        <f>SUM(F2:F47)</f>
        <v>2442.5999999999981</v>
      </c>
    </row>
    <row r="3" spans="1:11">
      <c r="A3" s="3232">
        <v>2</v>
      </c>
      <c r="B3" s="3232" t="s">
        <v>3660</v>
      </c>
      <c r="D3" s="3234" t="s">
        <v>3576</v>
      </c>
      <c r="E3" s="3232" t="s">
        <v>3219</v>
      </c>
      <c r="F3" s="3232">
        <v>53.1</v>
      </c>
      <c r="I3" s="3231" t="s">
        <v>3223</v>
      </c>
      <c r="J3" s="3232">
        <v>1</v>
      </c>
      <c r="K3" s="3232">
        <f>SUM(F48:F86)-K4-K5</f>
        <v>2881.9600000000037</v>
      </c>
    </row>
    <row r="4" spans="1:11">
      <c r="A4" s="3232">
        <v>3</v>
      </c>
      <c r="B4" s="3232" t="s">
        <v>3660</v>
      </c>
      <c r="D4" s="3234" t="s">
        <v>3577</v>
      </c>
      <c r="E4" s="3232" t="s">
        <v>3219</v>
      </c>
      <c r="F4" s="3232">
        <v>53.1</v>
      </c>
      <c r="J4" s="3233" t="s">
        <v>3182</v>
      </c>
      <c r="K4" s="3232">
        <f>F55+F71+F81</f>
        <v>4546.8099999999995</v>
      </c>
    </row>
    <row r="5" spans="1:11">
      <c r="A5" s="3232">
        <v>4</v>
      </c>
      <c r="B5" s="3232" t="s">
        <v>3660</v>
      </c>
      <c r="D5" s="3234" t="s">
        <v>3578</v>
      </c>
      <c r="E5" s="3232" t="s">
        <v>3219</v>
      </c>
      <c r="F5" s="3232">
        <v>53.1</v>
      </c>
      <c r="J5" s="3232">
        <v>-1</v>
      </c>
      <c r="K5" s="3232">
        <f>F64</f>
        <v>3840.45</v>
      </c>
    </row>
    <row r="6" spans="1:11">
      <c r="A6" s="3232">
        <v>5</v>
      </c>
      <c r="B6" s="3232" t="s">
        <v>3660</v>
      </c>
      <c r="D6" s="3234" t="s">
        <v>3579</v>
      </c>
      <c r="E6" s="3232" t="s">
        <v>3219</v>
      </c>
      <c r="F6" s="3232">
        <v>53.1</v>
      </c>
      <c r="K6" s="3232">
        <f>SUM(K2:K5)</f>
        <v>13711.82</v>
      </c>
    </row>
    <row r="7" spans="1:11">
      <c r="A7" s="3232">
        <v>6</v>
      </c>
      <c r="B7" s="3232" t="s">
        <v>3660</v>
      </c>
      <c r="D7" s="3234" t="s">
        <v>3580</v>
      </c>
      <c r="E7" s="3232" t="s">
        <v>3219</v>
      </c>
      <c r="F7" s="3232">
        <v>53.1</v>
      </c>
    </row>
    <row r="8" spans="1:11">
      <c r="A8" s="3232">
        <v>7</v>
      </c>
      <c r="B8" s="3232" t="s">
        <v>3660</v>
      </c>
      <c r="D8" s="3234" t="s">
        <v>3581</v>
      </c>
      <c r="E8" s="3232" t="s">
        <v>3219</v>
      </c>
      <c r="F8" s="3232">
        <v>53.1</v>
      </c>
    </row>
    <row r="9" spans="1:11">
      <c r="A9" s="3232">
        <v>8</v>
      </c>
      <c r="B9" s="3232" t="s">
        <v>3660</v>
      </c>
      <c r="D9" s="3234" t="s">
        <v>3582</v>
      </c>
      <c r="E9" s="3232" t="s">
        <v>3219</v>
      </c>
      <c r="F9" s="3232">
        <v>53.1</v>
      </c>
    </row>
    <row r="10" spans="1:11">
      <c r="A10" s="3232">
        <v>9</v>
      </c>
      <c r="B10" s="3232" t="s">
        <v>3660</v>
      </c>
      <c r="D10" s="3234" t="s">
        <v>3583</v>
      </c>
      <c r="E10" s="3232" t="s">
        <v>3219</v>
      </c>
      <c r="F10" s="3232">
        <v>53.1</v>
      </c>
    </row>
    <row r="11" spans="1:11">
      <c r="A11" s="3232">
        <v>10</v>
      </c>
      <c r="B11" s="3232" t="s">
        <v>3660</v>
      </c>
      <c r="D11" s="3234" t="s">
        <v>3584</v>
      </c>
      <c r="E11" s="3232" t="s">
        <v>3219</v>
      </c>
      <c r="F11" s="3232">
        <v>53.1</v>
      </c>
    </row>
    <row r="12" spans="1:11">
      <c r="A12" s="3232">
        <v>11</v>
      </c>
      <c r="B12" s="3232" t="s">
        <v>3660</v>
      </c>
      <c r="D12" s="3234" t="s">
        <v>3585</v>
      </c>
      <c r="E12" s="3232" t="s">
        <v>3219</v>
      </c>
      <c r="F12" s="3232">
        <v>53.1</v>
      </c>
    </row>
    <row r="13" spans="1:11">
      <c r="A13" s="3232">
        <v>12</v>
      </c>
      <c r="B13" s="3232" t="s">
        <v>3660</v>
      </c>
      <c r="D13" s="3234" t="s">
        <v>3586</v>
      </c>
      <c r="E13" s="3232" t="s">
        <v>3219</v>
      </c>
      <c r="F13" s="3232">
        <v>53.1</v>
      </c>
    </row>
    <row r="14" spans="1:11">
      <c r="A14" s="3232">
        <v>13</v>
      </c>
      <c r="B14" s="3232" t="s">
        <v>3660</v>
      </c>
      <c r="D14" s="3234" t="s">
        <v>3587</v>
      </c>
      <c r="E14" s="3232" t="s">
        <v>3219</v>
      </c>
      <c r="F14" s="3232">
        <v>53.1</v>
      </c>
    </row>
    <row r="15" spans="1:11">
      <c r="A15" s="3232">
        <v>14</v>
      </c>
      <c r="B15" s="3232" t="s">
        <v>3660</v>
      </c>
      <c r="D15" s="3234" t="s">
        <v>3588</v>
      </c>
      <c r="E15" s="3232" t="s">
        <v>3219</v>
      </c>
      <c r="F15" s="3232">
        <v>53.1</v>
      </c>
    </row>
    <row r="16" spans="1:11">
      <c r="A16" s="3232">
        <v>15</v>
      </c>
      <c r="B16" s="3232" t="s">
        <v>3660</v>
      </c>
      <c r="D16" s="3234" t="s">
        <v>3589</v>
      </c>
      <c r="E16" s="3232" t="s">
        <v>3219</v>
      </c>
      <c r="F16" s="3232">
        <v>53.1</v>
      </c>
    </row>
    <row r="17" spans="1:6">
      <c r="A17" s="3232">
        <v>16</v>
      </c>
      <c r="B17" s="3232" t="s">
        <v>3660</v>
      </c>
      <c r="D17" s="3234" t="s">
        <v>3590</v>
      </c>
      <c r="E17" s="3232" t="s">
        <v>3219</v>
      </c>
      <c r="F17" s="3232">
        <v>53.1</v>
      </c>
    </row>
    <row r="18" spans="1:6">
      <c r="A18" s="3232">
        <v>17</v>
      </c>
      <c r="B18" s="3232" t="s">
        <v>3660</v>
      </c>
      <c r="D18" s="3234" t="s">
        <v>3591</v>
      </c>
      <c r="E18" s="3232" t="s">
        <v>3219</v>
      </c>
      <c r="F18" s="3232">
        <v>53.1</v>
      </c>
    </row>
    <row r="19" spans="1:6">
      <c r="A19" s="3232">
        <v>18</v>
      </c>
      <c r="B19" s="3232" t="s">
        <v>3660</v>
      </c>
      <c r="D19" s="3234" t="s">
        <v>3592</v>
      </c>
      <c r="E19" s="3232" t="s">
        <v>3219</v>
      </c>
      <c r="F19" s="3232">
        <v>53.1</v>
      </c>
    </row>
    <row r="20" spans="1:6">
      <c r="A20" s="3232">
        <v>19</v>
      </c>
      <c r="B20" s="3232" t="s">
        <v>3660</v>
      </c>
      <c r="D20" s="3234" t="s">
        <v>3593</v>
      </c>
      <c r="E20" s="3232" t="s">
        <v>3219</v>
      </c>
      <c r="F20" s="3232">
        <v>53.1</v>
      </c>
    </row>
    <row r="21" spans="1:6">
      <c r="A21" s="3232">
        <v>20</v>
      </c>
      <c r="B21" s="3232" t="s">
        <v>3660</v>
      </c>
      <c r="D21" s="3234" t="s">
        <v>3594</v>
      </c>
      <c r="E21" s="3232" t="s">
        <v>3219</v>
      </c>
      <c r="F21" s="3232">
        <v>53.1</v>
      </c>
    </row>
    <row r="22" spans="1:6">
      <c r="A22" s="3232">
        <v>21</v>
      </c>
      <c r="B22" s="3232" t="s">
        <v>3660</v>
      </c>
      <c r="D22" s="3234" t="s">
        <v>3595</v>
      </c>
      <c r="E22" s="3232" t="s">
        <v>3219</v>
      </c>
      <c r="F22" s="3232">
        <v>53.1</v>
      </c>
    </row>
    <row r="23" spans="1:6">
      <c r="A23" s="3232">
        <v>22</v>
      </c>
      <c r="B23" s="3232" t="s">
        <v>3660</v>
      </c>
      <c r="D23" s="3234" t="s">
        <v>3596</v>
      </c>
      <c r="E23" s="3232" t="s">
        <v>3219</v>
      </c>
      <c r="F23" s="3232">
        <v>53.1</v>
      </c>
    </row>
    <row r="24" spans="1:6">
      <c r="A24" s="3232">
        <v>23</v>
      </c>
      <c r="B24" s="3232" t="s">
        <v>3660</v>
      </c>
      <c r="D24" s="3234" t="s">
        <v>3597</v>
      </c>
      <c r="E24" s="3232" t="s">
        <v>3219</v>
      </c>
      <c r="F24" s="3232">
        <v>53.1</v>
      </c>
    </row>
    <row r="25" spans="1:6">
      <c r="A25" s="3232">
        <v>24</v>
      </c>
      <c r="B25" s="3232" t="s">
        <v>3660</v>
      </c>
      <c r="D25" s="3234" t="s">
        <v>3598</v>
      </c>
      <c r="E25" s="3232" t="s">
        <v>3219</v>
      </c>
      <c r="F25" s="3232">
        <v>53.1</v>
      </c>
    </row>
    <row r="26" spans="1:6">
      <c r="A26" s="3232">
        <v>25</v>
      </c>
      <c r="B26" s="3232" t="s">
        <v>3660</v>
      </c>
      <c r="D26" s="3234" t="s">
        <v>3599</v>
      </c>
      <c r="E26" s="3232" t="s">
        <v>3219</v>
      </c>
      <c r="F26" s="3232">
        <v>53.1</v>
      </c>
    </row>
    <row r="27" spans="1:6">
      <c r="A27" s="3232">
        <v>26</v>
      </c>
      <c r="B27" s="3232" t="s">
        <v>3660</v>
      </c>
      <c r="D27" s="3234" t="s">
        <v>3600</v>
      </c>
      <c r="E27" s="3232" t="s">
        <v>3219</v>
      </c>
      <c r="F27" s="3232">
        <v>53.1</v>
      </c>
    </row>
    <row r="28" spans="1:6">
      <c r="A28" s="3232">
        <v>27</v>
      </c>
      <c r="B28" s="3232" t="s">
        <v>3660</v>
      </c>
      <c r="D28" s="3234" t="s">
        <v>3601</v>
      </c>
      <c r="E28" s="3232" t="s">
        <v>3219</v>
      </c>
      <c r="F28" s="3232">
        <v>53.1</v>
      </c>
    </row>
    <row r="29" spans="1:6">
      <c r="A29" s="3232">
        <v>28</v>
      </c>
      <c r="B29" s="3232" t="s">
        <v>3660</v>
      </c>
      <c r="D29" s="3234" t="s">
        <v>3602</v>
      </c>
      <c r="E29" s="3232" t="s">
        <v>3219</v>
      </c>
      <c r="F29" s="3232">
        <v>53.1</v>
      </c>
    </row>
    <row r="30" spans="1:6">
      <c r="A30" s="3232">
        <v>29</v>
      </c>
      <c r="B30" s="3232" t="s">
        <v>3660</v>
      </c>
      <c r="D30" s="3234" t="s">
        <v>3603</v>
      </c>
      <c r="E30" s="3232" t="s">
        <v>3219</v>
      </c>
      <c r="F30" s="3232">
        <v>53.1</v>
      </c>
    </row>
    <row r="31" spans="1:6">
      <c r="A31" s="3232">
        <v>30</v>
      </c>
      <c r="B31" s="3232" t="s">
        <v>3660</v>
      </c>
      <c r="D31" s="3234" t="s">
        <v>3604</v>
      </c>
      <c r="E31" s="3232" t="s">
        <v>3219</v>
      </c>
      <c r="F31" s="3232">
        <v>53.1</v>
      </c>
    </row>
    <row r="32" spans="1:6">
      <c r="A32" s="3232">
        <v>31</v>
      </c>
      <c r="B32" s="3232" t="s">
        <v>3660</v>
      </c>
      <c r="D32" s="3234" t="s">
        <v>3605</v>
      </c>
      <c r="E32" s="3232" t="s">
        <v>3219</v>
      </c>
      <c r="F32" s="3232">
        <v>53.1</v>
      </c>
    </row>
    <row r="33" spans="1:6">
      <c r="A33" s="3232">
        <v>32</v>
      </c>
      <c r="B33" s="3232" t="s">
        <v>3660</v>
      </c>
      <c r="D33" s="3234" t="s">
        <v>3606</v>
      </c>
      <c r="E33" s="3232" t="s">
        <v>3219</v>
      </c>
      <c r="F33" s="3232">
        <v>53.1</v>
      </c>
    </row>
    <row r="34" spans="1:6">
      <c r="A34" s="3232">
        <v>33</v>
      </c>
      <c r="B34" s="3232" t="s">
        <v>3660</v>
      </c>
      <c r="D34" s="3234" t="s">
        <v>3607</v>
      </c>
      <c r="E34" s="3232" t="s">
        <v>3219</v>
      </c>
      <c r="F34" s="3232">
        <v>53.1</v>
      </c>
    </row>
    <row r="35" spans="1:6">
      <c r="A35" s="3232">
        <v>34</v>
      </c>
      <c r="B35" s="3232" t="s">
        <v>3660</v>
      </c>
      <c r="D35" s="3234" t="s">
        <v>3608</v>
      </c>
      <c r="E35" s="3232" t="s">
        <v>3219</v>
      </c>
      <c r="F35" s="3232">
        <v>53.1</v>
      </c>
    </row>
    <row r="36" spans="1:6">
      <c r="A36" s="3232">
        <v>35</v>
      </c>
      <c r="B36" s="3232" t="s">
        <v>3660</v>
      </c>
      <c r="D36" s="3234" t="s">
        <v>3609</v>
      </c>
      <c r="E36" s="3232" t="s">
        <v>3219</v>
      </c>
      <c r="F36" s="3232">
        <v>53.1</v>
      </c>
    </row>
    <row r="37" spans="1:6">
      <c r="A37" s="3232">
        <v>36</v>
      </c>
      <c r="B37" s="3232" t="s">
        <v>3660</v>
      </c>
      <c r="D37" s="3234" t="s">
        <v>3610</v>
      </c>
      <c r="E37" s="3232" t="s">
        <v>3219</v>
      </c>
      <c r="F37" s="3232">
        <v>53.1</v>
      </c>
    </row>
    <row r="38" spans="1:6">
      <c r="A38" s="3232">
        <v>37</v>
      </c>
      <c r="B38" s="3232" t="s">
        <v>3660</v>
      </c>
      <c r="D38" s="3234" t="s">
        <v>3611</v>
      </c>
      <c r="E38" s="3232" t="s">
        <v>3219</v>
      </c>
      <c r="F38" s="3232">
        <v>53.1</v>
      </c>
    </row>
    <row r="39" spans="1:6">
      <c r="A39" s="3232">
        <v>38</v>
      </c>
      <c r="B39" s="3232" t="s">
        <v>3660</v>
      </c>
      <c r="D39" s="3234" t="s">
        <v>3612</v>
      </c>
      <c r="E39" s="3232" t="s">
        <v>3219</v>
      </c>
      <c r="F39" s="3232">
        <v>53.1</v>
      </c>
    </row>
    <row r="40" spans="1:6">
      <c r="A40" s="3232">
        <v>39</v>
      </c>
      <c r="B40" s="3232" t="s">
        <v>3660</v>
      </c>
      <c r="D40" s="3234" t="s">
        <v>3613</v>
      </c>
      <c r="E40" s="3232" t="s">
        <v>3219</v>
      </c>
      <c r="F40" s="3232">
        <v>53.1</v>
      </c>
    </row>
    <row r="41" spans="1:6">
      <c r="A41" s="3232">
        <v>40</v>
      </c>
      <c r="B41" s="3232" t="s">
        <v>3660</v>
      </c>
      <c r="D41" s="3234" t="s">
        <v>3614</v>
      </c>
      <c r="E41" s="3232" t="s">
        <v>3219</v>
      </c>
      <c r="F41" s="3232">
        <v>53.1</v>
      </c>
    </row>
    <row r="42" spans="1:6">
      <c r="A42" s="3232">
        <v>41</v>
      </c>
      <c r="B42" s="3232" t="s">
        <v>3660</v>
      </c>
      <c r="D42" s="3234" t="s">
        <v>3615</v>
      </c>
      <c r="E42" s="3232" t="s">
        <v>3219</v>
      </c>
      <c r="F42" s="3232">
        <v>53.1</v>
      </c>
    </row>
    <row r="43" spans="1:6">
      <c r="A43" s="3232">
        <v>42</v>
      </c>
      <c r="B43" s="3232" t="s">
        <v>3660</v>
      </c>
      <c r="D43" s="3234" t="s">
        <v>3616</v>
      </c>
      <c r="E43" s="3232" t="s">
        <v>3219</v>
      </c>
      <c r="F43" s="3232">
        <v>53.1</v>
      </c>
    </row>
    <row r="44" spans="1:6">
      <c r="A44" s="3232">
        <v>43</v>
      </c>
      <c r="B44" s="3232" t="s">
        <v>3660</v>
      </c>
      <c r="D44" s="3234" t="s">
        <v>3617</v>
      </c>
      <c r="E44" s="3232" t="s">
        <v>3219</v>
      </c>
      <c r="F44" s="3232">
        <v>53.1</v>
      </c>
    </row>
    <row r="45" spans="1:6">
      <c r="A45" s="3232">
        <v>44</v>
      </c>
      <c r="B45" s="3232" t="s">
        <v>3660</v>
      </c>
      <c r="D45" s="3234" t="s">
        <v>3618</v>
      </c>
      <c r="E45" s="3232" t="s">
        <v>3219</v>
      </c>
      <c r="F45" s="3232">
        <v>53.1</v>
      </c>
    </row>
    <row r="46" spans="1:6">
      <c r="A46" s="3232">
        <v>45</v>
      </c>
      <c r="B46" s="3232" t="s">
        <v>3660</v>
      </c>
      <c r="D46" s="3234" t="s">
        <v>3619</v>
      </c>
      <c r="E46" s="3232" t="s">
        <v>3219</v>
      </c>
      <c r="F46" s="3232">
        <v>53.1</v>
      </c>
    </row>
    <row r="47" spans="1:6">
      <c r="A47" s="3232">
        <v>46</v>
      </c>
      <c r="B47" s="3232" t="s">
        <v>3660</v>
      </c>
      <c r="D47" s="3234" t="s">
        <v>3620</v>
      </c>
      <c r="E47" s="3232" t="s">
        <v>3219</v>
      </c>
      <c r="F47" s="3232">
        <v>53.1</v>
      </c>
    </row>
    <row r="48" spans="1:6">
      <c r="A48" s="3232">
        <v>47</v>
      </c>
      <c r="B48" s="3232" t="s">
        <v>3661</v>
      </c>
      <c r="D48" s="3234" t="s">
        <v>3621</v>
      </c>
      <c r="E48" s="3231" t="s">
        <v>3223</v>
      </c>
      <c r="F48" s="3232">
        <v>59.26</v>
      </c>
    </row>
    <row r="49" spans="1:6">
      <c r="A49" s="3232">
        <v>48</v>
      </c>
      <c r="B49" s="3232" t="s">
        <v>3661</v>
      </c>
      <c r="D49" s="3234" t="s">
        <v>3622</v>
      </c>
      <c r="E49" s="3232" t="s">
        <v>3222</v>
      </c>
      <c r="F49" s="3232">
        <v>132.02000000000001</v>
      </c>
    </row>
    <row r="50" spans="1:6">
      <c r="A50" s="3232">
        <v>49</v>
      </c>
      <c r="B50" s="3232" t="s">
        <v>3661</v>
      </c>
      <c r="D50" s="3234" t="s">
        <v>3623</v>
      </c>
      <c r="E50" s="3232" t="s">
        <v>3222</v>
      </c>
      <c r="F50" s="3232">
        <v>44.26</v>
      </c>
    </row>
    <row r="51" spans="1:6">
      <c r="A51" s="3232">
        <v>50</v>
      </c>
      <c r="B51" s="3232" t="s">
        <v>3661</v>
      </c>
      <c r="D51" s="3234" t="s">
        <v>3624</v>
      </c>
      <c r="E51" s="3232" t="s">
        <v>3222</v>
      </c>
      <c r="F51" s="3232">
        <v>46.9</v>
      </c>
    </row>
    <row r="52" spans="1:6">
      <c r="A52" s="3232">
        <v>51</v>
      </c>
      <c r="B52" s="3232" t="s">
        <v>3661</v>
      </c>
      <c r="D52" s="3234" t="s">
        <v>3625</v>
      </c>
      <c r="E52" s="3232" t="s">
        <v>3222</v>
      </c>
      <c r="F52" s="3232">
        <v>45.15</v>
      </c>
    </row>
    <row r="53" spans="1:6">
      <c r="A53" s="3232">
        <v>52</v>
      </c>
      <c r="B53" s="3232" t="s">
        <v>3661</v>
      </c>
      <c r="D53" s="3234" t="s">
        <v>3626</v>
      </c>
      <c r="E53" s="3232" t="s">
        <v>3222</v>
      </c>
      <c r="F53" s="3232">
        <v>120.17</v>
      </c>
    </row>
    <row r="54" spans="1:6">
      <c r="A54" s="3232">
        <v>53</v>
      </c>
      <c r="B54" s="3232" t="s">
        <v>3661</v>
      </c>
      <c r="D54" s="3234" t="s">
        <v>3627</v>
      </c>
      <c r="E54" s="3232" t="s">
        <v>3222</v>
      </c>
      <c r="F54" s="3232">
        <v>97.45</v>
      </c>
    </row>
    <row r="55" spans="1:6">
      <c r="A55" s="3232">
        <v>54</v>
      </c>
      <c r="B55" s="3232" t="s">
        <v>3662</v>
      </c>
      <c r="D55" s="3234" t="s">
        <v>3628</v>
      </c>
      <c r="E55" s="3232" t="s">
        <v>3222</v>
      </c>
      <c r="F55" s="3232">
        <v>1786.53</v>
      </c>
    </row>
    <row r="56" spans="1:6">
      <c r="A56" s="3232">
        <v>55</v>
      </c>
      <c r="B56" s="3232" t="s">
        <v>3661</v>
      </c>
      <c r="D56" s="3234" t="s">
        <v>3629</v>
      </c>
      <c r="E56" s="3232" t="s">
        <v>3222</v>
      </c>
      <c r="F56" s="3232">
        <v>57.21</v>
      </c>
    </row>
    <row r="57" spans="1:6">
      <c r="A57" s="3232">
        <v>56</v>
      </c>
      <c r="B57" s="3232" t="s">
        <v>3661</v>
      </c>
      <c r="D57" s="3234" t="s">
        <v>3630</v>
      </c>
      <c r="E57" s="3232" t="s">
        <v>3222</v>
      </c>
      <c r="F57" s="3232">
        <v>87.03</v>
      </c>
    </row>
    <row r="58" spans="1:6">
      <c r="A58" s="3232">
        <v>57</v>
      </c>
      <c r="B58" s="3232" t="s">
        <v>3661</v>
      </c>
      <c r="D58" s="3234" t="s">
        <v>3631</v>
      </c>
      <c r="E58" s="3232" t="s">
        <v>3222</v>
      </c>
      <c r="F58" s="3232">
        <v>123.61</v>
      </c>
    </row>
    <row r="59" spans="1:6">
      <c r="A59" s="3232">
        <v>58</v>
      </c>
      <c r="B59" s="3232" t="s">
        <v>3661</v>
      </c>
      <c r="D59" s="3234" t="s">
        <v>3632</v>
      </c>
      <c r="E59" s="3232" t="s">
        <v>3222</v>
      </c>
      <c r="F59" s="3232">
        <v>85.91</v>
      </c>
    </row>
    <row r="60" spans="1:6">
      <c r="A60" s="3232">
        <v>59</v>
      </c>
      <c r="B60" s="3232" t="s">
        <v>3661</v>
      </c>
      <c r="D60" s="3234" t="s">
        <v>3633</v>
      </c>
      <c r="E60" s="3232" t="s">
        <v>3222</v>
      </c>
      <c r="F60" s="3232">
        <v>58.81</v>
      </c>
    </row>
    <row r="61" spans="1:6">
      <c r="A61" s="3232">
        <v>60</v>
      </c>
      <c r="B61" s="3232" t="s">
        <v>3661</v>
      </c>
      <c r="D61" s="3234" t="s">
        <v>3634</v>
      </c>
      <c r="E61" s="3232" t="s">
        <v>3222</v>
      </c>
      <c r="F61" s="3232">
        <v>88.45</v>
      </c>
    </row>
    <row r="62" spans="1:6">
      <c r="A62" s="3232">
        <v>61</v>
      </c>
      <c r="B62" s="3232" t="s">
        <v>3661</v>
      </c>
      <c r="D62" s="3234" t="s">
        <v>3635</v>
      </c>
      <c r="E62" s="3232" t="s">
        <v>3222</v>
      </c>
      <c r="F62" s="3232">
        <v>127.25</v>
      </c>
    </row>
    <row r="63" spans="1:6">
      <c r="A63" s="3232">
        <v>62</v>
      </c>
      <c r="B63" s="3232" t="s">
        <v>3661</v>
      </c>
      <c r="D63" s="3234" t="s">
        <v>3636</v>
      </c>
      <c r="E63" s="3232" t="s">
        <v>3222</v>
      </c>
      <c r="F63" s="3232">
        <v>210.49</v>
      </c>
    </row>
    <row r="64" spans="1:6">
      <c r="A64" s="3232">
        <v>63</v>
      </c>
      <c r="B64" s="3232" t="s">
        <v>3663</v>
      </c>
      <c r="D64" s="3234" t="s">
        <v>3637</v>
      </c>
      <c r="E64" s="3232" t="s">
        <v>3222</v>
      </c>
      <c r="F64" s="3232">
        <v>3840.45</v>
      </c>
    </row>
    <row r="65" spans="1:6">
      <c r="A65" s="3232">
        <v>64</v>
      </c>
      <c r="B65" s="3232" t="s">
        <v>3661</v>
      </c>
      <c r="D65" s="3234" t="s">
        <v>3638</v>
      </c>
      <c r="E65" s="3232" t="s">
        <v>3222</v>
      </c>
      <c r="F65" s="3232">
        <v>129.43</v>
      </c>
    </row>
    <row r="66" spans="1:6">
      <c r="A66" s="3232">
        <v>65</v>
      </c>
      <c r="B66" s="3232" t="s">
        <v>3661</v>
      </c>
      <c r="D66" s="3234" t="s">
        <v>3639</v>
      </c>
      <c r="E66" s="3232" t="s">
        <v>3222</v>
      </c>
      <c r="F66" s="3232">
        <v>51.67</v>
      </c>
    </row>
    <row r="67" spans="1:6">
      <c r="A67" s="3232">
        <v>66</v>
      </c>
      <c r="B67" s="3232" t="s">
        <v>3661</v>
      </c>
      <c r="D67" s="3234" t="s">
        <v>3640</v>
      </c>
      <c r="E67" s="3232" t="s">
        <v>3222</v>
      </c>
      <c r="F67" s="3232">
        <v>47.82</v>
      </c>
    </row>
    <row r="68" spans="1:6">
      <c r="A68" s="3232">
        <v>67</v>
      </c>
      <c r="B68" s="3232" t="s">
        <v>3661</v>
      </c>
      <c r="D68" s="3234" t="s">
        <v>3641</v>
      </c>
      <c r="E68" s="3232" t="s">
        <v>3222</v>
      </c>
      <c r="F68" s="3232">
        <v>58.24</v>
      </c>
    </row>
    <row r="69" spans="1:6">
      <c r="A69" s="3232">
        <v>68</v>
      </c>
      <c r="B69" s="3232" t="s">
        <v>3661</v>
      </c>
      <c r="D69" s="3234" t="s">
        <v>3642</v>
      </c>
      <c r="E69" s="3232" t="s">
        <v>3222</v>
      </c>
      <c r="F69" s="3232">
        <v>80</v>
      </c>
    </row>
    <row r="70" spans="1:6">
      <c r="A70" s="3232">
        <v>69</v>
      </c>
      <c r="B70" s="3232" t="s">
        <v>3661</v>
      </c>
      <c r="D70" s="3234" t="s">
        <v>3643</v>
      </c>
      <c r="E70" s="3232" t="s">
        <v>3222</v>
      </c>
      <c r="F70" s="3232">
        <v>105.57</v>
      </c>
    </row>
    <row r="71" spans="1:6">
      <c r="A71" s="3232">
        <v>70</v>
      </c>
      <c r="B71" s="3232" t="s">
        <v>3662</v>
      </c>
      <c r="D71" s="3234" t="s">
        <v>3644</v>
      </c>
      <c r="E71" s="3232" t="s">
        <v>3222</v>
      </c>
      <c r="F71" s="3232">
        <v>1514.57</v>
      </c>
    </row>
    <row r="72" spans="1:6">
      <c r="A72" s="3232">
        <v>71</v>
      </c>
      <c r="B72" s="3232" t="s">
        <v>3661</v>
      </c>
      <c r="D72" s="3234" t="s">
        <v>3645</v>
      </c>
      <c r="E72" s="3232" t="s">
        <v>3222</v>
      </c>
      <c r="F72" s="3232">
        <v>36.78</v>
      </c>
    </row>
    <row r="73" spans="1:6">
      <c r="A73" s="3232">
        <v>72</v>
      </c>
      <c r="B73" s="3232" t="s">
        <v>3661</v>
      </c>
      <c r="D73" s="3234" t="s">
        <v>3646</v>
      </c>
      <c r="E73" s="3232" t="s">
        <v>3222</v>
      </c>
      <c r="F73" s="3232">
        <v>25.34</v>
      </c>
    </row>
    <row r="74" spans="1:6">
      <c r="A74" s="3232">
        <v>73</v>
      </c>
      <c r="B74" s="3232" t="s">
        <v>3661</v>
      </c>
      <c r="D74" s="3234" t="s">
        <v>3647</v>
      </c>
      <c r="E74" s="3232" t="s">
        <v>3222</v>
      </c>
      <c r="F74" s="3232">
        <v>78.45</v>
      </c>
    </row>
    <row r="75" spans="1:6">
      <c r="A75" s="3232">
        <v>74</v>
      </c>
      <c r="B75" s="3232" t="s">
        <v>3661</v>
      </c>
      <c r="D75" s="3234" t="s">
        <v>3648</v>
      </c>
      <c r="E75" s="3232" t="s">
        <v>3222</v>
      </c>
      <c r="F75" s="3232">
        <v>125.54</v>
      </c>
    </row>
    <row r="76" spans="1:6">
      <c r="A76" s="3232">
        <v>75</v>
      </c>
      <c r="B76" s="3232" t="s">
        <v>3661</v>
      </c>
      <c r="D76" s="3234" t="s">
        <v>3649</v>
      </c>
      <c r="E76" s="3232" t="s">
        <v>3222</v>
      </c>
      <c r="F76" s="3232">
        <v>42.57</v>
      </c>
    </row>
    <row r="77" spans="1:6">
      <c r="A77" s="3232">
        <v>76</v>
      </c>
      <c r="B77" s="3232" t="s">
        <v>3661</v>
      </c>
      <c r="D77" s="3234" t="s">
        <v>3650</v>
      </c>
      <c r="E77" s="3232" t="s">
        <v>3222</v>
      </c>
      <c r="F77" s="3232">
        <v>48.96</v>
      </c>
    </row>
    <row r="78" spans="1:6">
      <c r="A78" s="3232">
        <v>77</v>
      </c>
      <c r="B78" s="3232" t="s">
        <v>3661</v>
      </c>
      <c r="D78" s="3234" t="s">
        <v>3651</v>
      </c>
      <c r="E78" s="3232" t="s">
        <v>3222</v>
      </c>
      <c r="F78" s="3232">
        <v>48.61</v>
      </c>
    </row>
    <row r="79" spans="1:6">
      <c r="A79" s="3232">
        <v>78</v>
      </c>
      <c r="B79" s="3232" t="s">
        <v>3661</v>
      </c>
      <c r="D79" s="3234" t="s">
        <v>3652</v>
      </c>
      <c r="E79" s="3232" t="s">
        <v>3222</v>
      </c>
      <c r="F79" s="3232">
        <v>97.45</v>
      </c>
    </row>
    <row r="80" spans="1:6">
      <c r="A80" s="3232">
        <v>79</v>
      </c>
      <c r="B80" s="3232" t="s">
        <v>3661</v>
      </c>
      <c r="D80" s="3234" t="s">
        <v>3653</v>
      </c>
      <c r="E80" s="3232" t="s">
        <v>3222</v>
      </c>
      <c r="F80" s="3232">
        <v>96.98</v>
      </c>
    </row>
    <row r="81" spans="1:6">
      <c r="A81" s="3232">
        <v>80</v>
      </c>
      <c r="B81" s="3232" t="s">
        <v>3662</v>
      </c>
      <c r="D81" s="3234" t="s">
        <v>3654</v>
      </c>
      <c r="E81" s="3232" t="s">
        <v>3222</v>
      </c>
      <c r="F81" s="3232">
        <v>1245.71</v>
      </c>
    </row>
    <row r="82" spans="1:6">
      <c r="A82" s="3232">
        <v>81</v>
      </c>
      <c r="B82" s="3232" t="s">
        <v>3661</v>
      </c>
      <c r="D82" s="3234" t="s">
        <v>3655</v>
      </c>
      <c r="E82" s="3232" t="s">
        <v>3222</v>
      </c>
      <c r="F82" s="3232">
        <v>132.96</v>
      </c>
    </row>
    <row r="83" spans="1:6">
      <c r="A83" s="3232">
        <v>82</v>
      </c>
      <c r="B83" s="3232" t="s">
        <v>3661</v>
      </c>
      <c r="D83" s="3234" t="s">
        <v>3656</v>
      </c>
      <c r="E83" s="3232" t="s">
        <v>3222</v>
      </c>
      <c r="F83" s="3232">
        <v>134.84</v>
      </c>
    </row>
    <row r="84" spans="1:6">
      <c r="A84" s="3232">
        <v>83</v>
      </c>
      <c r="B84" s="3232" t="s">
        <v>3661</v>
      </c>
      <c r="D84" s="3234" t="s">
        <v>3657</v>
      </c>
      <c r="E84" s="3232" t="s">
        <v>3222</v>
      </c>
      <c r="F84" s="3232">
        <v>99.51</v>
      </c>
    </row>
    <row r="85" spans="1:6">
      <c r="A85" s="3232">
        <v>84</v>
      </c>
      <c r="B85" s="3232" t="s">
        <v>3661</v>
      </c>
      <c r="D85" s="3234" t="s">
        <v>3658</v>
      </c>
      <c r="E85" s="3232" t="s">
        <v>3222</v>
      </c>
      <c r="F85" s="3232">
        <v>46.34</v>
      </c>
    </row>
    <row r="86" spans="1:6">
      <c r="A86" s="3232">
        <v>85</v>
      </c>
      <c r="B86" s="3232" t="s">
        <v>3661</v>
      </c>
      <c r="D86" s="3234" t="s">
        <v>3659</v>
      </c>
      <c r="E86" s="3232" t="s">
        <v>3222</v>
      </c>
      <c r="F86" s="3232">
        <v>10.93</v>
      </c>
    </row>
    <row r="87" spans="1:6">
      <c r="A87" s="3231" t="s">
        <v>4444</v>
      </c>
      <c r="F87" s="3232">
        <f>SUM(F2:F86)</f>
        <v>13711.819999999998</v>
      </c>
    </row>
  </sheetData>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32" customWidth="1"/>
    <col min="2" max="9" width="10" style="932" customWidth="1"/>
    <col min="10" max="16384" width="9" style="932"/>
  </cols>
  <sheetData>
    <row r="36" spans="1:9">
      <c r="A36" s="931" t="s">
        <v>637</v>
      </c>
      <c r="B36" s="931" t="s">
        <v>638</v>
      </c>
    </row>
    <row r="37" spans="1:9" ht="27.75" customHeight="1">
      <c r="A37" s="931"/>
      <c r="B37" s="3446" t="str">
        <f>项目基本情况!B1</f>
        <v>北京市房地产市场价值预评估</v>
      </c>
      <c r="C37" s="3446"/>
      <c r="D37" s="3446"/>
      <c r="E37" s="3446"/>
      <c r="F37" s="3446"/>
      <c r="G37" s="3446"/>
      <c r="H37" s="3446"/>
      <c r="I37" s="3446"/>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梁津（注册号：0)、陈颖（注册号：1120060040)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6">
    <tabColor rgb="FFFFFF00"/>
  </sheetPr>
  <dimension ref="A1:N23"/>
  <sheetViews>
    <sheetView workbookViewId="0">
      <selection activeCell="E3" sqref="E3:E16"/>
    </sheetView>
  </sheetViews>
  <sheetFormatPr defaultColWidth="8.875" defaultRowHeight="14.25"/>
  <cols>
    <col min="1" max="1" width="5" style="3232" customWidth="1"/>
    <col min="2" max="2" width="5.625" style="3232" customWidth="1"/>
    <col min="3" max="3" width="40" style="3232" customWidth="1"/>
    <col min="4" max="4" width="10.625" style="3232" customWidth="1"/>
    <col min="5" max="5" width="12.125" style="3232" customWidth="1"/>
    <col min="6" max="6" width="8.875" style="3232"/>
    <col min="7" max="7" width="13" style="3232" customWidth="1"/>
    <col min="8" max="13" width="8.875" style="3232"/>
    <col min="14" max="14" width="10.5" style="3232" bestFit="1" customWidth="1"/>
    <col min="15" max="16384" width="8.875" style="3232"/>
  </cols>
  <sheetData>
    <row r="1" spans="1:14">
      <c r="A1" s="3231" t="s">
        <v>3174</v>
      </c>
      <c r="B1" s="3231" t="s">
        <v>3181</v>
      </c>
      <c r="C1" s="3231" t="s">
        <v>3221</v>
      </c>
      <c r="D1" s="3231" t="s">
        <v>3176</v>
      </c>
      <c r="E1" s="3231" t="s">
        <v>3208</v>
      </c>
      <c r="F1" s="3231" t="s">
        <v>3209</v>
      </c>
      <c r="I1" s="3231" t="s">
        <v>3177</v>
      </c>
      <c r="J1" s="3231" t="s">
        <v>4445</v>
      </c>
      <c r="K1" s="3231" t="s">
        <v>4446</v>
      </c>
    </row>
    <row r="2" spans="1:14">
      <c r="A2" s="3232">
        <v>1</v>
      </c>
      <c r="B2" s="3232">
        <v>-2</v>
      </c>
      <c r="C2" s="3233" t="s">
        <v>3218</v>
      </c>
      <c r="D2" s="3231" t="s">
        <v>3179</v>
      </c>
      <c r="E2" s="3231" t="s">
        <v>3220</v>
      </c>
      <c r="F2" s="3232">
        <v>1389.34</v>
      </c>
      <c r="I2" s="3231" t="s">
        <v>3220</v>
      </c>
      <c r="J2" s="3232">
        <v>-2</v>
      </c>
      <c r="K2" s="3232">
        <f>F2</f>
        <v>1389.34</v>
      </c>
    </row>
    <row r="3" spans="1:14">
      <c r="A3" s="3232">
        <v>2</v>
      </c>
      <c r="B3" s="3233" t="s">
        <v>3182</v>
      </c>
      <c r="C3" s="3233" t="s">
        <v>3214</v>
      </c>
      <c r="D3" s="3231" t="s">
        <v>3184</v>
      </c>
      <c r="E3" s="3231" t="s">
        <v>3223</v>
      </c>
      <c r="F3" s="3232">
        <v>128.02000000000001</v>
      </c>
      <c r="J3" s="3232">
        <v>-1</v>
      </c>
      <c r="K3" s="3232">
        <f>F17</f>
        <v>353.11</v>
      </c>
    </row>
    <row r="4" spans="1:14">
      <c r="A4" s="3232">
        <v>3</v>
      </c>
      <c r="B4" s="3233" t="s">
        <v>3182</v>
      </c>
      <c r="C4" s="3233" t="s">
        <v>3215</v>
      </c>
      <c r="D4" s="3231" t="s">
        <v>3187</v>
      </c>
      <c r="E4" s="3231" t="s">
        <v>3223</v>
      </c>
      <c r="F4" s="3232">
        <v>204.64</v>
      </c>
      <c r="I4" s="3231" t="s">
        <v>3223</v>
      </c>
      <c r="J4" s="3233" t="s">
        <v>3182</v>
      </c>
      <c r="K4" s="3232">
        <f>SUM(F3:F15)</f>
        <v>2635.44</v>
      </c>
    </row>
    <row r="5" spans="1:14">
      <c r="A5" s="3232">
        <v>4</v>
      </c>
      <c r="B5" s="3233" t="s">
        <v>3182</v>
      </c>
      <c r="C5" s="3233" t="s">
        <v>3216</v>
      </c>
      <c r="D5" s="3231" t="s">
        <v>3189</v>
      </c>
      <c r="E5" s="3231" t="s">
        <v>3223</v>
      </c>
      <c r="F5" s="3232">
        <v>196.66</v>
      </c>
      <c r="I5" s="3231" t="s">
        <v>3211</v>
      </c>
      <c r="J5" s="3232">
        <v>-1</v>
      </c>
      <c r="K5" s="3232">
        <f>F16</f>
        <v>913.44</v>
      </c>
    </row>
    <row r="6" spans="1:14">
      <c r="A6" s="3232">
        <v>5</v>
      </c>
      <c r="B6" s="3233" t="s">
        <v>3182</v>
      </c>
      <c r="C6" s="3233" t="s">
        <v>3217</v>
      </c>
      <c r="D6" s="3231" t="s">
        <v>3191</v>
      </c>
      <c r="E6" s="3231" t="s">
        <v>3223</v>
      </c>
      <c r="F6" s="3232">
        <v>676.95</v>
      </c>
      <c r="K6" s="3232">
        <f>SUM(K2:K5)</f>
        <v>5291.33</v>
      </c>
    </row>
    <row r="7" spans="1:14">
      <c r="A7" s="3232">
        <v>6</v>
      </c>
      <c r="B7" s="3233" t="s">
        <v>3182</v>
      </c>
      <c r="C7" s="3233" t="s">
        <v>3224</v>
      </c>
      <c r="D7" s="3231" t="s">
        <v>3192</v>
      </c>
      <c r="E7" s="3231" t="s">
        <v>3223</v>
      </c>
      <c r="F7" s="3232">
        <v>188.2</v>
      </c>
    </row>
    <row r="8" spans="1:14">
      <c r="A8" s="3232">
        <v>7</v>
      </c>
      <c r="B8" s="3233" t="s">
        <v>3182</v>
      </c>
      <c r="C8" s="3233" t="s">
        <v>3225</v>
      </c>
      <c r="D8" s="3231" t="s">
        <v>3193</v>
      </c>
      <c r="E8" s="3231" t="s">
        <v>3223</v>
      </c>
      <c r="F8" s="3232">
        <v>193.78</v>
      </c>
    </row>
    <row r="9" spans="1:14">
      <c r="A9" s="3232">
        <v>8</v>
      </c>
      <c r="B9" s="3233" t="s">
        <v>3182</v>
      </c>
      <c r="C9" s="3233" t="s">
        <v>3226</v>
      </c>
      <c r="D9" s="3231" t="s">
        <v>3195</v>
      </c>
      <c r="E9" s="3231" t="s">
        <v>3223</v>
      </c>
      <c r="F9" s="3232">
        <v>113.83</v>
      </c>
    </row>
    <row r="10" spans="1:14">
      <c r="A10" s="3232">
        <v>9</v>
      </c>
      <c r="B10" s="3233" t="s">
        <v>3182</v>
      </c>
      <c r="C10" s="3233" t="s">
        <v>3227</v>
      </c>
      <c r="D10" s="3231" t="s">
        <v>3200</v>
      </c>
      <c r="E10" s="3231" t="s">
        <v>3223</v>
      </c>
      <c r="F10" s="3232">
        <v>147.19999999999999</v>
      </c>
    </row>
    <row r="11" spans="1:14">
      <c r="A11" s="3232">
        <v>10</v>
      </c>
      <c r="B11" s="3233" t="s">
        <v>3182</v>
      </c>
      <c r="C11" s="3233" t="s">
        <v>3228</v>
      </c>
      <c r="D11" s="3231" t="s">
        <v>3201</v>
      </c>
      <c r="E11" s="3231" t="s">
        <v>3223</v>
      </c>
      <c r="F11" s="3232">
        <v>165.28</v>
      </c>
    </row>
    <row r="12" spans="1:14">
      <c r="A12" s="3232">
        <v>11</v>
      </c>
      <c r="B12" s="3233" t="s">
        <v>3182</v>
      </c>
      <c r="C12" s="3233" t="s">
        <v>3229</v>
      </c>
      <c r="D12" s="3231" t="s">
        <v>3202</v>
      </c>
      <c r="E12" s="3231" t="s">
        <v>3223</v>
      </c>
      <c r="F12" s="3232">
        <v>169.42</v>
      </c>
      <c r="J12" s="3231" t="s">
        <v>3211</v>
      </c>
      <c r="K12" s="3233" t="s">
        <v>3183</v>
      </c>
      <c r="L12" s="3232">
        <f>'3号楼'!K5</f>
        <v>913.44</v>
      </c>
    </row>
    <row r="13" spans="1:14">
      <c r="A13" s="3232">
        <v>12</v>
      </c>
      <c r="B13" s="3233" t="s">
        <v>3182</v>
      </c>
      <c r="C13" s="3233" t="s">
        <v>3230</v>
      </c>
      <c r="D13" s="3231" t="s">
        <v>3203</v>
      </c>
      <c r="E13" s="3231" t="s">
        <v>3223</v>
      </c>
      <c r="F13" s="3232">
        <v>147.99</v>
      </c>
      <c r="J13" s="3231" t="s">
        <v>3223</v>
      </c>
      <c r="K13" s="3234">
        <v>1</v>
      </c>
      <c r="L13" s="3232">
        <f>'2号楼'!K3</f>
        <v>2881.9600000000037</v>
      </c>
    </row>
    <row r="14" spans="1:14">
      <c r="A14" s="3232">
        <v>13</v>
      </c>
      <c r="B14" s="3233" t="s">
        <v>3182</v>
      </c>
      <c r="C14" s="3233" t="s">
        <v>3231</v>
      </c>
      <c r="D14" s="3231" t="s">
        <v>3205</v>
      </c>
      <c r="E14" s="3231" t="s">
        <v>3223</v>
      </c>
      <c r="F14" s="3232">
        <v>148.62</v>
      </c>
      <c r="K14" s="3233" t="s">
        <v>3182</v>
      </c>
      <c r="L14" s="3232">
        <f>'2号楼'!K4+'3号楼'!K4</f>
        <v>7182.25</v>
      </c>
    </row>
    <row r="15" spans="1:14">
      <c r="A15" s="3232">
        <v>14</v>
      </c>
      <c r="B15" s="3233" t="s">
        <v>3182</v>
      </c>
      <c r="C15" s="3233" t="s">
        <v>3232</v>
      </c>
      <c r="D15" s="3231" t="s">
        <v>3207</v>
      </c>
      <c r="E15" s="3231" t="s">
        <v>3223</v>
      </c>
      <c r="F15" s="3232">
        <v>154.85</v>
      </c>
      <c r="K15" s="3232">
        <v>-1</v>
      </c>
      <c r="L15" s="3232">
        <f>'2号楼'!K5</f>
        <v>3840.45</v>
      </c>
    </row>
    <row r="16" spans="1:14">
      <c r="A16" s="3232">
        <v>15</v>
      </c>
      <c r="B16" s="3233" t="s">
        <v>3183</v>
      </c>
      <c r="C16" s="3233" t="s">
        <v>3213</v>
      </c>
      <c r="D16" s="3231" t="s">
        <v>3207</v>
      </c>
      <c r="E16" s="3231" t="s">
        <v>3211</v>
      </c>
      <c r="F16" s="3232">
        <v>913.44</v>
      </c>
      <c r="G16" s="3235">
        <v>63764</v>
      </c>
      <c r="L16" s="3232">
        <f>L12+L13+L14+L15</f>
        <v>14818.100000000002</v>
      </c>
      <c r="M16" s="3232">
        <v>38000</v>
      </c>
      <c r="N16" s="3232">
        <f>L16*M16/10000</f>
        <v>56308.780000000013</v>
      </c>
    </row>
    <row r="17" spans="1:14">
      <c r="A17" s="3232">
        <v>16</v>
      </c>
      <c r="B17" s="3234">
        <v>-1</v>
      </c>
      <c r="C17" s="3233" t="s">
        <v>3212</v>
      </c>
      <c r="D17" s="3231" t="s">
        <v>3179</v>
      </c>
      <c r="E17" s="3231" t="s">
        <v>3220</v>
      </c>
      <c r="F17" s="3232">
        <v>353.11</v>
      </c>
      <c r="J17" s="3231" t="s">
        <v>3220</v>
      </c>
      <c r="K17" s="3232">
        <v>-1</v>
      </c>
      <c r="L17" s="3232">
        <f>'3号楼'!K3</f>
        <v>353.11</v>
      </c>
    </row>
    <row r="18" spans="1:14">
      <c r="A18" s="3231" t="s">
        <v>4444</v>
      </c>
      <c r="F18" s="3232">
        <f>SUM(F2:F17)</f>
        <v>5291.33</v>
      </c>
      <c r="K18" s="3234">
        <v>-2</v>
      </c>
      <c r="L18" s="3234">
        <f>'1号楼'!M2+'2号楼'!K2+'3号楼'!K2+'7号楼'!K2</f>
        <v>26091.710000000079</v>
      </c>
    </row>
    <row r="19" spans="1:14">
      <c r="K19" s="3234">
        <v>-3</v>
      </c>
      <c r="L19" s="3234">
        <f>'1号楼'!M3+'7号楼'!K3</f>
        <v>10435.619999999981</v>
      </c>
    </row>
    <row r="20" spans="1:14">
      <c r="K20" s="3234"/>
      <c r="L20" s="3234">
        <f>L17+L18+L19</f>
        <v>36880.440000000061</v>
      </c>
      <c r="M20" s="3232">
        <v>4500</v>
      </c>
      <c r="N20" s="3234">
        <f>L20*M20/10000</f>
        <v>16596.198000000026</v>
      </c>
    </row>
    <row r="21" spans="1:14">
      <c r="K21" s="3234"/>
    </row>
    <row r="22" spans="1:14">
      <c r="K22" s="3234"/>
      <c r="L22" s="3234"/>
      <c r="N22" s="3234">
        <f>N16+N20</f>
        <v>72904.978000000032</v>
      </c>
    </row>
    <row r="23" spans="1:14">
      <c r="K23" s="3234"/>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tabColor rgb="FFFFFF00"/>
  </sheetPr>
  <dimension ref="A1:K779"/>
  <sheetViews>
    <sheetView workbookViewId="0">
      <selection activeCell="I15" sqref="I15"/>
    </sheetView>
  </sheetViews>
  <sheetFormatPr defaultColWidth="8.875" defaultRowHeight="14.25"/>
  <sheetData>
    <row r="1" spans="1:11">
      <c r="A1" s="3231" t="s">
        <v>3174</v>
      </c>
      <c r="B1" s="3231" t="s">
        <v>3181</v>
      </c>
      <c r="C1" s="3231" t="s">
        <v>3221</v>
      </c>
      <c r="D1" s="3231" t="s">
        <v>3176</v>
      </c>
      <c r="E1" s="3231" t="s">
        <v>3208</v>
      </c>
      <c r="F1" s="3231" t="s">
        <v>3209</v>
      </c>
      <c r="I1" s="3231" t="s">
        <v>3177</v>
      </c>
      <c r="J1" s="3231" t="s">
        <v>4445</v>
      </c>
      <c r="K1" s="3231" t="s">
        <v>4446</v>
      </c>
    </row>
    <row r="2" spans="1:11">
      <c r="A2">
        <v>1</v>
      </c>
      <c r="B2" t="s">
        <v>3660</v>
      </c>
      <c r="C2" s="3230" t="s">
        <v>4443</v>
      </c>
      <c r="D2" t="s">
        <v>3665</v>
      </c>
      <c r="E2" t="s">
        <v>3219</v>
      </c>
      <c r="F2">
        <v>29.09</v>
      </c>
      <c r="I2" s="3230" t="s">
        <v>3220</v>
      </c>
      <c r="J2">
        <v>-2</v>
      </c>
      <c r="K2">
        <f>SUM(F2:F653)</f>
        <v>18926.620000000086</v>
      </c>
    </row>
    <row r="3" spans="1:11">
      <c r="A3">
        <v>2</v>
      </c>
      <c r="B3" t="s">
        <v>3660</v>
      </c>
      <c r="D3" t="s">
        <v>3666</v>
      </c>
      <c r="E3" t="s">
        <v>3219</v>
      </c>
      <c r="F3">
        <v>29.09</v>
      </c>
      <c r="J3">
        <v>-3</v>
      </c>
      <c r="K3">
        <f>SUM(F654:F778)</f>
        <v>3636.2500000000055</v>
      </c>
    </row>
    <row r="4" spans="1:11">
      <c r="A4">
        <v>3</v>
      </c>
      <c r="B4" t="s">
        <v>3660</v>
      </c>
      <c r="D4" t="s">
        <v>3667</v>
      </c>
      <c r="E4" t="s">
        <v>3219</v>
      </c>
      <c r="F4">
        <v>29.09</v>
      </c>
      <c r="K4">
        <f>K2+K3</f>
        <v>22562.87000000009</v>
      </c>
    </row>
    <row r="5" spans="1:11">
      <c r="A5">
        <v>4</v>
      </c>
      <c r="B5" t="s">
        <v>3660</v>
      </c>
      <c r="D5" t="s">
        <v>3668</v>
      </c>
      <c r="E5" t="s">
        <v>3219</v>
      </c>
      <c r="F5">
        <v>29.09</v>
      </c>
    </row>
    <row r="6" spans="1:11">
      <c r="A6">
        <v>5</v>
      </c>
      <c r="B6" t="s">
        <v>3660</v>
      </c>
      <c r="D6" t="s">
        <v>3669</v>
      </c>
      <c r="E6" t="s">
        <v>3219</v>
      </c>
      <c r="F6">
        <v>29.09</v>
      </c>
    </row>
    <row r="7" spans="1:11">
      <c r="A7">
        <v>6</v>
      </c>
      <c r="B7" t="s">
        <v>3660</v>
      </c>
      <c r="D7" t="s">
        <v>3670</v>
      </c>
      <c r="E7" t="s">
        <v>3219</v>
      </c>
      <c r="F7">
        <v>29.09</v>
      </c>
    </row>
    <row r="8" spans="1:11">
      <c r="A8">
        <v>7</v>
      </c>
      <c r="B8" t="s">
        <v>3660</v>
      </c>
      <c r="D8" t="s">
        <v>3671</v>
      </c>
      <c r="E8" t="s">
        <v>3219</v>
      </c>
      <c r="F8">
        <v>29.09</v>
      </c>
    </row>
    <row r="9" spans="1:11">
      <c r="A9">
        <v>8</v>
      </c>
      <c r="B9" t="s">
        <v>3660</v>
      </c>
      <c r="D9" t="s">
        <v>3672</v>
      </c>
      <c r="E9" t="s">
        <v>3219</v>
      </c>
      <c r="F9">
        <v>29.09</v>
      </c>
    </row>
    <row r="10" spans="1:11">
      <c r="A10">
        <v>9</v>
      </c>
      <c r="B10" t="s">
        <v>3660</v>
      </c>
      <c r="D10" t="s">
        <v>3673</v>
      </c>
      <c r="E10" t="s">
        <v>3219</v>
      </c>
      <c r="F10">
        <v>29.09</v>
      </c>
    </row>
    <row r="11" spans="1:11">
      <c r="A11">
        <v>10</v>
      </c>
      <c r="B11" t="s">
        <v>3660</v>
      </c>
      <c r="D11" t="s">
        <v>3674</v>
      </c>
      <c r="E11" t="s">
        <v>3219</v>
      </c>
      <c r="F11">
        <v>29.09</v>
      </c>
    </row>
    <row r="12" spans="1:11">
      <c r="A12">
        <v>11</v>
      </c>
      <c r="B12" t="s">
        <v>3660</v>
      </c>
      <c r="D12" t="s">
        <v>3675</v>
      </c>
      <c r="E12" t="s">
        <v>3219</v>
      </c>
      <c r="F12">
        <v>29.09</v>
      </c>
    </row>
    <row r="13" spans="1:11">
      <c r="A13">
        <v>12</v>
      </c>
      <c r="B13" t="s">
        <v>3660</v>
      </c>
      <c r="D13" t="s">
        <v>3676</v>
      </c>
      <c r="E13" t="s">
        <v>3219</v>
      </c>
      <c r="F13">
        <v>29.09</v>
      </c>
    </row>
    <row r="14" spans="1:11">
      <c r="A14">
        <v>13</v>
      </c>
      <c r="B14" t="s">
        <v>3660</v>
      </c>
      <c r="D14" t="s">
        <v>3677</v>
      </c>
      <c r="E14" t="s">
        <v>3219</v>
      </c>
      <c r="F14">
        <v>29.09</v>
      </c>
    </row>
    <row r="15" spans="1:11">
      <c r="A15">
        <v>14</v>
      </c>
      <c r="B15" t="s">
        <v>3660</v>
      </c>
      <c r="D15" t="s">
        <v>3678</v>
      </c>
      <c r="E15" t="s">
        <v>3219</v>
      </c>
      <c r="F15">
        <v>29.09</v>
      </c>
    </row>
    <row r="16" spans="1:11">
      <c r="A16">
        <v>15</v>
      </c>
      <c r="B16" t="s">
        <v>3660</v>
      </c>
      <c r="D16" t="s">
        <v>3679</v>
      </c>
      <c r="E16" t="s">
        <v>3219</v>
      </c>
      <c r="F16">
        <v>29.09</v>
      </c>
    </row>
    <row r="17" spans="1:6">
      <c r="A17">
        <v>16</v>
      </c>
      <c r="B17" t="s">
        <v>3660</v>
      </c>
      <c r="D17" t="s">
        <v>3680</v>
      </c>
      <c r="E17" t="s">
        <v>3219</v>
      </c>
      <c r="F17">
        <v>29.09</v>
      </c>
    </row>
    <row r="18" spans="1:6">
      <c r="A18">
        <v>17</v>
      </c>
      <c r="B18" t="s">
        <v>3660</v>
      </c>
      <c r="D18" t="s">
        <v>3681</v>
      </c>
      <c r="E18" t="s">
        <v>3219</v>
      </c>
      <c r="F18">
        <v>29.09</v>
      </c>
    </row>
    <row r="19" spans="1:6">
      <c r="A19">
        <v>18</v>
      </c>
      <c r="B19" t="s">
        <v>3660</v>
      </c>
      <c r="D19" t="s">
        <v>3682</v>
      </c>
      <c r="E19" t="s">
        <v>3219</v>
      </c>
      <c r="F19">
        <v>29.09</v>
      </c>
    </row>
    <row r="20" spans="1:6">
      <c r="A20">
        <v>19</v>
      </c>
      <c r="B20" t="s">
        <v>3660</v>
      </c>
      <c r="D20" t="s">
        <v>3683</v>
      </c>
      <c r="E20" t="s">
        <v>3219</v>
      </c>
      <c r="F20">
        <v>29.09</v>
      </c>
    </row>
    <row r="21" spans="1:6">
      <c r="A21">
        <v>20</v>
      </c>
      <c r="B21" t="s">
        <v>3660</v>
      </c>
      <c r="D21" t="s">
        <v>3684</v>
      </c>
      <c r="E21" t="s">
        <v>3219</v>
      </c>
      <c r="F21">
        <v>29.09</v>
      </c>
    </row>
    <row r="22" spans="1:6">
      <c r="A22">
        <v>21</v>
      </c>
      <c r="B22" t="s">
        <v>3660</v>
      </c>
      <c r="D22" t="s">
        <v>3685</v>
      </c>
      <c r="E22" t="s">
        <v>3219</v>
      </c>
      <c r="F22">
        <v>29.09</v>
      </c>
    </row>
    <row r="23" spans="1:6">
      <c r="A23">
        <v>22</v>
      </c>
      <c r="B23" t="s">
        <v>3660</v>
      </c>
      <c r="D23" t="s">
        <v>3686</v>
      </c>
      <c r="E23" t="s">
        <v>3219</v>
      </c>
      <c r="F23">
        <v>29.09</v>
      </c>
    </row>
    <row r="24" spans="1:6">
      <c r="A24">
        <v>23</v>
      </c>
      <c r="B24" t="s">
        <v>3660</v>
      </c>
      <c r="D24" t="s">
        <v>3687</v>
      </c>
      <c r="E24" t="s">
        <v>3219</v>
      </c>
      <c r="F24">
        <v>29.09</v>
      </c>
    </row>
    <row r="25" spans="1:6">
      <c r="A25">
        <v>24</v>
      </c>
      <c r="B25" t="s">
        <v>3660</v>
      </c>
      <c r="D25" t="s">
        <v>3688</v>
      </c>
      <c r="E25" t="s">
        <v>3219</v>
      </c>
      <c r="F25">
        <v>29.09</v>
      </c>
    </row>
    <row r="26" spans="1:6">
      <c r="A26">
        <v>25</v>
      </c>
      <c r="B26" t="s">
        <v>3660</v>
      </c>
      <c r="D26" t="s">
        <v>3689</v>
      </c>
      <c r="E26" t="s">
        <v>3219</v>
      </c>
      <c r="F26">
        <v>29.09</v>
      </c>
    </row>
    <row r="27" spans="1:6">
      <c r="A27">
        <v>26</v>
      </c>
      <c r="B27" t="s">
        <v>3660</v>
      </c>
      <c r="D27" t="s">
        <v>3690</v>
      </c>
      <c r="E27" t="s">
        <v>3219</v>
      </c>
      <c r="F27">
        <v>29.09</v>
      </c>
    </row>
    <row r="28" spans="1:6">
      <c r="A28">
        <v>27</v>
      </c>
      <c r="B28" t="s">
        <v>3660</v>
      </c>
      <c r="D28" t="s">
        <v>3691</v>
      </c>
      <c r="E28" t="s">
        <v>3219</v>
      </c>
      <c r="F28">
        <v>29.09</v>
      </c>
    </row>
    <row r="29" spans="1:6">
      <c r="A29">
        <v>28</v>
      </c>
      <c r="B29" t="s">
        <v>3660</v>
      </c>
      <c r="D29" t="s">
        <v>3692</v>
      </c>
      <c r="E29" t="s">
        <v>3219</v>
      </c>
      <c r="F29">
        <v>29.09</v>
      </c>
    </row>
    <row r="30" spans="1:6">
      <c r="A30">
        <v>29</v>
      </c>
      <c r="B30" t="s">
        <v>3660</v>
      </c>
      <c r="D30" t="s">
        <v>3693</v>
      </c>
      <c r="E30" t="s">
        <v>3219</v>
      </c>
      <c r="F30">
        <v>29.09</v>
      </c>
    </row>
    <row r="31" spans="1:6">
      <c r="A31">
        <v>30</v>
      </c>
      <c r="B31" t="s">
        <v>3660</v>
      </c>
      <c r="D31" t="s">
        <v>3694</v>
      </c>
      <c r="E31" t="s">
        <v>3219</v>
      </c>
      <c r="F31">
        <v>29.09</v>
      </c>
    </row>
    <row r="32" spans="1:6">
      <c r="A32">
        <v>31</v>
      </c>
      <c r="B32" t="s">
        <v>3660</v>
      </c>
      <c r="D32" t="s">
        <v>3695</v>
      </c>
      <c r="E32" t="s">
        <v>3219</v>
      </c>
      <c r="F32">
        <v>29.09</v>
      </c>
    </row>
    <row r="33" spans="1:6">
      <c r="A33">
        <v>32</v>
      </c>
      <c r="B33" t="s">
        <v>3660</v>
      </c>
      <c r="D33" t="s">
        <v>3696</v>
      </c>
      <c r="E33" t="s">
        <v>3219</v>
      </c>
      <c r="F33">
        <v>29.09</v>
      </c>
    </row>
    <row r="34" spans="1:6">
      <c r="A34">
        <v>33</v>
      </c>
      <c r="B34" t="s">
        <v>3660</v>
      </c>
      <c r="D34" t="s">
        <v>3697</v>
      </c>
      <c r="E34" t="s">
        <v>3219</v>
      </c>
      <c r="F34">
        <v>29.09</v>
      </c>
    </row>
    <row r="35" spans="1:6">
      <c r="A35">
        <v>34</v>
      </c>
      <c r="B35" t="s">
        <v>3660</v>
      </c>
      <c r="D35" t="s">
        <v>3698</v>
      </c>
      <c r="E35" t="s">
        <v>3219</v>
      </c>
      <c r="F35">
        <v>29.09</v>
      </c>
    </row>
    <row r="36" spans="1:6">
      <c r="A36">
        <v>35</v>
      </c>
      <c r="B36" t="s">
        <v>3660</v>
      </c>
      <c r="D36" t="s">
        <v>3699</v>
      </c>
      <c r="E36" t="s">
        <v>3219</v>
      </c>
      <c r="F36">
        <v>29.09</v>
      </c>
    </row>
    <row r="37" spans="1:6">
      <c r="A37">
        <v>36</v>
      </c>
      <c r="B37" t="s">
        <v>3660</v>
      </c>
      <c r="D37" t="s">
        <v>3700</v>
      </c>
      <c r="E37" t="s">
        <v>3219</v>
      </c>
      <c r="F37">
        <v>29.09</v>
      </c>
    </row>
    <row r="38" spans="1:6">
      <c r="A38">
        <v>37</v>
      </c>
      <c r="B38" t="s">
        <v>3660</v>
      </c>
      <c r="D38" t="s">
        <v>3701</v>
      </c>
      <c r="E38" t="s">
        <v>3219</v>
      </c>
      <c r="F38">
        <v>29.09</v>
      </c>
    </row>
    <row r="39" spans="1:6">
      <c r="A39">
        <v>38</v>
      </c>
      <c r="B39" t="s">
        <v>3660</v>
      </c>
      <c r="D39" t="s">
        <v>3702</v>
      </c>
      <c r="E39" t="s">
        <v>3219</v>
      </c>
      <c r="F39">
        <v>29.09</v>
      </c>
    </row>
    <row r="40" spans="1:6">
      <c r="A40">
        <v>39</v>
      </c>
      <c r="B40" t="s">
        <v>3660</v>
      </c>
      <c r="D40" t="s">
        <v>3703</v>
      </c>
      <c r="E40" t="s">
        <v>3219</v>
      </c>
      <c r="F40">
        <v>29.09</v>
      </c>
    </row>
    <row r="41" spans="1:6">
      <c r="A41">
        <v>40</v>
      </c>
      <c r="B41" t="s">
        <v>3660</v>
      </c>
      <c r="D41" t="s">
        <v>3704</v>
      </c>
      <c r="E41" t="s">
        <v>3219</v>
      </c>
      <c r="F41">
        <v>29.09</v>
      </c>
    </row>
    <row r="42" spans="1:6">
      <c r="A42">
        <v>41</v>
      </c>
      <c r="B42" t="s">
        <v>3660</v>
      </c>
      <c r="D42" t="s">
        <v>3705</v>
      </c>
      <c r="E42" t="s">
        <v>3219</v>
      </c>
      <c r="F42">
        <v>29.09</v>
      </c>
    </row>
    <row r="43" spans="1:6">
      <c r="A43">
        <v>42</v>
      </c>
      <c r="B43" t="s">
        <v>3660</v>
      </c>
      <c r="D43" t="s">
        <v>3706</v>
      </c>
      <c r="E43" t="s">
        <v>3219</v>
      </c>
      <c r="F43">
        <v>29.09</v>
      </c>
    </row>
    <row r="44" spans="1:6">
      <c r="A44">
        <v>43</v>
      </c>
      <c r="B44" t="s">
        <v>3660</v>
      </c>
      <c r="D44" t="s">
        <v>3707</v>
      </c>
      <c r="E44" t="s">
        <v>3219</v>
      </c>
      <c r="F44">
        <v>29.09</v>
      </c>
    </row>
    <row r="45" spans="1:6">
      <c r="A45">
        <v>44</v>
      </c>
      <c r="B45" t="s">
        <v>3660</v>
      </c>
      <c r="D45" t="s">
        <v>3708</v>
      </c>
      <c r="E45" t="s">
        <v>3219</v>
      </c>
      <c r="F45">
        <v>29.09</v>
      </c>
    </row>
    <row r="46" spans="1:6">
      <c r="A46">
        <v>45</v>
      </c>
      <c r="B46" t="s">
        <v>3660</v>
      </c>
      <c r="D46" t="s">
        <v>3709</v>
      </c>
      <c r="E46" t="s">
        <v>3219</v>
      </c>
      <c r="F46">
        <v>29.09</v>
      </c>
    </row>
    <row r="47" spans="1:6">
      <c r="A47">
        <v>46</v>
      </c>
      <c r="B47" t="s">
        <v>3660</v>
      </c>
      <c r="D47" t="s">
        <v>3710</v>
      </c>
      <c r="E47" t="s">
        <v>3219</v>
      </c>
      <c r="F47">
        <v>29.09</v>
      </c>
    </row>
    <row r="48" spans="1:6">
      <c r="A48">
        <v>47</v>
      </c>
      <c r="B48" t="s">
        <v>3660</v>
      </c>
      <c r="D48" t="s">
        <v>3711</v>
      </c>
      <c r="E48" t="s">
        <v>3219</v>
      </c>
      <c r="F48">
        <v>29.09</v>
      </c>
    </row>
    <row r="49" spans="1:6">
      <c r="A49">
        <v>48</v>
      </c>
      <c r="B49" t="s">
        <v>3660</v>
      </c>
      <c r="D49" t="s">
        <v>3712</v>
      </c>
      <c r="E49" t="s">
        <v>3219</v>
      </c>
      <c r="F49">
        <v>29.09</v>
      </c>
    </row>
    <row r="50" spans="1:6">
      <c r="A50">
        <v>49</v>
      </c>
      <c r="B50" t="s">
        <v>3660</v>
      </c>
      <c r="D50" t="s">
        <v>3713</v>
      </c>
      <c r="E50" t="s">
        <v>3219</v>
      </c>
      <c r="F50">
        <v>29.09</v>
      </c>
    </row>
    <row r="51" spans="1:6">
      <c r="A51">
        <v>50</v>
      </c>
      <c r="B51" t="s">
        <v>3660</v>
      </c>
      <c r="D51" t="s">
        <v>3714</v>
      </c>
      <c r="E51" t="s">
        <v>3219</v>
      </c>
      <c r="F51">
        <v>29.09</v>
      </c>
    </row>
    <row r="52" spans="1:6">
      <c r="A52">
        <v>51</v>
      </c>
      <c r="B52" t="s">
        <v>3660</v>
      </c>
      <c r="D52" t="s">
        <v>3715</v>
      </c>
      <c r="E52" t="s">
        <v>3219</v>
      </c>
      <c r="F52">
        <v>29.09</v>
      </c>
    </row>
    <row r="53" spans="1:6">
      <c r="A53">
        <v>52</v>
      </c>
      <c r="B53" t="s">
        <v>3660</v>
      </c>
      <c r="D53" t="s">
        <v>3716</v>
      </c>
      <c r="E53" t="s">
        <v>3219</v>
      </c>
      <c r="F53">
        <v>29.09</v>
      </c>
    </row>
    <row r="54" spans="1:6">
      <c r="A54">
        <v>53</v>
      </c>
      <c r="B54" t="s">
        <v>3660</v>
      </c>
      <c r="D54" t="s">
        <v>3717</v>
      </c>
      <c r="E54" t="s">
        <v>3219</v>
      </c>
      <c r="F54">
        <v>29.09</v>
      </c>
    </row>
    <row r="55" spans="1:6">
      <c r="A55">
        <v>54</v>
      </c>
      <c r="B55" t="s">
        <v>3660</v>
      </c>
      <c r="D55" t="s">
        <v>3718</v>
      </c>
      <c r="E55" t="s">
        <v>3219</v>
      </c>
      <c r="F55">
        <v>29.09</v>
      </c>
    </row>
    <row r="56" spans="1:6">
      <c r="A56">
        <v>55</v>
      </c>
      <c r="B56" t="s">
        <v>3660</v>
      </c>
      <c r="D56" t="s">
        <v>3719</v>
      </c>
      <c r="E56" t="s">
        <v>3219</v>
      </c>
      <c r="F56">
        <v>29.09</v>
      </c>
    </row>
    <row r="57" spans="1:6">
      <c r="A57">
        <v>56</v>
      </c>
      <c r="B57" t="s">
        <v>3660</v>
      </c>
      <c r="D57" t="s">
        <v>3720</v>
      </c>
      <c r="E57" t="s">
        <v>3219</v>
      </c>
      <c r="F57">
        <v>29.09</v>
      </c>
    </row>
    <row r="58" spans="1:6">
      <c r="A58">
        <v>57</v>
      </c>
      <c r="B58" t="s">
        <v>3660</v>
      </c>
      <c r="D58" t="s">
        <v>3721</v>
      </c>
      <c r="E58" t="s">
        <v>3219</v>
      </c>
      <c r="F58">
        <v>29.09</v>
      </c>
    </row>
    <row r="59" spans="1:6">
      <c r="A59">
        <v>58</v>
      </c>
      <c r="B59" t="s">
        <v>3660</v>
      </c>
      <c r="D59" t="s">
        <v>3722</v>
      </c>
      <c r="E59" t="s">
        <v>3219</v>
      </c>
      <c r="F59">
        <v>29.09</v>
      </c>
    </row>
    <row r="60" spans="1:6">
      <c r="A60">
        <v>59</v>
      </c>
      <c r="B60" t="s">
        <v>3660</v>
      </c>
      <c r="D60" t="s">
        <v>3723</v>
      </c>
      <c r="E60" t="s">
        <v>3219</v>
      </c>
      <c r="F60">
        <v>29.09</v>
      </c>
    </row>
    <row r="61" spans="1:6">
      <c r="A61">
        <v>60</v>
      </c>
      <c r="B61" t="s">
        <v>3660</v>
      </c>
      <c r="D61" t="s">
        <v>3724</v>
      </c>
      <c r="E61" t="s">
        <v>3219</v>
      </c>
      <c r="F61">
        <v>29.09</v>
      </c>
    </row>
    <row r="62" spans="1:6">
      <c r="A62">
        <v>61</v>
      </c>
      <c r="B62" t="s">
        <v>3660</v>
      </c>
      <c r="D62" t="s">
        <v>3725</v>
      </c>
      <c r="E62" t="s">
        <v>3219</v>
      </c>
      <c r="F62">
        <v>29.09</v>
      </c>
    </row>
    <row r="63" spans="1:6">
      <c r="A63">
        <v>62</v>
      </c>
      <c r="B63" t="s">
        <v>3660</v>
      </c>
      <c r="D63" t="s">
        <v>3726</v>
      </c>
      <c r="E63" t="s">
        <v>3219</v>
      </c>
      <c r="F63">
        <v>29.09</v>
      </c>
    </row>
    <row r="64" spans="1:6">
      <c r="A64">
        <v>63</v>
      </c>
      <c r="B64" t="s">
        <v>3660</v>
      </c>
      <c r="D64" t="s">
        <v>3727</v>
      </c>
      <c r="E64" t="s">
        <v>3219</v>
      </c>
      <c r="F64">
        <v>29.09</v>
      </c>
    </row>
    <row r="65" spans="1:6">
      <c r="A65">
        <v>64</v>
      </c>
      <c r="B65" t="s">
        <v>3660</v>
      </c>
      <c r="D65" t="s">
        <v>3728</v>
      </c>
      <c r="E65" t="s">
        <v>3219</v>
      </c>
      <c r="F65">
        <v>29.09</v>
      </c>
    </row>
    <row r="66" spans="1:6">
      <c r="A66">
        <v>65</v>
      </c>
      <c r="B66" t="s">
        <v>3660</v>
      </c>
      <c r="D66" t="s">
        <v>3729</v>
      </c>
      <c r="E66" t="s">
        <v>3219</v>
      </c>
      <c r="F66">
        <v>29.09</v>
      </c>
    </row>
    <row r="67" spans="1:6">
      <c r="A67">
        <v>66</v>
      </c>
      <c r="B67" t="s">
        <v>3660</v>
      </c>
      <c r="D67" t="s">
        <v>3730</v>
      </c>
      <c r="E67" t="s">
        <v>3219</v>
      </c>
      <c r="F67">
        <v>29.09</v>
      </c>
    </row>
    <row r="68" spans="1:6">
      <c r="A68">
        <v>67</v>
      </c>
      <c r="B68" t="s">
        <v>3660</v>
      </c>
      <c r="D68" t="s">
        <v>3731</v>
      </c>
      <c r="E68" t="s">
        <v>3219</v>
      </c>
      <c r="F68">
        <v>29.09</v>
      </c>
    </row>
    <row r="69" spans="1:6">
      <c r="A69">
        <v>68</v>
      </c>
      <c r="B69" t="s">
        <v>3660</v>
      </c>
      <c r="D69" t="s">
        <v>3732</v>
      </c>
      <c r="E69" t="s">
        <v>3219</v>
      </c>
      <c r="F69">
        <v>29.09</v>
      </c>
    </row>
    <row r="70" spans="1:6">
      <c r="A70">
        <v>69</v>
      </c>
      <c r="B70" t="s">
        <v>3660</v>
      </c>
      <c r="D70" t="s">
        <v>3733</v>
      </c>
      <c r="E70" t="s">
        <v>3219</v>
      </c>
      <c r="F70">
        <v>29.09</v>
      </c>
    </row>
    <row r="71" spans="1:6">
      <c r="A71">
        <v>70</v>
      </c>
      <c r="B71" t="s">
        <v>3660</v>
      </c>
      <c r="D71" t="s">
        <v>3734</v>
      </c>
      <c r="E71" t="s">
        <v>3219</v>
      </c>
      <c r="F71">
        <v>29.09</v>
      </c>
    </row>
    <row r="72" spans="1:6">
      <c r="A72">
        <v>71</v>
      </c>
      <c r="B72" t="s">
        <v>3660</v>
      </c>
      <c r="D72" t="s">
        <v>3735</v>
      </c>
      <c r="E72" t="s">
        <v>3219</v>
      </c>
      <c r="F72">
        <v>29.09</v>
      </c>
    </row>
    <row r="73" spans="1:6">
      <c r="A73">
        <v>72</v>
      </c>
      <c r="B73" t="s">
        <v>3660</v>
      </c>
      <c r="D73" t="s">
        <v>3736</v>
      </c>
      <c r="E73" t="s">
        <v>3219</v>
      </c>
      <c r="F73">
        <v>29.09</v>
      </c>
    </row>
    <row r="74" spans="1:6">
      <c r="A74">
        <v>73</v>
      </c>
      <c r="B74" t="s">
        <v>3660</v>
      </c>
      <c r="D74" t="s">
        <v>3737</v>
      </c>
      <c r="E74" t="s">
        <v>3219</v>
      </c>
      <c r="F74">
        <v>29.09</v>
      </c>
    </row>
    <row r="75" spans="1:6">
      <c r="A75">
        <v>74</v>
      </c>
      <c r="B75" t="s">
        <v>3660</v>
      </c>
      <c r="D75" t="s">
        <v>3738</v>
      </c>
      <c r="E75" t="s">
        <v>3219</v>
      </c>
      <c r="F75">
        <v>29.09</v>
      </c>
    </row>
    <row r="76" spans="1:6">
      <c r="A76">
        <v>75</v>
      </c>
      <c r="B76" t="s">
        <v>3660</v>
      </c>
      <c r="D76" t="s">
        <v>3739</v>
      </c>
      <c r="E76" t="s">
        <v>3219</v>
      </c>
      <c r="F76">
        <v>29.09</v>
      </c>
    </row>
    <row r="77" spans="1:6">
      <c r="A77">
        <v>76</v>
      </c>
      <c r="B77" t="s">
        <v>3660</v>
      </c>
      <c r="D77" t="s">
        <v>3740</v>
      </c>
      <c r="E77" t="s">
        <v>3219</v>
      </c>
      <c r="F77">
        <v>29.09</v>
      </c>
    </row>
    <row r="78" spans="1:6">
      <c r="A78">
        <v>77</v>
      </c>
      <c r="B78" t="s">
        <v>3660</v>
      </c>
      <c r="D78" t="s">
        <v>3741</v>
      </c>
      <c r="E78" t="s">
        <v>3219</v>
      </c>
      <c r="F78">
        <v>29.09</v>
      </c>
    </row>
    <row r="79" spans="1:6">
      <c r="A79">
        <v>78</v>
      </c>
      <c r="B79" t="s">
        <v>3660</v>
      </c>
      <c r="D79" t="s">
        <v>3742</v>
      </c>
      <c r="E79" t="s">
        <v>3219</v>
      </c>
      <c r="F79">
        <v>29.09</v>
      </c>
    </row>
    <row r="80" spans="1:6">
      <c r="A80">
        <v>79</v>
      </c>
      <c r="B80" t="s">
        <v>3660</v>
      </c>
      <c r="D80" t="s">
        <v>3743</v>
      </c>
      <c r="E80" t="s">
        <v>3219</v>
      </c>
      <c r="F80">
        <v>29.09</v>
      </c>
    </row>
    <row r="81" spans="1:6">
      <c r="A81">
        <v>80</v>
      </c>
      <c r="B81" t="s">
        <v>3660</v>
      </c>
      <c r="D81" t="s">
        <v>3744</v>
      </c>
      <c r="E81" t="s">
        <v>3219</v>
      </c>
      <c r="F81">
        <v>29.09</v>
      </c>
    </row>
    <row r="82" spans="1:6">
      <c r="A82">
        <v>81</v>
      </c>
      <c r="B82" t="s">
        <v>3660</v>
      </c>
      <c r="D82" t="s">
        <v>3745</v>
      </c>
      <c r="E82" t="s">
        <v>3219</v>
      </c>
      <c r="F82">
        <v>29.09</v>
      </c>
    </row>
    <row r="83" spans="1:6">
      <c r="A83">
        <v>82</v>
      </c>
      <c r="B83" t="s">
        <v>3660</v>
      </c>
      <c r="D83" t="s">
        <v>3746</v>
      </c>
      <c r="E83" t="s">
        <v>3219</v>
      </c>
      <c r="F83">
        <v>29.09</v>
      </c>
    </row>
    <row r="84" spans="1:6">
      <c r="A84">
        <v>83</v>
      </c>
      <c r="B84" t="s">
        <v>3660</v>
      </c>
      <c r="D84" t="s">
        <v>3747</v>
      </c>
      <c r="E84" t="s">
        <v>3219</v>
      </c>
      <c r="F84">
        <v>29.09</v>
      </c>
    </row>
    <row r="85" spans="1:6">
      <c r="A85">
        <v>84</v>
      </c>
      <c r="B85" t="s">
        <v>3660</v>
      </c>
      <c r="D85" t="s">
        <v>3748</v>
      </c>
      <c r="E85" t="s">
        <v>3219</v>
      </c>
      <c r="F85">
        <v>29.09</v>
      </c>
    </row>
    <row r="86" spans="1:6">
      <c r="A86">
        <v>85</v>
      </c>
      <c r="B86" t="s">
        <v>3660</v>
      </c>
      <c r="D86" t="s">
        <v>3749</v>
      </c>
      <c r="E86" t="s">
        <v>3219</v>
      </c>
      <c r="F86">
        <v>29.09</v>
      </c>
    </row>
    <row r="87" spans="1:6">
      <c r="A87">
        <v>86</v>
      </c>
      <c r="B87" t="s">
        <v>3660</v>
      </c>
      <c r="D87" t="s">
        <v>3750</v>
      </c>
      <c r="E87" t="s">
        <v>3219</v>
      </c>
      <c r="F87">
        <v>29.09</v>
      </c>
    </row>
    <row r="88" spans="1:6">
      <c r="A88">
        <v>87</v>
      </c>
      <c r="B88" t="s">
        <v>3660</v>
      </c>
      <c r="D88" t="s">
        <v>3751</v>
      </c>
      <c r="E88" t="s">
        <v>3219</v>
      </c>
      <c r="F88">
        <v>29.09</v>
      </c>
    </row>
    <row r="89" spans="1:6">
      <c r="A89">
        <v>88</v>
      </c>
      <c r="B89" t="s">
        <v>3660</v>
      </c>
      <c r="D89" t="s">
        <v>3752</v>
      </c>
      <c r="E89" t="s">
        <v>3219</v>
      </c>
      <c r="F89">
        <v>29.09</v>
      </c>
    </row>
    <row r="90" spans="1:6">
      <c r="A90">
        <v>89</v>
      </c>
      <c r="B90" t="s">
        <v>3660</v>
      </c>
      <c r="D90" t="s">
        <v>3753</v>
      </c>
      <c r="E90" t="s">
        <v>3219</v>
      </c>
      <c r="F90">
        <v>29.09</v>
      </c>
    </row>
    <row r="91" spans="1:6">
      <c r="A91">
        <v>90</v>
      </c>
      <c r="B91" t="s">
        <v>3660</v>
      </c>
      <c r="D91" t="s">
        <v>3754</v>
      </c>
      <c r="E91" t="s">
        <v>3219</v>
      </c>
      <c r="F91">
        <v>29.09</v>
      </c>
    </row>
    <row r="92" spans="1:6">
      <c r="A92">
        <v>91</v>
      </c>
      <c r="B92" t="s">
        <v>3660</v>
      </c>
      <c r="D92" t="s">
        <v>3755</v>
      </c>
      <c r="E92" t="s">
        <v>3219</v>
      </c>
      <c r="F92">
        <v>29.09</v>
      </c>
    </row>
    <row r="93" spans="1:6">
      <c r="A93">
        <v>92</v>
      </c>
      <c r="B93" t="s">
        <v>3660</v>
      </c>
      <c r="D93" t="s">
        <v>3756</v>
      </c>
      <c r="E93" t="s">
        <v>3219</v>
      </c>
      <c r="F93">
        <v>29.09</v>
      </c>
    </row>
    <row r="94" spans="1:6">
      <c r="A94">
        <v>93</v>
      </c>
      <c r="B94" t="s">
        <v>3660</v>
      </c>
      <c r="D94" t="s">
        <v>3757</v>
      </c>
      <c r="E94" t="s">
        <v>3219</v>
      </c>
      <c r="F94">
        <v>29.09</v>
      </c>
    </row>
    <row r="95" spans="1:6">
      <c r="A95">
        <v>94</v>
      </c>
      <c r="B95" t="s">
        <v>3660</v>
      </c>
      <c r="D95" t="s">
        <v>3758</v>
      </c>
      <c r="E95" t="s">
        <v>3219</v>
      </c>
      <c r="F95">
        <v>29.09</v>
      </c>
    </row>
    <row r="96" spans="1:6">
      <c r="A96">
        <v>95</v>
      </c>
      <c r="B96" t="s">
        <v>3660</v>
      </c>
      <c r="D96" t="s">
        <v>3759</v>
      </c>
      <c r="E96" t="s">
        <v>3219</v>
      </c>
      <c r="F96">
        <v>29.09</v>
      </c>
    </row>
    <row r="97" spans="1:6">
      <c r="A97">
        <v>96</v>
      </c>
      <c r="B97" t="s">
        <v>3660</v>
      </c>
      <c r="D97" t="s">
        <v>3760</v>
      </c>
      <c r="E97" t="s">
        <v>3219</v>
      </c>
      <c r="F97">
        <v>29.09</v>
      </c>
    </row>
    <row r="98" spans="1:6">
      <c r="A98">
        <v>97</v>
      </c>
      <c r="B98" t="s">
        <v>3660</v>
      </c>
      <c r="D98" t="s">
        <v>3761</v>
      </c>
      <c r="E98" t="s">
        <v>3219</v>
      </c>
      <c r="F98">
        <v>29.09</v>
      </c>
    </row>
    <row r="99" spans="1:6">
      <c r="A99">
        <v>98</v>
      </c>
      <c r="B99" t="s">
        <v>3660</v>
      </c>
      <c r="D99" t="s">
        <v>3762</v>
      </c>
      <c r="E99" t="s">
        <v>3219</v>
      </c>
      <c r="F99">
        <v>29.09</v>
      </c>
    </row>
    <row r="100" spans="1:6">
      <c r="A100">
        <v>99</v>
      </c>
      <c r="B100" t="s">
        <v>3660</v>
      </c>
      <c r="D100" t="s">
        <v>3763</v>
      </c>
      <c r="E100" t="s">
        <v>3219</v>
      </c>
      <c r="F100">
        <v>29.09</v>
      </c>
    </row>
    <row r="101" spans="1:6">
      <c r="A101">
        <v>100</v>
      </c>
      <c r="B101" t="s">
        <v>3660</v>
      </c>
      <c r="D101" t="s">
        <v>3764</v>
      </c>
      <c r="E101" t="s">
        <v>3219</v>
      </c>
      <c r="F101">
        <v>29.09</v>
      </c>
    </row>
    <row r="102" spans="1:6">
      <c r="A102">
        <v>101</v>
      </c>
      <c r="B102" t="s">
        <v>3660</v>
      </c>
      <c r="D102" t="s">
        <v>3765</v>
      </c>
      <c r="E102" t="s">
        <v>3219</v>
      </c>
      <c r="F102">
        <v>29.09</v>
      </c>
    </row>
    <row r="103" spans="1:6">
      <c r="A103">
        <v>102</v>
      </c>
      <c r="B103" t="s">
        <v>3660</v>
      </c>
      <c r="D103" t="s">
        <v>3766</v>
      </c>
      <c r="E103" t="s">
        <v>3219</v>
      </c>
      <c r="F103">
        <v>29.09</v>
      </c>
    </row>
    <row r="104" spans="1:6">
      <c r="A104">
        <v>103</v>
      </c>
      <c r="B104" t="s">
        <v>3660</v>
      </c>
      <c r="D104" t="s">
        <v>3767</v>
      </c>
      <c r="E104" t="s">
        <v>3219</v>
      </c>
      <c r="F104">
        <v>29.09</v>
      </c>
    </row>
    <row r="105" spans="1:6">
      <c r="A105">
        <v>104</v>
      </c>
      <c r="B105" t="s">
        <v>3660</v>
      </c>
      <c r="D105" t="s">
        <v>3768</v>
      </c>
      <c r="E105" t="s">
        <v>3219</v>
      </c>
      <c r="F105">
        <v>29.09</v>
      </c>
    </row>
    <row r="106" spans="1:6">
      <c r="A106">
        <v>105</v>
      </c>
      <c r="B106" t="s">
        <v>3660</v>
      </c>
      <c r="D106" t="s">
        <v>3769</v>
      </c>
      <c r="E106" t="s">
        <v>3219</v>
      </c>
      <c r="F106">
        <v>29.09</v>
      </c>
    </row>
    <row r="107" spans="1:6">
      <c r="A107">
        <v>106</v>
      </c>
      <c r="B107" t="s">
        <v>3660</v>
      </c>
      <c r="D107" t="s">
        <v>3770</v>
      </c>
      <c r="E107" t="s">
        <v>3219</v>
      </c>
      <c r="F107">
        <v>29.09</v>
      </c>
    </row>
    <row r="108" spans="1:6">
      <c r="A108">
        <v>107</v>
      </c>
      <c r="B108" t="s">
        <v>3660</v>
      </c>
      <c r="D108" t="s">
        <v>3771</v>
      </c>
      <c r="E108" t="s">
        <v>3219</v>
      </c>
      <c r="F108">
        <v>29.09</v>
      </c>
    </row>
    <row r="109" spans="1:6">
      <c r="A109">
        <v>108</v>
      </c>
      <c r="B109" t="s">
        <v>3660</v>
      </c>
      <c r="D109" t="s">
        <v>3772</v>
      </c>
      <c r="E109" t="s">
        <v>3219</v>
      </c>
      <c r="F109">
        <v>29.09</v>
      </c>
    </row>
    <row r="110" spans="1:6">
      <c r="A110">
        <v>109</v>
      </c>
      <c r="B110" t="s">
        <v>3660</v>
      </c>
      <c r="D110" t="s">
        <v>3773</v>
      </c>
      <c r="E110" t="s">
        <v>3219</v>
      </c>
      <c r="F110">
        <v>29.09</v>
      </c>
    </row>
    <row r="111" spans="1:6">
      <c r="A111">
        <v>110</v>
      </c>
      <c r="B111" t="s">
        <v>3660</v>
      </c>
      <c r="D111" t="s">
        <v>3774</v>
      </c>
      <c r="E111" t="s">
        <v>3219</v>
      </c>
      <c r="F111">
        <v>29.09</v>
      </c>
    </row>
    <row r="112" spans="1:6">
      <c r="A112">
        <v>111</v>
      </c>
      <c r="B112" t="s">
        <v>3660</v>
      </c>
      <c r="D112" t="s">
        <v>3775</v>
      </c>
      <c r="E112" t="s">
        <v>3219</v>
      </c>
      <c r="F112">
        <v>29.09</v>
      </c>
    </row>
    <row r="113" spans="1:6">
      <c r="A113">
        <v>112</v>
      </c>
      <c r="B113" t="s">
        <v>3660</v>
      </c>
      <c r="D113" t="s">
        <v>3776</v>
      </c>
      <c r="E113" t="s">
        <v>3219</v>
      </c>
      <c r="F113">
        <v>29.09</v>
      </c>
    </row>
    <row r="114" spans="1:6">
      <c r="A114">
        <v>113</v>
      </c>
      <c r="B114" t="s">
        <v>3660</v>
      </c>
      <c r="D114" t="s">
        <v>3777</v>
      </c>
      <c r="E114" t="s">
        <v>3219</v>
      </c>
      <c r="F114">
        <v>29.09</v>
      </c>
    </row>
    <row r="115" spans="1:6">
      <c r="A115">
        <v>114</v>
      </c>
      <c r="B115" t="s">
        <v>3660</v>
      </c>
      <c r="D115" t="s">
        <v>3778</v>
      </c>
      <c r="E115" t="s">
        <v>3219</v>
      </c>
      <c r="F115">
        <v>29.09</v>
      </c>
    </row>
    <row r="116" spans="1:6">
      <c r="A116">
        <v>115</v>
      </c>
      <c r="B116" t="s">
        <v>3660</v>
      </c>
      <c r="D116" t="s">
        <v>3779</v>
      </c>
      <c r="E116" t="s">
        <v>3219</v>
      </c>
      <c r="F116">
        <v>29.09</v>
      </c>
    </row>
    <row r="117" spans="1:6">
      <c r="A117">
        <v>116</v>
      </c>
      <c r="B117" t="s">
        <v>3660</v>
      </c>
      <c r="D117" t="s">
        <v>3780</v>
      </c>
      <c r="E117" t="s">
        <v>3219</v>
      </c>
      <c r="F117">
        <v>29.09</v>
      </c>
    </row>
    <row r="118" spans="1:6">
      <c r="A118">
        <v>117</v>
      </c>
      <c r="B118" t="s">
        <v>3660</v>
      </c>
      <c r="D118" t="s">
        <v>3781</v>
      </c>
      <c r="E118" t="s">
        <v>3219</v>
      </c>
      <c r="F118">
        <v>29.09</v>
      </c>
    </row>
    <row r="119" spans="1:6">
      <c r="A119">
        <v>118</v>
      </c>
      <c r="B119" t="s">
        <v>3660</v>
      </c>
      <c r="D119" t="s">
        <v>3782</v>
      </c>
      <c r="E119" t="s">
        <v>3219</v>
      </c>
      <c r="F119">
        <v>29.09</v>
      </c>
    </row>
    <row r="120" spans="1:6">
      <c r="A120">
        <v>119</v>
      </c>
      <c r="B120" t="s">
        <v>3660</v>
      </c>
      <c r="D120" t="s">
        <v>3783</v>
      </c>
      <c r="E120" t="s">
        <v>3219</v>
      </c>
      <c r="F120">
        <v>29.09</v>
      </c>
    </row>
    <row r="121" spans="1:6">
      <c r="A121">
        <v>120</v>
      </c>
      <c r="B121" t="s">
        <v>3660</v>
      </c>
      <c r="D121" t="s">
        <v>3784</v>
      </c>
      <c r="E121" t="s">
        <v>3219</v>
      </c>
      <c r="F121">
        <v>29.09</v>
      </c>
    </row>
    <row r="122" spans="1:6">
      <c r="A122">
        <v>121</v>
      </c>
      <c r="B122" t="s">
        <v>3660</v>
      </c>
      <c r="D122" t="s">
        <v>3785</v>
      </c>
      <c r="E122" t="s">
        <v>3219</v>
      </c>
      <c r="F122">
        <v>29.09</v>
      </c>
    </row>
    <row r="123" spans="1:6">
      <c r="A123">
        <v>122</v>
      </c>
      <c r="B123" t="s">
        <v>3660</v>
      </c>
      <c r="D123" t="s">
        <v>3786</v>
      </c>
      <c r="E123" t="s">
        <v>3219</v>
      </c>
      <c r="F123">
        <v>29.09</v>
      </c>
    </row>
    <row r="124" spans="1:6">
      <c r="A124">
        <v>123</v>
      </c>
      <c r="B124" t="s">
        <v>3660</v>
      </c>
      <c r="D124" t="s">
        <v>3787</v>
      </c>
      <c r="E124" t="s">
        <v>3219</v>
      </c>
      <c r="F124">
        <v>29.09</v>
      </c>
    </row>
    <row r="125" spans="1:6">
      <c r="A125">
        <v>124</v>
      </c>
      <c r="B125" t="s">
        <v>3660</v>
      </c>
      <c r="D125" t="s">
        <v>3788</v>
      </c>
      <c r="E125" t="s">
        <v>3219</v>
      </c>
      <c r="F125">
        <v>29.09</v>
      </c>
    </row>
    <row r="126" spans="1:6">
      <c r="A126">
        <v>125</v>
      </c>
      <c r="B126" t="s">
        <v>3660</v>
      </c>
      <c r="D126" t="s">
        <v>3789</v>
      </c>
      <c r="E126" t="s">
        <v>3219</v>
      </c>
      <c r="F126">
        <v>29.09</v>
      </c>
    </row>
    <row r="127" spans="1:6">
      <c r="A127">
        <v>126</v>
      </c>
      <c r="B127" t="s">
        <v>3660</v>
      </c>
      <c r="D127" t="s">
        <v>3790</v>
      </c>
      <c r="E127" t="s">
        <v>3219</v>
      </c>
      <c r="F127">
        <v>29.09</v>
      </c>
    </row>
    <row r="128" spans="1:6">
      <c r="A128">
        <v>127</v>
      </c>
      <c r="B128" t="s">
        <v>3660</v>
      </c>
      <c r="D128" t="s">
        <v>3791</v>
      </c>
      <c r="E128" t="s">
        <v>3219</v>
      </c>
      <c r="F128">
        <v>29.09</v>
      </c>
    </row>
    <row r="129" spans="1:6">
      <c r="A129">
        <v>128</v>
      </c>
      <c r="B129" t="s">
        <v>3660</v>
      </c>
      <c r="D129" t="s">
        <v>3792</v>
      </c>
      <c r="E129" t="s">
        <v>3219</v>
      </c>
      <c r="F129">
        <v>29.09</v>
      </c>
    </row>
    <row r="130" spans="1:6">
      <c r="A130">
        <v>129</v>
      </c>
      <c r="B130" t="s">
        <v>3660</v>
      </c>
      <c r="D130" t="s">
        <v>3793</v>
      </c>
      <c r="E130" t="s">
        <v>3219</v>
      </c>
      <c r="F130">
        <v>29.09</v>
      </c>
    </row>
    <row r="131" spans="1:6">
      <c r="A131">
        <v>130</v>
      </c>
      <c r="B131" t="s">
        <v>3660</v>
      </c>
      <c r="D131" t="s">
        <v>3794</v>
      </c>
      <c r="E131" t="s">
        <v>3219</v>
      </c>
      <c r="F131">
        <v>29.09</v>
      </c>
    </row>
    <row r="132" spans="1:6">
      <c r="A132">
        <v>131</v>
      </c>
      <c r="B132" t="s">
        <v>3660</v>
      </c>
      <c r="D132" t="s">
        <v>3795</v>
      </c>
      <c r="E132" t="s">
        <v>3219</v>
      </c>
      <c r="F132">
        <v>29.09</v>
      </c>
    </row>
    <row r="133" spans="1:6">
      <c r="A133">
        <v>132</v>
      </c>
      <c r="B133" t="s">
        <v>3660</v>
      </c>
      <c r="D133" t="s">
        <v>3796</v>
      </c>
      <c r="E133" t="s">
        <v>3219</v>
      </c>
      <c r="F133">
        <v>29.09</v>
      </c>
    </row>
    <row r="134" spans="1:6">
      <c r="A134">
        <v>133</v>
      </c>
      <c r="B134" t="s">
        <v>3660</v>
      </c>
      <c r="D134" t="s">
        <v>3797</v>
      </c>
      <c r="E134" t="s">
        <v>3219</v>
      </c>
      <c r="F134">
        <v>29.09</v>
      </c>
    </row>
    <row r="135" spans="1:6">
      <c r="A135">
        <v>134</v>
      </c>
      <c r="B135" t="s">
        <v>3660</v>
      </c>
      <c r="D135" t="s">
        <v>3798</v>
      </c>
      <c r="E135" t="s">
        <v>3219</v>
      </c>
      <c r="F135">
        <v>29.09</v>
      </c>
    </row>
    <row r="136" spans="1:6">
      <c r="A136">
        <v>135</v>
      </c>
      <c r="B136" t="s">
        <v>3660</v>
      </c>
      <c r="D136" t="s">
        <v>3799</v>
      </c>
      <c r="E136" t="s">
        <v>3219</v>
      </c>
      <c r="F136">
        <v>29.09</v>
      </c>
    </row>
    <row r="137" spans="1:6">
      <c r="A137">
        <v>136</v>
      </c>
      <c r="B137" t="s">
        <v>3660</v>
      </c>
      <c r="D137" t="s">
        <v>3800</v>
      </c>
      <c r="E137" t="s">
        <v>3219</v>
      </c>
      <c r="F137">
        <v>29.09</v>
      </c>
    </row>
    <row r="138" spans="1:6">
      <c r="A138">
        <v>137</v>
      </c>
      <c r="B138" t="s">
        <v>3660</v>
      </c>
      <c r="D138" t="s">
        <v>3801</v>
      </c>
      <c r="E138" t="s">
        <v>3219</v>
      </c>
      <c r="F138">
        <v>29.09</v>
      </c>
    </row>
    <row r="139" spans="1:6">
      <c r="A139">
        <v>138</v>
      </c>
      <c r="B139" t="s">
        <v>3660</v>
      </c>
      <c r="D139" t="s">
        <v>3802</v>
      </c>
      <c r="E139" t="s">
        <v>3219</v>
      </c>
      <c r="F139">
        <v>29.09</v>
      </c>
    </row>
    <row r="140" spans="1:6">
      <c r="A140">
        <v>139</v>
      </c>
      <c r="B140" t="s">
        <v>3660</v>
      </c>
      <c r="D140" t="s">
        <v>3803</v>
      </c>
      <c r="E140" t="s">
        <v>3219</v>
      </c>
      <c r="F140">
        <v>29.09</v>
      </c>
    </row>
    <row r="141" spans="1:6">
      <c r="A141">
        <v>140</v>
      </c>
      <c r="B141" t="s">
        <v>3660</v>
      </c>
      <c r="D141" t="s">
        <v>3804</v>
      </c>
      <c r="E141" t="s">
        <v>3219</v>
      </c>
      <c r="F141">
        <v>29.09</v>
      </c>
    </row>
    <row r="142" spans="1:6">
      <c r="A142">
        <v>141</v>
      </c>
      <c r="B142" t="s">
        <v>3660</v>
      </c>
      <c r="D142" t="s">
        <v>3805</v>
      </c>
      <c r="E142" t="s">
        <v>3219</v>
      </c>
      <c r="F142">
        <v>29.09</v>
      </c>
    </row>
    <row r="143" spans="1:6">
      <c r="A143">
        <v>142</v>
      </c>
      <c r="B143" t="s">
        <v>3660</v>
      </c>
      <c r="D143" t="s">
        <v>3806</v>
      </c>
      <c r="E143" t="s">
        <v>3219</v>
      </c>
      <c r="F143">
        <v>29.09</v>
      </c>
    </row>
    <row r="144" spans="1:6">
      <c r="A144">
        <v>143</v>
      </c>
      <c r="B144" t="s">
        <v>3660</v>
      </c>
      <c r="D144" t="s">
        <v>3807</v>
      </c>
      <c r="E144" t="s">
        <v>3219</v>
      </c>
      <c r="F144">
        <v>29.09</v>
      </c>
    </row>
    <row r="145" spans="1:6">
      <c r="A145">
        <v>144</v>
      </c>
      <c r="B145" t="s">
        <v>3660</v>
      </c>
      <c r="D145" t="s">
        <v>3808</v>
      </c>
      <c r="E145" t="s">
        <v>3219</v>
      </c>
      <c r="F145">
        <v>29.09</v>
      </c>
    </row>
    <row r="146" spans="1:6">
      <c r="A146">
        <v>145</v>
      </c>
      <c r="B146" t="s">
        <v>3660</v>
      </c>
      <c r="D146" t="s">
        <v>3809</v>
      </c>
      <c r="E146" t="s">
        <v>3219</v>
      </c>
      <c r="F146">
        <v>29.09</v>
      </c>
    </row>
    <row r="147" spans="1:6">
      <c r="A147">
        <v>146</v>
      </c>
      <c r="B147" t="s">
        <v>3660</v>
      </c>
      <c r="D147" t="s">
        <v>3810</v>
      </c>
      <c r="E147" t="s">
        <v>3219</v>
      </c>
      <c r="F147">
        <v>29.09</v>
      </c>
    </row>
    <row r="148" spans="1:6">
      <c r="A148">
        <v>147</v>
      </c>
      <c r="B148" t="s">
        <v>3660</v>
      </c>
      <c r="D148" t="s">
        <v>3811</v>
      </c>
      <c r="E148" t="s">
        <v>3219</v>
      </c>
      <c r="F148">
        <v>29.09</v>
      </c>
    </row>
    <row r="149" spans="1:6">
      <c r="A149">
        <v>148</v>
      </c>
      <c r="B149" t="s">
        <v>3660</v>
      </c>
      <c r="D149" t="s">
        <v>3812</v>
      </c>
      <c r="E149" t="s">
        <v>3219</v>
      </c>
      <c r="F149">
        <v>29.09</v>
      </c>
    </row>
    <row r="150" spans="1:6">
      <c r="A150">
        <v>149</v>
      </c>
      <c r="B150" t="s">
        <v>3660</v>
      </c>
      <c r="D150" t="s">
        <v>3813</v>
      </c>
      <c r="E150" t="s">
        <v>3219</v>
      </c>
      <c r="F150">
        <v>29.09</v>
      </c>
    </row>
    <row r="151" spans="1:6">
      <c r="A151">
        <v>150</v>
      </c>
      <c r="B151" t="s">
        <v>3660</v>
      </c>
      <c r="D151" t="s">
        <v>3814</v>
      </c>
      <c r="E151" t="s">
        <v>3219</v>
      </c>
      <c r="F151">
        <v>29.09</v>
      </c>
    </row>
    <row r="152" spans="1:6">
      <c r="A152">
        <v>151</v>
      </c>
      <c r="B152" t="s">
        <v>3660</v>
      </c>
      <c r="D152" t="s">
        <v>3815</v>
      </c>
      <c r="E152" t="s">
        <v>3219</v>
      </c>
      <c r="F152">
        <v>29.09</v>
      </c>
    </row>
    <row r="153" spans="1:6">
      <c r="A153">
        <v>152</v>
      </c>
      <c r="B153" t="s">
        <v>3660</v>
      </c>
      <c r="D153" t="s">
        <v>3816</v>
      </c>
      <c r="E153" t="s">
        <v>3219</v>
      </c>
      <c r="F153">
        <v>29.09</v>
      </c>
    </row>
    <row r="154" spans="1:6">
      <c r="A154">
        <v>153</v>
      </c>
      <c r="B154" t="s">
        <v>3660</v>
      </c>
      <c r="D154" t="s">
        <v>3817</v>
      </c>
      <c r="E154" t="s">
        <v>3219</v>
      </c>
      <c r="F154">
        <v>29.09</v>
      </c>
    </row>
    <row r="155" spans="1:6">
      <c r="A155">
        <v>154</v>
      </c>
      <c r="B155" t="s">
        <v>3660</v>
      </c>
      <c r="D155" t="s">
        <v>3818</v>
      </c>
      <c r="E155" t="s">
        <v>3219</v>
      </c>
      <c r="F155">
        <v>29.09</v>
      </c>
    </row>
    <row r="156" spans="1:6">
      <c r="A156">
        <v>155</v>
      </c>
      <c r="B156" t="s">
        <v>3660</v>
      </c>
      <c r="D156" t="s">
        <v>3819</v>
      </c>
      <c r="E156" t="s">
        <v>3219</v>
      </c>
      <c r="F156">
        <v>29.09</v>
      </c>
    </row>
    <row r="157" spans="1:6">
      <c r="A157">
        <v>156</v>
      </c>
      <c r="B157" t="s">
        <v>3660</v>
      </c>
      <c r="D157" t="s">
        <v>3820</v>
      </c>
      <c r="E157" t="s">
        <v>3219</v>
      </c>
      <c r="F157">
        <v>29.09</v>
      </c>
    </row>
    <row r="158" spans="1:6">
      <c r="A158">
        <v>157</v>
      </c>
      <c r="B158" t="s">
        <v>3660</v>
      </c>
      <c r="D158" t="s">
        <v>3821</v>
      </c>
      <c r="E158" t="s">
        <v>3219</v>
      </c>
      <c r="F158">
        <v>29.09</v>
      </c>
    </row>
    <row r="159" spans="1:6">
      <c r="A159">
        <v>158</v>
      </c>
      <c r="B159" t="s">
        <v>3660</v>
      </c>
      <c r="D159" t="s">
        <v>3822</v>
      </c>
      <c r="E159" t="s">
        <v>3219</v>
      </c>
      <c r="F159">
        <v>29.09</v>
      </c>
    </row>
    <row r="160" spans="1:6">
      <c r="A160">
        <v>159</v>
      </c>
      <c r="B160" t="s">
        <v>3660</v>
      </c>
      <c r="D160" t="s">
        <v>3823</v>
      </c>
      <c r="E160" t="s">
        <v>3219</v>
      </c>
      <c r="F160">
        <v>29.09</v>
      </c>
    </row>
    <row r="161" spans="1:6">
      <c r="A161">
        <v>160</v>
      </c>
      <c r="B161" t="s">
        <v>3660</v>
      </c>
      <c r="D161" t="s">
        <v>3824</v>
      </c>
      <c r="E161" t="s">
        <v>3219</v>
      </c>
      <c r="F161">
        <v>29.09</v>
      </c>
    </row>
    <row r="162" spans="1:6">
      <c r="A162">
        <v>161</v>
      </c>
      <c r="B162" t="s">
        <v>3660</v>
      </c>
      <c r="D162" t="s">
        <v>3825</v>
      </c>
      <c r="E162" t="s">
        <v>3219</v>
      </c>
      <c r="F162">
        <v>29.09</v>
      </c>
    </row>
    <row r="163" spans="1:6">
      <c r="A163">
        <v>162</v>
      </c>
      <c r="B163" t="s">
        <v>3660</v>
      </c>
      <c r="D163" t="s">
        <v>3826</v>
      </c>
      <c r="E163" t="s">
        <v>3219</v>
      </c>
      <c r="F163">
        <v>29.09</v>
      </c>
    </row>
    <row r="164" spans="1:6">
      <c r="A164">
        <v>163</v>
      </c>
      <c r="B164" t="s">
        <v>3660</v>
      </c>
      <c r="D164" t="s">
        <v>3827</v>
      </c>
      <c r="E164" t="s">
        <v>3219</v>
      </c>
      <c r="F164">
        <v>29.09</v>
      </c>
    </row>
    <row r="165" spans="1:6">
      <c r="A165">
        <v>164</v>
      </c>
      <c r="B165" t="s">
        <v>3660</v>
      </c>
      <c r="D165" t="s">
        <v>3828</v>
      </c>
      <c r="E165" t="s">
        <v>3219</v>
      </c>
      <c r="F165">
        <v>29.09</v>
      </c>
    </row>
    <row r="166" spans="1:6">
      <c r="A166">
        <v>165</v>
      </c>
      <c r="B166" t="s">
        <v>3660</v>
      </c>
      <c r="D166" t="s">
        <v>3829</v>
      </c>
      <c r="E166" t="s">
        <v>3219</v>
      </c>
      <c r="F166">
        <v>29.09</v>
      </c>
    </row>
    <row r="167" spans="1:6">
      <c r="A167">
        <v>166</v>
      </c>
      <c r="B167" t="s">
        <v>3660</v>
      </c>
      <c r="D167" t="s">
        <v>3830</v>
      </c>
      <c r="E167" t="s">
        <v>3219</v>
      </c>
      <c r="F167">
        <v>29.09</v>
      </c>
    </row>
    <row r="168" spans="1:6">
      <c r="A168">
        <v>167</v>
      </c>
      <c r="B168" t="s">
        <v>3660</v>
      </c>
      <c r="D168" t="s">
        <v>3831</v>
      </c>
      <c r="E168" t="s">
        <v>3219</v>
      </c>
      <c r="F168">
        <v>29.09</v>
      </c>
    </row>
    <row r="169" spans="1:6">
      <c r="A169">
        <v>168</v>
      </c>
      <c r="B169" t="s">
        <v>3660</v>
      </c>
      <c r="D169" t="s">
        <v>3832</v>
      </c>
      <c r="E169" t="s">
        <v>3219</v>
      </c>
      <c r="F169">
        <v>29.09</v>
      </c>
    </row>
    <row r="170" spans="1:6">
      <c r="A170">
        <v>169</v>
      </c>
      <c r="B170" t="s">
        <v>3660</v>
      </c>
      <c r="D170" t="s">
        <v>3833</v>
      </c>
      <c r="E170" t="s">
        <v>3219</v>
      </c>
      <c r="F170">
        <v>29.09</v>
      </c>
    </row>
    <row r="171" spans="1:6">
      <c r="A171">
        <v>170</v>
      </c>
      <c r="B171" t="s">
        <v>3660</v>
      </c>
      <c r="D171" t="s">
        <v>3834</v>
      </c>
      <c r="E171" t="s">
        <v>3219</v>
      </c>
      <c r="F171">
        <v>29.09</v>
      </c>
    </row>
    <row r="172" spans="1:6">
      <c r="A172">
        <v>171</v>
      </c>
      <c r="B172" t="s">
        <v>3660</v>
      </c>
      <c r="D172" t="s">
        <v>3835</v>
      </c>
      <c r="E172" t="s">
        <v>3219</v>
      </c>
      <c r="F172">
        <v>29.09</v>
      </c>
    </row>
    <row r="173" spans="1:6">
      <c r="A173">
        <v>172</v>
      </c>
      <c r="B173" t="s">
        <v>3660</v>
      </c>
      <c r="D173" t="s">
        <v>3836</v>
      </c>
      <c r="E173" t="s">
        <v>3219</v>
      </c>
      <c r="F173">
        <v>29.09</v>
      </c>
    </row>
    <row r="174" spans="1:6">
      <c r="A174">
        <v>173</v>
      </c>
      <c r="B174" t="s">
        <v>3660</v>
      </c>
      <c r="D174" t="s">
        <v>3837</v>
      </c>
      <c r="E174" t="s">
        <v>3219</v>
      </c>
      <c r="F174">
        <v>29.09</v>
      </c>
    </row>
    <row r="175" spans="1:6">
      <c r="A175">
        <v>174</v>
      </c>
      <c r="B175" t="s">
        <v>3660</v>
      </c>
      <c r="D175" t="s">
        <v>3838</v>
      </c>
      <c r="E175" t="s">
        <v>3219</v>
      </c>
      <c r="F175">
        <v>29.09</v>
      </c>
    </row>
    <row r="176" spans="1:6">
      <c r="A176">
        <v>175</v>
      </c>
      <c r="B176" t="s">
        <v>3660</v>
      </c>
      <c r="D176" t="s">
        <v>3839</v>
      </c>
      <c r="E176" t="s">
        <v>3219</v>
      </c>
      <c r="F176">
        <v>29.09</v>
      </c>
    </row>
    <row r="177" spans="1:6">
      <c r="A177">
        <v>176</v>
      </c>
      <c r="B177" t="s">
        <v>3660</v>
      </c>
      <c r="D177" t="s">
        <v>3840</v>
      </c>
      <c r="E177" t="s">
        <v>3219</v>
      </c>
      <c r="F177">
        <v>29.09</v>
      </c>
    </row>
    <row r="178" spans="1:6">
      <c r="A178">
        <v>177</v>
      </c>
      <c r="B178" t="s">
        <v>3660</v>
      </c>
      <c r="D178" t="s">
        <v>3841</v>
      </c>
      <c r="E178" t="s">
        <v>3219</v>
      </c>
      <c r="F178">
        <v>29.09</v>
      </c>
    </row>
    <row r="179" spans="1:6">
      <c r="A179">
        <v>178</v>
      </c>
      <c r="B179" t="s">
        <v>3660</v>
      </c>
      <c r="D179" t="s">
        <v>3842</v>
      </c>
      <c r="E179" t="s">
        <v>3219</v>
      </c>
      <c r="F179">
        <v>29.09</v>
      </c>
    </row>
    <row r="180" spans="1:6">
      <c r="A180">
        <v>179</v>
      </c>
      <c r="B180" t="s">
        <v>3660</v>
      </c>
      <c r="D180" t="s">
        <v>3843</v>
      </c>
      <c r="E180" t="s">
        <v>3219</v>
      </c>
      <c r="F180">
        <v>29.09</v>
      </c>
    </row>
    <row r="181" spans="1:6">
      <c r="A181">
        <v>180</v>
      </c>
      <c r="B181" t="s">
        <v>3660</v>
      </c>
      <c r="D181" t="s">
        <v>3844</v>
      </c>
      <c r="E181" t="s">
        <v>3219</v>
      </c>
      <c r="F181">
        <v>29.09</v>
      </c>
    </row>
    <row r="182" spans="1:6">
      <c r="A182">
        <v>181</v>
      </c>
      <c r="B182" t="s">
        <v>3660</v>
      </c>
      <c r="D182" t="s">
        <v>3845</v>
      </c>
      <c r="E182" t="s">
        <v>3219</v>
      </c>
      <c r="F182">
        <v>29.09</v>
      </c>
    </row>
    <row r="183" spans="1:6">
      <c r="A183">
        <v>182</v>
      </c>
      <c r="B183" t="s">
        <v>3660</v>
      </c>
      <c r="D183" t="s">
        <v>3846</v>
      </c>
      <c r="E183" t="s">
        <v>3219</v>
      </c>
      <c r="F183">
        <v>29.09</v>
      </c>
    </row>
    <row r="184" spans="1:6">
      <c r="A184">
        <v>183</v>
      </c>
      <c r="B184" t="s">
        <v>3660</v>
      </c>
      <c r="D184" t="s">
        <v>3847</v>
      </c>
      <c r="E184" t="s">
        <v>3219</v>
      </c>
      <c r="F184">
        <v>29.09</v>
      </c>
    </row>
    <row r="185" spans="1:6">
      <c r="A185">
        <v>184</v>
      </c>
      <c r="B185" t="s">
        <v>3660</v>
      </c>
      <c r="D185" t="s">
        <v>3848</v>
      </c>
      <c r="E185" t="s">
        <v>3219</v>
      </c>
      <c r="F185">
        <v>29.09</v>
      </c>
    </row>
    <row r="186" spans="1:6">
      <c r="A186">
        <v>185</v>
      </c>
      <c r="B186" t="s">
        <v>3660</v>
      </c>
      <c r="D186" t="s">
        <v>3849</v>
      </c>
      <c r="E186" t="s">
        <v>3219</v>
      </c>
      <c r="F186">
        <v>29.09</v>
      </c>
    </row>
    <row r="187" spans="1:6">
      <c r="A187">
        <v>186</v>
      </c>
      <c r="B187" t="s">
        <v>3660</v>
      </c>
      <c r="D187" t="s">
        <v>3850</v>
      </c>
      <c r="E187" t="s">
        <v>3219</v>
      </c>
      <c r="F187">
        <v>29.09</v>
      </c>
    </row>
    <row r="188" spans="1:6">
      <c r="A188">
        <v>187</v>
      </c>
      <c r="B188" t="s">
        <v>3660</v>
      </c>
      <c r="D188" t="s">
        <v>3851</v>
      </c>
      <c r="E188" t="s">
        <v>3219</v>
      </c>
      <c r="F188">
        <v>29.09</v>
      </c>
    </row>
    <row r="189" spans="1:6">
      <c r="A189">
        <v>188</v>
      </c>
      <c r="B189" t="s">
        <v>3660</v>
      </c>
      <c r="D189" t="s">
        <v>3852</v>
      </c>
      <c r="E189" t="s">
        <v>3219</v>
      </c>
      <c r="F189">
        <v>29.09</v>
      </c>
    </row>
    <row r="190" spans="1:6">
      <c r="A190">
        <v>189</v>
      </c>
      <c r="B190" t="s">
        <v>3660</v>
      </c>
      <c r="D190" t="s">
        <v>3853</v>
      </c>
      <c r="E190" t="s">
        <v>3219</v>
      </c>
      <c r="F190">
        <v>29.09</v>
      </c>
    </row>
    <row r="191" spans="1:6">
      <c r="A191">
        <v>190</v>
      </c>
      <c r="B191" t="s">
        <v>3660</v>
      </c>
      <c r="D191" t="s">
        <v>3854</v>
      </c>
      <c r="E191" t="s">
        <v>3219</v>
      </c>
      <c r="F191">
        <v>29.09</v>
      </c>
    </row>
    <row r="192" spans="1:6">
      <c r="A192">
        <v>191</v>
      </c>
      <c r="B192" t="s">
        <v>3660</v>
      </c>
      <c r="D192" t="s">
        <v>3855</v>
      </c>
      <c r="E192" t="s">
        <v>3219</v>
      </c>
      <c r="F192">
        <v>29.09</v>
      </c>
    </row>
    <row r="193" spans="1:6">
      <c r="A193">
        <v>192</v>
      </c>
      <c r="B193" t="s">
        <v>3660</v>
      </c>
      <c r="D193" t="s">
        <v>3856</v>
      </c>
      <c r="E193" t="s">
        <v>3219</v>
      </c>
      <c r="F193">
        <v>29.09</v>
      </c>
    </row>
    <row r="194" spans="1:6">
      <c r="A194">
        <v>193</v>
      </c>
      <c r="B194" t="s">
        <v>3660</v>
      </c>
      <c r="D194" t="s">
        <v>3857</v>
      </c>
      <c r="E194" t="s">
        <v>3219</v>
      </c>
      <c r="F194">
        <v>29.09</v>
      </c>
    </row>
    <row r="195" spans="1:6">
      <c r="A195">
        <v>194</v>
      </c>
      <c r="B195" t="s">
        <v>3660</v>
      </c>
      <c r="D195" t="s">
        <v>3858</v>
      </c>
      <c r="E195" t="s">
        <v>3219</v>
      </c>
      <c r="F195">
        <v>29.09</v>
      </c>
    </row>
    <row r="196" spans="1:6">
      <c r="A196">
        <v>195</v>
      </c>
      <c r="B196" t="s">
        <v>3660</v>
      </c>
      <c r="D196" t="s">
        <v>3859</v>
      </c>
      <c r="E196" t="s">
        <v>3219</v>
      </c>
      <c r="F196">
        <v>29.09</v>
      </c>
    </row>
    <row r="197" spans="1:6">
      <c r="A197">
        <v>196</v>
      </c>
      <c r="B197" t="s">
        <v>3660</v>
      </c>
      <c r="D197" t="s">
        <v>3860</v>
      </c>
      <c r="E197" t="s">
        <v>3219</v>
      </c>
      <c r="F197">
        <v>29.09</v>
      </c>
    </row>
    <row r="198" spans="1:6">
      <c r="A198">
        <v>197</v>
      </c>
      <c r="B198" t="s">
        <v>3660</v>
      </c>
      <c r="D198" t="s">
        <v>3861</v>
      </c>
      <c r="E198" t="s">
        <v>3219</v>
      </c>
      <c r="F198">
        <v>29.09</v>
      </c>
    </row>
    <row r="199" spans="1:6">
      <c r="A199">
        <v>198</v>
      </c>
      <c r="B199" t="s">
        <v>3660</v>
      </c>
      <c r="D199" t="s">
        <v>3862</v>
      </c>
      <c r="E199" t="s">
        <v>3219</v>
      </c>
      <c r="F199">
        <v>29.09</v>
      </c>
    </row>
    <row r="200" spans="1:6">
      <c r="A200">
        <v>199</v>
      </c>
      <c r="B200" t="s">
        <v>3660</v>
      </c>
      <c r="D200" t="s">
        <v>3863</v>
      </c>
      <c r="E200" t="s">
        <v>3219</v>
      </c>
      <c r="F200">
        <v>29.09</v>
      </c>
    </row>
    <row r="201" spans="1:6">
      <c r="A201">
        <v>200</v>
      </c>
      <c r="B201" t="s">
        <v>3660</v>
      </c>
      <c r="D201" t="s">
        <v>3864</v>
      </c>
      <c r="E201" t="s">
        <v>3219</v>
      </c>
      <c r="F201">
        <v>29.09</v>
      </c>
    </row>
    <row r="202" spans="1:6">
      <c r="A202">
        <v>201</v>
      </c>
      <c r="B202" t="s">
        <v>3660</v>
      </c>
      <c r="D202" t="s">
        <v>3865</v>
      </c>
      <c r="E202" t="s">
        <v>3219</v>
      </c>
      <c r="F202">
        <v>29.09</v>
      </c>
    </row>
    <row r="203" spans="1:6">
      <c r="A203">
        <v>202</v>
      </c>
      <c r="B203" t="s">
        <v>3660</v>
      </c>
      <c r="D203" t="s">
        <v>3866</v>
      </c>
      <c r="E203" t="s">
        <v>3219</v>
      </c>
      <c r="F203">
        <v>29.09</v>
      </c>
    </row>
    <row r="204" spans="1:6">
      <c r="A204">
        <v>203</v>
      </c>
      <c r="B204" t="s">
        <v>3660</v>
      </c>
      <c r="D204" t="s">
        <v>3867</v>
      </c>
      <c r="E204" t="s">
        <v>3219</v>
      </c>
      <c r="F204">
        <v>29.09</v>
      </c>
    </row>
    <row r="205" spans="1:6">
      <c r="A205">
        <v>204</v>
      </c>
      <c r="B205" t="s">
        <v>3660</v>
      </c>
      <c r="D205" t="s">
        <v>3868</v>
      </c>
      <c r="E205" t="s">
        <v>3219</v>
      </c>
      <c r="F205">
        <v>29.09</v>
      </c>
    </row>
    <row r="206" spans="1:6">
      <c r="A206">
        <v>205</v>
      </c>
      <c r="B206" t="s">
        <v>3660</v>
      </c>
      <c r="D206" t="s">
        <v>3869</v>
      </c>
      <c r="E206" t="s">
        <v>3219</v>
      </c>
      <c r="F206">
        <v>29.09</v>
      </c>
    </row>
    <row r="207" spans="1:6">
      <c r="A207">
        <v>206</v>
      </c>
      <c r="B207" t="s">
        <v>3660</v>
      </c>
      <c r="D207" t="s">
        <v>3870</v>
      </c>
      <c r="E207" t="s">
        <v>3219</v>
      </c>
      <c r="F207">
        <v>29.09</v>
      </c>
    </row>
    <row r="208" spans="1:6">
      <c r="A208">
        <v>207</v>
      </c>
      <c r="B208" t="s">
        <v>3660</v>
      </c>
      <c r="D208" t="s">
        <v>3871</v>
      </c>
      <c r="E208" t="s">
        <v>3219</v>
      </c>
      <c r="F208">
        <v>29.09</v>
      </c>
    </row>
    <row r="209" spans="1:6">
      <c r="A209">
        <v>208</v>
      </c>
      <c r="B209" t="s">
        <v>3660</v>
      </c>
      <c r="D209" t="s">
        <v>3872</v>
      </c>
      <c r="E209" t="s">
        <v>3219</v>
      </c>
      <c r="F209">
        <v>29.09</v>
      </c>
    </row>
    <row r="210" spans="1:6">
      <c r="A210">
        <v>209</v>
      </c>
      <c r="B210" t="s">
        <v>3660</v>
      </c>
      <c r="D210" t="s">
        <v>3873</v>
      </c>
      <c r="E210" t="s">
        <v>3219</v>
      </c>
      <c r="F210">
        <v>29.09</v>
      </c>
    </row>
    <row r="211" spans="1:6">
      <c r="A211">
        <v>210</v>
      </c>
      <c r="B211" t="s">
        <v>3660</v>
      </c>
      <c r="D211" t="s">
        <v>3874</v>
      </c>
      <c r="E211" t="s">
        <v>3219</v>
      </c>
      <c r="F211">
        <v>29.09</v>
      </c>
    </row>
    <row r="212" spans="1:6">
      <c r="A212">
        <v>211</v>
      </c>
      <c r="B212" t="s">
        <v>3660</v>
      </c>
      <c r="D212" t="s">
        <v>3875</v>
      </c>
      <c r="E212" t="s">
        <v>3219</v>
      </c>
      <c r="F212">
        <v>29.09</v>
      </c>
    </row>
    <row r="213" spans="1:6">
      <c r="A213">
        <v>212</v>
      </c>
      <c r="B213" t="s">
        <v>3660</v>
      </c>
      <c r="D213" t="s">
        <v>3876</v>
      </c>
      <c r="E213" t="s">
        <v>3219</v>
      </c>
      <c r="F213">
        <v>29.09</v>
      </c>
    </row>
    <row r="214" spans="1:6">
      <c r="A214">
        <v>213</v>
      </c>
      <c r="B214" t="s">
        <v>3660</v>
      </c>
      <c r="D214" t="s">
        <v>3877</v>
      </c>
      <c r="E214" t="s">
        <v>3219</v>
      </c>
      <c r="F214">
        <v>29.09</v>
      </c>
    </row>
    <row r="215" spans="1:6">
      <c r="A215">
        <v>214</v>
      </c>
      <c r="B215" t="s">
        <v>3660</v>
      </c>
      <c r="D215" t="s">
        <v>3878</v>
      </c>
      <c r="E215" t="s">
        <v>3219</v>
      </c>
      <c r="F215">
        <v>29.09</v>
      </c>
    </row>
    <row r="216" spans="1:6">
      <c r="A216">
        <v>215</v>
      </c>
      <c r="B216" t="s">
        <v>3660</v>
      </c>
      <c r="D216" t="s">
        <v>3879</v>
      </c>
      <c r="E216" t="s">
        <v>3219</v>
      </c>
      <c r="F216">
        <v>29.09</v>
      </c>
    </row>
    <row r="217" spans="1:6">
      <c r="A217">
        <v>216</v>
      </c>
      <c r="B217" t="s">
        <v>3660</v>
      </c>
      <c r="D217" t="s">
        <v>3880</v>
      </c>
      <c r="E217" t="s">
        <v>3219</v>
      </c>
      <c r="F217">
        <v>29.09</v>
      </c>
    </row>
    <row r="218" spans="1:6">
      <c r="A218">
        <v>217</v>
      </c>
      <c r="B218" t="s">
        <v>3660</v>
      </c>
      <c r="D218" t="s">
        <v>3881</v>
      </c>
      <c r="E218" t="s">
        <v>3219</v>
      </c>
      <c r="F218">
        <v>29.09</v>
      </c>
    </row>
    <row r="219" spans="1:6">
      <c r="A219">
        <v>218</v>
      </c>
      <c r="B219" t="s">
        <v>3660</v>
      </c>
      <c r="D219" t="s">
        <v>3882</v>
      </c>
      <c r="E219" t="s">
        <v>3219</v>
      </c>
      <c r="F219">
        <v>29.09</v>
      </c>
    </row>
    <row r="220" spans="1:6">
      <c r="A220">
        <v>219</v>
      </c>
      <c r="B220" t="s">
        <v>3660</v>
      </c>
      <c r="D220" t="s">
        <v>3883</v>
      </c>
      <c r="E220" t="s">
        <v>3219</v>
      </c>
      <c r="F220">
        <v>29.09</v>
      </c>
    </row>
    <row r="221" spans="1:6">
      <c r="A221">
        <v>220</v>
      </c>
      <c r="B221" t="s">
        <v>3660</v>
      </c>
      <c r="D221" t="s">
        <v>3884</v>
      </c>
      <c r="E221" t="s">
        <v>3219</v>
      </c>
      <c r="F221">
        <v>29.09</v>
      </c>
    </row>
    <row r="222" spans="1:6">
      <c r="A222">
        <v>221</v>
      </c>
      <c r="B222" t="s">
        <v>3660</v>
      </c>
      <c r="D222" t="s">
        <v>3885</v>
      </c>
      <c r="E222" t="s">
        <v>3219</v>
      </c>
      <c r="F222">
        <v>29.09</v>
      </c>
    </row>
    <row r="223" spans="1:6">
      <c r="A223">
        <v>222</v>
      </c>
      <c r="B223" t="s">
        <v>3660</v>
      </c>
      <c r="D223" t="s">
        <v>3886</v>
      </c>
      <c r="E223" t="s">
        <v>3219</v>
      </c>
      <c r="F223">
        <v>29.09</v>
      </c>
    </row>
    <row r="224" spans="1:6">
      <c r="A224">
        <v>223</v>
      </c>
      <c r="B224" t="s">
        <v>3660</v>
      </c>
      <c r="D224" t="s">
        <v>3887</v>
      </c>
      <c r="E224" t="s">
        <v>3219</v>
      </c>
      <c r="F224">
        <v>29.09</v>
      </c>
    </row>
    <row r="225" spans="1:6">
      <c r="A225">
        <v>224</v>
      </c>
      <c r="B225" t="s">
        <v>3660</v>
      </c>
      <c r="D225" t="s">
        <v>3888</v>
      </c>
      <c r="E225" t="s">
        <v>3219</v>
      </c>
      <c r="F225">
        <v>29.09</v>
      </c>
    </row>
    <row r="226" spans="1:6">
      <c r="A226">
        <v>225</v>
      </c>
      <c r="B226" t="s">
        <v>3660</v>
      </c>
      <c r="D226" t="s">
        <v>3889</v>
      </c>
      <c r="E226" t="s">
        <v>3219</v>
      </c>
      <c r="F226">
        <v>29.09</v>
      </c>
    </row>
    <row r="227" spans="1:6">
      <c r="A227">
        <v>226</v>
      </c>
      <c r="B227" t="s">
        <v>3660</v>
      </c>
      <c r="D227" t="s">
        <v>3890</v>
      </c>
      <c r="E227" t="s">
        <v>3219</v>
      </c>
      <c r="F227">
        <v>29.09</v>
      </c>
    </row>
    <row r="228" spans="1:6">
      <c r="A228">
        <v>227</v>
      </c>
      <c r="B228" t="s">
        <v>3660</v>
      </c>
      <c r="D228" t="s">
        <v>3891</v>
      </c>
      <c r="E228" t="s">
        <v>3219</v>
      </c>
      <c r="F228">
        <v>29.09</v>
      </c>
    </row>
    <row r="229" spans="1:6">
      <c r="A229">
        <v>228</v>
      </c>
      <c r="B229" t="s">
        <v>3660</v>
      </c>
      <c r="D229" t="s">
        <v>3892</v>
      </c>
      <c r="E229" t="s">
        <v>3219</v>
      </c>
      <c r="F229">
        <v>29.09</v>
      </c>
    </row>
    <row r="230" spans="1:6">
      <c r="A230">
        <v>229</v>
      </c>
      <c r="B230" t="s">
        <v>3660</v>
      </c>
      <c r="D230" t="s">
        <v>3893</v>
      </c>
      <c r="E230" t="s">
        <v>3219</v>
      </c>
      <c r="F230">
        <v>29.09</v>
      </c>
    </row>
    <row r="231" spans="1:6">
      <c r="A231">
        <v>230</v>
      </c>
      <c r="B231" t="s">
        <v>3660</v>
      </c>
      <c r="D231" t="s">
        <v>3894</v>
      </c>
      <c r="E231" t="s">
        <v>3219</v>
      </c>
      <c r="F231">
        <v>29.09</v>
      </c>
    </row>
    <row r="232" spans="1:6">
      <c r="A232">
        <v>231</v>
      </c>
      <c r="B232" t="s">
        <v>3660</v>
      </c>
      <c r="D232" t="s">
        <v>3895</v>
      </c>
      <c r="E232" t="s">
        <v>3219</v>
      </c>
      <c r="F232">
        <v>29.09</v>
      </c>
    </row>
    <row r="233" spans="1:6">
      <c r="A233">
        <v>232</v>
      </c>
      <c r="B233" t="s">
        <v>3660</v>
      </c>
      <c r="D233" t="s">
        <v>3896</v>
      </c>
      <c r="E233" t="s">
        <v>3219</v>
      </c>
      <c r="F233">
        <v>29.09</v>
      </c>
    </row>
    <row r="234" spans="1:6">
      <c r="A234">
        <v>233</v>
      </c>
      <c r="B234" t="s">
        <v>3660</v>
      </c>
      <c r="D234" t="s">
        <v>3897</v>
      </c>
      <c r="E234" t="s">
        <v>3219</v>
      </c>
      <c r="F234">
        <v>29.09</v>
      </c>
    </row>
    <row r="235" spans="1:6">
      <c r="A235">
        <v>234</v>
      </c>
      <c r="B235" t="s">
        <v>3660</v>
      </c>
      <c r="D235" t="s">
        <v>3898</v>
      </c>
      <c r="E235" t="s">
        <v>3219</v>
      </c>
      <c r="F235">
        <v>29.09</v>
      </c>
    </row>
    <row r="236" spans="1:6">
      <c r="A236">
        <v>235</v>
      </c>
      <c r="B236" t="s">
        <v>3660</v>
      </c>
      <c r="D236" t="s">
        <v>3899</v>
      </c>
      <c r="E236" t="s">
        <v>3219</v>
      </c>
      <c r="F236">
        <v>29.09</v>
      </c>
    </row>
    <row r="237" spans="1:6">
      <c r="A237">
        <v>236</v>
      </c>
      <c r="B237" t="s">
        <v>3660</v>
      </c>
      <c r="D237" t="s">
        <v>3900</v>
      </c>
      <c r="E237" t="s">
        <v>3219</v>
      </c>
      <c r="F237">
        <v>29.09</v>
      </c>
    </row>
    <row r="238" spans="1:6">
      <c r="A238">
        <v>237</v>
      </c>
      <c r="B238" t="s">
        <v>3660</v>
      </c>
      <c r="D238" t="s">
        <v>3901</v>
      </c>
      <c r="E238" t="s">
        <v>3219</v>
      </c>
      <c r="F238">
        <v>29.09</v>
      </c>
    </row>
    <row r="239" spans="1:6">
      <c r="A239">
        <v>238</v>
      </c>
      <c r="B239" t="s">
        <v>3660</v>
      </c>
      <c r="D239" t="s">
        <v>3902</v>
      </c>
      <c r="E239" t="s">
        <v>3219</v>
      </c>
      <c r="F239">
        <v>29.09</v>
      </c>
    </row>
    <row r="240" spans="1:6">
      <c r="A240">
        <v>239</v>
      </c>
      <c r="B240" t="s">
        <v>3660</v>
      </c>
      <c r="D240" t="s">
        <v>3903</v>
      </c>
      <c r="E240" t="s">
        <v>3219</v>
      </c>
      <c r="F240">
        <v>29.09</v>
      </c>
    </row>
    <row r="241" spans="1:6">
      <c r="A241">
        <v>240</v>
      </c>
      <c r="B241" t="s">
        <v>3660</v>
      </c>
      <c r="D241" t="s">
        <v>3904</v>
      </c>
      <c r="E241" t="s">
        <v>3219</v>
      </c>
      <c r="F241">
        <v>29.09</v>
      </c>
    </row>
    <row r="242" spans="1:6">
      <c r="A242">
        <v>241</v>
      </c>
      <c r="B242" t="s">
        <v>3660</v>
      </c>
      <c r="D242" t="s">
        <v>3905</v>
      </c>
      <c r="E242" t="s">
        <v>3219</v>
      </c>
      <c r="F242">
        <v>29.09</v>
      </c>
    </row>
    <row r="243" spans="1:6">
      <c r="A243">
        <v>242</v>
      </c>
      <c r="B243" t="s">
        <v>3660</v>
      </c>
      <c r="D243" t="s">
        <v>3906</v>
      </c>
      <c r="E243" t="s">
        <v>3219</v>
      </c>
      <c r="F243">
        <v>29.09</v>
      </c>
    </row>
    <row r="244" spans="1:6">
      <c r="A244">
        <v>243</v>
      </c>
      <c r="B244" t="s">
        <v>3660</v>
      </c>
      <c r="D244" t="s">
        <v>3907</v>
      </c>
      <c r="E244" t="s">
        <v>3219</v>
      </c>
      <c r="F244">
        <v>29.09</v>
      </c>
    </row>
    <row r="245" spans="1:6">
      <c r="A245">
        <v>244</v>
      </c>
      <c r="B245" t="s">
        <v>3660</v>
      </c>
      <c r="D245" t="s">
        <v>3908</v>
      </c>
      <c r="E245" t="s">
        <v>3219</v>
      </c>
      <c r="F245">
        <v>29.09</v>
      </c>
    </row>
    <row r="246" spans="1:6">
      <c r="A246">
        <v>245</v>
      </c>
      <c r="B246" t="s">
        <v>3660</v>
      </c>
      <c r="D246" t="s">
        <v>3909</v>
      </c>
      <c r="E246" t="s">
        <v>3219</v>
      </c>
      <c r="F246">
        <v>29.09</v>
      </c>
    </row>
    <row r="247" spans="1:6">
      <c r="A247">
        <v>246</v>
      </c>
      <c r="B247" t="s">
        <v>3660</v>
      </c>
      <c r="D247" t="s">
        <v>3910</v>
      </c>
      <c r="E247" t="s">
        <v>3219</v>
      </c>
      <c r="F247">
        <v>29.09</v>
      </c>
    </row>
    <row r="248" spans="1:6">
      <c r="A248">
        <v>247</v>
      </c>
      <c r="B248" t="s">
        <v>3660</v>
      </c>
      <c r="D248" t="s">
        <v>3911</v>
      </c>
      <c r="E248" t="s">
        <v>3219</v>
      </c>
      <c r="F248">
        <v>29.09</v>
      </c>
    </row>
    <row r="249" spans="1:6">
      <c r="A249">
        <v>248</v>
      </c>
      <c r="B249" t="s">
        <v>3660</v>
      </c>
      <c r="D249" t="s">
        <v>3912</v>
      </c>
      <c r="E249" t="s">
        <v>3219</v>
      </c>
      <c r="F249">
        <v>29.09</v>
      </c>
    </row>
    <row r="250" spans="1:6">
      <c r="A250">
        <v>249</v>
      </c>
      <c r="B250" t="s">
        <v>3660</v>
      </c>
      <c r="D250" t="s">
        <v>3913</v>
      </c>
      <c r="E250" t="s">
        <v>3219</v>
      </c>
      <c r="F250">
        <v>29.09</v>
      </c>
    </row>
    <row r="251" spans="1:6">
      <c r="A251">
        <v>250</v>
      </c>
      <c r="B251" t="s">
        <v>3660</v>
      </c>
      <c r="D251" t="s">
        <v>3914</v>
      </c>
      <c r="E251" t="s">
        <v>3219</v>
      </c>
      <c r="F251">
        <v>29.09</v>
      </c>
    </row>
    <row r="252" spans="1:6">
      <c r="A252">
        <v>251</v>
      </c>
      <c r="B252" t="s">
        <v>3660</v>
      </c>
      <c r="D252" t="s">
        <v>3915</v>
      </c>
      <c r="E252" t="s">
        <v>3219</v>
      </c>
      <c r="F252">
        <v>29.09</v>
      </c>
    </row>
    <row r="253" spans="1:6">
      <c r="A253">
        <v>252</v>
      </c>
      <c r="B253" t="s">
        <v>3660</v>
      </c>
      <c r="D253" t="s">
        <v>3916</v>
      </c>
      <c r="E253" t="s">
        <v>3219</v>
      </c>
      <c r="F253">
        <v>29.09</v>
      </c>
    </row>
    <row r="254" spans="1:6">
      <c r="A254">
        <v>253</v>
      </c>
      <c r="B254" t="s">
        <v>3660</v>
      </c>
      <c r="D254" t="s">
        <v>3917</v>
      </c>
      <c r="E254" t="s">
        <v>3219</v>
      </c>
      <c r="F254">
        <v>29.09</v>
      </c>
    </row>
    <row r="255" spans="1:6">
      <c r="A255">
        <v>254</v>
      </c>
      <c r="B255" t="s">
        <v>3660</v>
      </c>
      <c r="D255" t="s">
        <v>3918</v>
      </c>
      <c r="E255" t="s">
        <v>3219</v>
      </c>
      <c r="F255">
        <v>29.09</v>
      </c>
    </row>
    <row r="256" spans="1:6">
      <c r="A256">
        <v>255</v>
      </c>
      <c r="B256" t="s">
        <v>3660</v>
      </c>
      <c r="D256" t="s">
        <v>3919</v>
      </c>
      <c r="E256" t="s">
        <v>3219</v>
      </c>
      <c r="F256">
        <v>29.09</v>
      </c>
    </row>
    <row r="257" spans="1:6">
      <c r="A257">
        <v>256</v>
      </c>
      <c r="B257" t="s">
        <v>3660</v>
      </c>
      <c r="D257" t="s">
        <v>3920</v>
      </c>
      <c r="E257" t="s">
        <v>3219</v>
      </c>
      <c r="F257">
        <v>29.09</v>
      </c>
    </row>
    <row r="258" spans="1:6">
      <c r="A258">
        <v>257</v>
      </c>
      <c r="B258" t="s">
        <v>3660</v>
      </c>
      <c r="D258" t="s">
        <v>3921</v>
      </c>
      <c r="E258" t="s">
        <v>3219</v>
      </c>
      <c r="F258">
        <v>29.09</v>
      </c>
    </row>
    <row r="259" spans="1:6">
      <c r="A259">
        <v>258</v>
      </c>
      <c r="B259" t="s">
        <v>3660</v>
      </c>
      <c r="D259" t="s">
        <v>3922</v>
      </c>
      <c r="E259" t="s">
        <v>3219</v>
      </c>
      <c r="F259">
        <v>29.09</v>
      </c>
    </row>
    <row r="260" spans="1:6">
      <c r="A260">
        <v>259</v>
      </c>
      <c r="B260" t="s">
        <v>3660</v>
      </c>
      <c r="D260" t="s">
        <v>3923</v>
      </c>
      <c r="E260" t="s">
        <v>3219</v>
      </c>
      <c r="F260">
        <v>29.09</v>
      </c>
    </row>
    <row r="261" spans="1:6">
      <c r="A261">
        <v>260</v>
      </c>
      <c r="B261" t="s">
        <v>3660</v>
      </c>
      <c r="D261" t="s">
        <v>3924</v>
      </c>
      <c r="E261" t="s">
        <v>3219</v>
      </c>
      <c r="F261">
        <v>29.09</v>
      </c>
    </row>
    <row r="262" spans="1:6">
      <c r="A262">
        <v>261</v>
      </c>
      <c r="B262" t="s">
        <v>3660</v>
      </c>
      <c r="D262" t="s">
        <v>3925</v>
      </c>
      <c r="E262" t="s">
        <v>3219</v>
      </c>
      <c r="F262">
        <v>29.09</v>
      </c>
    </row>
    <row r="263" spans="1:6">
      <c r="A263">
        <v>262</v>
      </c>
      <c r="B263" t="s">
        <v>3660</v>
      </c>
      <c r="D263" t="s">
        <v>3926</v>
      </c>
      <c r="E263" t="s">
        <v>3219</v>
      </c>
      <c r="F263">
        <v>29.09</v>
      </c>
    </row>
    <row r="264" spans="1:6">
      <c r="A264">
        <v>263</v>
      </c>
      <c r="B264" t="s">
        <v>3660</v>
      </c>
      <c r="D264" t="s">
        <v>3927</v>
      </c>
      <c r="E264" t="s">
        <v>3219</v>
      </c>
      <c r="F264">
        <v>29.09</v>
      </c>
    </row>
    <row r="265" spans="1:6">
      <c r="A265">
        <v>264</v>
      </c>
      <c r="B265" t="s">
        <v>3660</v>
      </c>
      <c r="D265" t="s">
        <v>3928</v>
      </c>
      <c r="E265" t="s">
        <v>3219</v>
      </c>
      <c r="F265">
        <v>29.09</v>
      </c>
    </row>
    <row r="266" spans="1:6">
      <c r="A266">
        <v>265</v>
      </c>
      <c r="B266" t="s">
        <v>3660</v>
      </c>
      <c r="D266" t="s">
        <v>3929</v>
      </c>
      <c r="E266" t="s">
        <v>3219</v>
      </c>
      <c r="F266">
        <v>29.09</v>
      </c>
    </row>
    <row r="267" spans="1:6">
      <c r="A267">
        <v>266</v>
      </c>
      <c r="B267" t="s">
        <v>3660</v>
      </c>
      <c r="D267" t="s">
        <v>3930</v>
      </c>
      <c r="E267" t="s">
        <v>3219</v>
      </c>
      <c r="F267">
        <v>29.09</v>
      </c>
    </row>
    <row r="268" spans="1:6">
      <c r="A268">
        <v>267</v>
      </c>
      <c r="B268" t="s">
        <v>3660</v>
      </c>
      <c r="D268" t="s">
        <v>3931</v>
      </c>
      <c r="E268" t="s">
        <v>3219</v>
      </c>
      <c r="F268">
        <v>29.09</v>
      </c>
    </row>
    <row r="269" spans="1:6">
      <c r="A269">
        <v>268</v>
      </c>
      <c r="B269" t="s">
        <v>3660</v>
      </c>
      <c r="D269" t="s">
        <v>3932</v>
      </c>
      <c r="E269" t="s">
        <v>3219</v>
      </c>
      <c r="F269">
        <v>29.09</v>
      </c>
    </row>
    <row r="270" spans="1:6">
      <c r="A270">
        <v>269</v>
      </c>
      <c r="B270" t="s">
        <v>3660</v>
      </c>
      <c r="D270" t="s">
        <v>3933</v>
      </c>
      <c r="E270" t="s">
        <v>3219</v>
      </c>
      <c r="F270">
        <v>29.09</v>
      </c>
    </row>
    <row r="271" spans="1:6">
      <c r="A271">
        <v>270</v>
      </c>
      <c r="B271" t="s">
        <v>3660</v>
      </c>
      <c r="D271" t="s">
        <v>3934</v>
      </c>
      <c r="E271" t="s">
        <v>3219</v>
      </c>
      <c r="F271">
        <v>29.09</v>
      </c>
    </row>
    <row r="272" spans="1:6">
      <c r="A272">
        <v>271</v>
      </c>
      <c r="B272" t="s">
        <v>3660</v>
      </c>
      <c r="D272" t="s">
        <v>3935</v>
      </c>
      <c r="E272" t="s">
        <v>3219</v>
      </c>
      <c r="F272">
        <v>29.09</v>
      </c>
    </row>
    <row r="273" spans="1:6">
      <c r="A273">
        <v>272</v>
      </c>
      <c r="B273" t="s">
        <v>3660</v>
      </c>
      <c r="D273" t="s">
        <v>3936</v>
      </c>
      <c r="E273" t="s">
        <v>3219</v>
      </c>
      <c r="F273">
        <v>29.09</v>
      </c>
    </row>
    <row r="274" spans="1:6">
      <c r="A274">
        <v>273</v>
      </c>
      <c r="B274" t="s">
        <v>3660</v>
      </c>
      <c r="D274" t="s">
        <v>3937</v>
      </c>
      <c r="E274" t="s">
        <v>3219</v>
      </c>
      <c r="F274">
        <v>29.09</v>
      </c>
    </row>
    <row r="275" spans="1:6">
      <c r="A275">
        <v>274</v>
      </c>
      <c r="B275" t="s">
        <v>3660</v>
      </c>
      <c r="D275" t="s">
        <v>3938</v>
      </c>
      <c r="E275" t="s">
        <v>3219</v>
      </c>
      <c r="F275">
        <v>29.09</v>
      </c>
    </row>
    <row r="276" spans="1:6">
      <c r="A276">
        <v>275</v>
      </c>
      <c r="B276" t="s">
        <v>3660</v>
      </c>
      <c r="D276" t="s">
        <v>3939</v>
      </c>
      <c r="E276" t="s">
        <v>3219</v>
      </c>
      <c r="F276">
        <v>29.09</v>
      </c>
    </row>
    <row r="277" spans="1:6">
      <c r="A277">
        <v>276</v>
      </c>
      <c r="B277" t="s">
        <v>3660</v>
      </c>
      <c r="D277" t="s">
        <v>3940</v>
      </c>
      <c r="E277" t="s">
        <v>3219</v>
      </c>
      <c r="F277">
        <v>29.09</v>
      </c>
    </row>
    <row r="278" spans="1:6">
      <c r="A278">
        <v>277</v>
      </c>
      <c r="B278" t="s">
        <v>3660</v>
      </c>
      <c r="D278" t="s">
        <v>3941</v>
      </c>
      <c r="E278" t="s">
        <v>3219</v>
      </c>
      <c r="F278">
        <v>29.09</v>
      </c>
    </row>
    <row r="279" spans="1:6">
      <c r="A279">
        <v>278</v>
      </c>
      <c r="B279" t="s">
        <v>3660</v>
      </c>
      <c r="D279" t="s">
        <v>3942</v>
      </c>
      <c r="E279" t="s">
        <v>3219</v>
      </c>
      <c r="F279">
        <v>29.09</v>
      </c>
    </row>
    <row r="280" spans="1:6">
      <c r="A280">
        <v>279</v>
      </c>
      <c r="B280" t="s">
        <v>3660</v>
      </c>
      <c r="D280" t="s">
        <v>3943</v>
      </c>
      <c r="E280" t="s">
        <v>3219</v>
      </c>
      <c r="F280">
        <v>29.09</v>
      </c>
    </row>
    <row r="281" spans="1:6">
      <c r="A281">
        <v>280</v>
      </c>
      <c r="B281" t="s">
        <v>3660</v>
      </c>
      <c r="D281" t="s">
        <v>3944</v>
      </c>
      <c r="E281" t="s">
        <v>3219</v>
      </c>
      <c r="F281">
        <v>29.09</v>
      </c>
    </row>
    <row r="282" spans="1:6">
      <c r="A282">
        <v>281</v>
      </c>
      <c r="B282" t="s">
        <v>3660</v>
      </c>
      <c r="D282" t="s">
        <v>3945</v>
      </c>
      <c r="E282" t="s">
        <v>3219</v>
      </c>
      <c r="F282">
        <v>29.09</v>
      </c>
    </row>
    <row r="283" spans="1:6">
      <c r="A283">
        <v>282</v>
      </c>
      <c r="B283" t="s">
        <v>3660</v>
      </c>
      <c r="D283" t="s">
        <v>3946</v>
      </c>
      <c r="E283" t="s">
        <v>3219</v>
      </c>
      <c r="F283">
        <v>29.09</v>
      </c>
    </row>
    <row r="284" spans="1:6">
      <c r="A284">
        <v>283</v>
      </c>
      <c r="B284" t="s">
        <v>3660</v>
      </c>
      <c r="D284" t="s">
        <v>3947</v>
      </c>
      <c r="E284" t="s">
        <v>3219</v>
      </c>
      <c r="F284">
        <v>29.09</v>
      </c>
    </row>
    <row r="285" spans="1:6">
      <c r="A285">
        <v>284</v>
      </c>
      <c r="B285" t="s">
        <v>3660</v>
      </c>
      <c r="D285" t="s">
        <v>3948</v>
      </c>
      <c r="E285" t="s">
        <v>3219</v>
      </c>
      <c r="F285">
        <v>29.09</v>
      </c>
    </row>
    <row r="286" spans="1:6">
      <c r="A286">
        <v>285</v>
      </c>
      <c r="B286" t="s">
        <v>3660</v>
      </c>
      <c r="D286" t="s">
        <v>3949</v>
      </c>
      <c r="E286" t="s">
        <v>3219</v>
      </c>
      <c r="F286">
        <v>29.09</v>
      </c>
    </row>
    <row r="287" spans="1:6">
      <c r="A287">
        <v>286</v>
      </c>
      <c r="B287" t="s">
        <v>3660</v>
      </c>
      <c r="D287" t="s">
        <v>3950</v>
      </c>
      <c r="E287" t="s">
        <v>3219</v>
      </c>
      <c r="F287">
        <v>29.09</v>
      </c>
    </row>
    <row r="288" spans="1:6">
      <c r="A288">
        <v>287</v>
      </c>
      <c r="B288" t="s">
        <v>3660</v>
      </c>
      <c r="D288" t="s">
        <v>3951</v>
      </c>
      <c r="E288" t="s">
        <v>3219</v>
      </c>
      <c r="F288">
        <v>29.09</v>
      </c>
    </row>
    <row r="289" spans="1:6">
      <c r="A289">
        <v>288</v>
      </c>
      <c r="B289" t="s">
        <v>3660</v>
      </c>
      <c r="D289" t="s">
        <v>3952</v>
      </c>
      <c r="E289" t="s">
        <v>3219</v>
      </c>
      <c r="F289">
        <v>29.09</v>
      </c>
    </row>
    <row r="290" spans="1:6">
      <c r="A290">
        <v>289</v>
      </c>
      <c r="B290" t="s">
        <v>3660</v>
      </c>
      <c r="D290" t="s">
        <v>3953</v>
      </c>
      <c r="E290" t="s">
        <v>3219</v>
      </c>
      <c r="F290">
        <v>29.09</v>
      </c>
    </row>
    <row r="291" spans="1:6">
      <c r="A291">
        <v>290</v>
      </c>
      <c r="B291" t="s">
        <v>3660</v>
      </c>
      <c r="D291" t="s">
        <v>3954</v>
      </c>
      <c r="E291" t="s">
        <v>3219</v>
      </c>
      <c r="F291">
        <v>29.09</v>
      </c>
    </row>
    <row r="292" spans="1:6">
      <c r="A292">
        <v>291</v>
      </c>
      <c r="B292" t="s">
        <v>3660</v>
      </c>
      <c r="D292" t="s">
        <v>3955</v>
      </c>
      <c r="E292" t="s">
        <v>3219</v>
      </c>
      <c r="F292">
        <v>29.09</v>
      </c>
    </row>
    <row r="293" spans="1:6">
      <c r="A293">
        <v>292</v>
      </c>
      <c r="B293" t="s">
        <v>3660</v>
      </c>
      <c r="D293" t="s">
        <v>3956</v>
      </c>
      <c r="E293" t="s">
        <v>3219</v>
      </c>
      <c r="F293">
        <v>29.09</v>
      </c>
    </row>
    <row r="294" spans="1:6">
      <c r="A294">
        <v>293</v>
      </c>
      <c r="B294" t="s">
        <v>3660</v>
      </c>
      <c r="D294" t="s">
        <v>3957</v>
      </c>
      <c r="E294" t="s">
        <v>3219</v>
      </c>
      <c r="F294">
        <v>29.09</v>
      </c>
    </row>
    <row r="295" spans="1:6">
      <c r="A295">
        <v>294</v>
      </c>
      <c r="B295" t="s">
        <v>3660</v>
      </c>
      <c r="D295" t="s">
        <v>3958</v>
      </c>
      <c r="E295" t="s">
        <v>3219</v>
      </c>
      <c r="F295">
        <v>29.09</v>
      </c>
    </row>
    <row r="296" spans="1:6">
      <c r="A296">
        <v>295</v>
      </c>
      <c r="B296" t="s">
        <v>3660</v>
      </c>
      <c r="D296" t="s">
        <v>3959</v>
      </c>
      <c r="E296" t="s">
        <v>3219</v>
      </c>
      <c r="F296">
        <v>29.09</v>
      </c>
    </row>
    <row r="297" spans="1:6">
      <c r="A297">
        <v>296</v>
      </c>
      <c r="B297" t="s">
        <v>3660</v>
      </c>
      <c r="D297" t="s">
        <v>3960</v>
      </c>
      <c r="E297" t="s">
        <v>3219</v>
      </c>
      <c r="F297">
        <v>29.09</v>
      </c>
    </row>
    <row r="298" spans="1:6">
      <c r="A298">
        <v>297</v>
      </c>
      <c r="B298" t="s">
        <v>3660</v>
      </c>
      <c r="D298" t="s">
        <v>3961</v>
      </c>
      <c r="E298" t="s">
        <v>3219</v>
      </c>
      <c r="F298">
        <v>29.09</v>
      </c>
    </row>
    <row r="299" spans="1:6">
      <c r="A299">
        <v>298</v>
      </c>
      <c r="B299" t="s">
        <v>3660</v>
      </c>
      <c r="D299" t="s">
        <v>3962</v>
      </c>
      <c r="E299" t="s">
        <v>3219</v>
      </c>
      <c r="F299">
        <v>29.09</v>
      </c>
    </row>
    <row r="300" spans="1:6">
      <c r="A300">
        <v>299</v>
      </c>
      <c r="B300" t="s">
        <v>3660</v>
      </c>
      <c r="D300" t="s">
        <v>3963</v>
      </c>
      <c r="E300" t="s">
        <v>3219</v>
      </c>
      <c r="F300">
        <v>29.09</v>
      </c>
    </row>
    <row r="301" spans="1:6">
      <c r="A301">
        <v>300</v>
      </c>
      <c r="B301" t="s">
        <v>3660</v>
      </c>
      <c r="D301" t="s">
        <v>3964</v>
      </c>
      <c r="E301" t="s">
        <v>3219</v>
      </c>
      <c r="F301">
        <v>29.09</v>
      </c>
    </row>
    <row r="302" spans="1:6">
      <c r="A302">
        <v>301</v>
      </c>
      <c r="B302" t="s">
        <v>3660</v>
      </c>
      <c r="D302" t="s">
        <v>3965</v>
      </c>
      <c r="E302" t="s">
        <v>3219</v>
      </c>
      <c r="F302">
        <v>29.09</v>
      </c>
    </row>
    <row r="303" spans="1:6">
      <c r="A303">
        <v>302</v>
      </c>
      <c r="B303" t="s">
        <v>3660</v>
      </c>
      <c r="D303" t="s">
        <v>3966</v>
      </c>
      <c r="E303" t="s">
        <v>3219</v>
      </c>
      <c r="F303">
        <v>29.09</v>
      </c>
    </row>
    <row r="304" spans="1:6">
      <c r="A304">
        <v>303</v>
      </c>
      <c r="B304" t="s">
        <v>3660</v>
      </c>
      <c r="D304" t="s">
        <v>3967</v>
      </c>
      <c r="E304" t="s">
        <v>3219</v>
      </c>
      <c r="F304">
        <v>29.09</v>
      </c>
    </row>
    <row r="305" spans="1:6">
      <c r="A305">
        <v>304</v>
      </c>
      <c r="B305" t="s">
        <v>3660</v>
      </c>
      <c r="D305" t="s">
        <v>3968</v>
      </c>
      <c r="E305" t="s">
        <v>3219</v>
      </c>
      <c r="F305">
        <v>29.09</v>
      </c>
    </row>
    <row r="306" spans="1:6">
      <c r="A306">
        <v>305</v>
      </c>
      <c r="B306" t="s">
        <v>3660</v>
      </c>
      <c r="D306" t="s">
        <v>3969</v>
      </c>
      <c r="E306" t="s">
        <v>3219</v>
      </c>
      <c r="F306">
        <v>29.09</v>
      </c>
    </row>
    <row r="307" spans="1:6">
      <c r="A307">
        <v>306</v>
      </c>
      <c r="B307" t="s">
        <v>3660</v>
      </c>
      <c r="D307" t="s">
        <v>3970</v>
      </c>
      <c r="E307" t="s">
        <v>3219</v>
      </c>
      <c r="F307">
        <v>29.09</v>
      </c>
    </row>
    <row r="308" spans="1:6">
      <c r="A308">
        <v>307</v>
      </c>
      <c r="B308" t="s">
        <v>3660</v>
      </c>
      <c r="D308" t="s">
        <v>3971</v>
      </c>
      <c r="E308" t="s">
        <v>3219</v>
      </c>
      <c r="F308">
        <v>29.09</v>
      </c>
    </row>
    <row r="309" spans="1:6">
      <c r="A309">
        <v>308</v>
      </c>
      <c r="B309" t="s">
        <v>3660</v>
      </c>
      <c r="D309" t="s">
        <v>3972</v>
      </c>
      <c r="E309" t="s">
        <v>3219</v>
      </c>
      <c r="F309">
        <v>37.869999999999997</v>
      </c>
    </row>
    <row r="310" spans="1:6">
      <c r="A310">
        <v>309</v>
      </c>
      <c r="B310" t="s">
        <v>3660</v>
      </c>
      <c r="D310" t="s">
        <v>3973</v>
      </c>
      <c r="E310" t="s">
        <v>3219</v>
      </c>
      <c r="F310">
        <v>29.09</v>
      </c>
    </row>
    <row r="311" spans="1:6">
      <c r="A311">
        <v>310</v>
      </c>
      <c r="B311" t="s">
        <v>3660</v>
      </c>
      <c r="D311" t="s">
        <v>3974</v>
      </c>
      <c r="E311" t="s">
        <v>3219</v>
      </c>
      <c r="F311">
        <v>29.09</v>
      </c>
    </row>
    <row r="312" spans="1:6">
      <c r="A312">
        <v>311</v>
      </c>
      <c r="B312" t="s">
        <v>3660</v>
      </c>
      <c r="D312" t="s">
        <v>3975</v>
      </c>
      <c r="E312" t="s">
        <v>3219</v>
      </c>
      <c r="F312">
        <v>29.09</v>
      </c>
    </row>
    <row r="313" spans="1:6">
      <c r="A313">
        <v>312</v>
      </c>
      <c r="B313" t="s">
        <v>3660</v>
      </c>
      <c r="D313" t="s">
        <v>3976</v>
      </c>
      <c r="E313" t="s">
        <v>3219</v>
      </c>
      <c r="F313">
        <v>29.09</v>
      </c>
    </row>
    <row r="314" spans="1:6">
      <c r="A314">
        <v>313</v>
      </c>
      <c r="B314" t="s">
        <v>3660</v>
      </c>
      <c r="D314" t="s">
        <v>3977</v>
      </c>
      <c r="E314" t="s">
        <v>3219</v>
      </c>
      <c r="F314">
        <v>29.09</v>
      </c>
    </row>
    <row r="315" spans="1:6">
      <c r="A315">
        <v>314</v>
      </c>
      <c r="B315" t="s">
        <v>3660</v>
      </c>
      <c r="D315" t="s">
        <v>3978</v>
      </c>
      <c r="E315" t="s">
        <v>3219</v>
      </c>
      <c r="F315">
        <v>29.09</v>
      </c>
    </row>
    <row r="316" spans="1:6">
      <c r="A316">
        <v>315</v>
      </c>
      <c r="B316" t="s">
        <v>3660</v>
      </c>
      <c r="D316" t="s">
        <v>3979</v>
      </c>
      <c r="E316" t="s">
        <v>3219</v>
      </c>
      <c r="F316">
        <v>29.09</v>
      </c>
    </row>
    <row r="317" spans="1:6">
      <c r="A317">
        <v>316</v>
      </c>
      <c r="B317" t="s">
        <v>3660</v>
      </c>
      <c r="D317" t="s">
        <v>3980</v>
      </c>
      <c r="E317" t="s">
        <v>3219</v>
      </c>
      <c r="F317">
        <v>29.09</v>
      </c>
    </row>
    <row r="318" spans="1:6">
      <c r="A318">
        <v>317</v>
      </c>
      <c r="B318" t="s">
        <v>3660</v>
      </c>
      <c r="D318" t="s">
        <v>3981</v>
      </c>
      <c r="E318" t="s">
        <v>3219</v>
      </c>
      <c r="F318">
        <v>29.09</v>
      </c>
    </row>
    <row r="319" spans="1:6">
      <c r="A319">
        <v>318</v>
      </c>
      <c r="B319" t="s">
        <v>3660</v>
      </c>
      <c r="D319" t="s">
        <v>3982</v>
      </c>
      <c r="E319" t="s">
        <v>3219</v>
      </c>
      <c r="F319">
        <v>29.09</v>
      </c>
    </row>
    <row r="320" spans="1:6">
      <c r="A320">
        <v>319</v>
      </c>
      <c r="B320" t="s">
        <v>3660</v>
      </c>
      <c r="D320" t="s">
        <v>3983</v>
      </c>
      <c r="E320" t="s">
        <v>3219</v>
      </c>
      <c r="F320">
        <v>29.09</v>
      </c>
    </row>
    <row r="321" spans="1:6">
      <c r="A321">
        <v>320</v>
      </c>
      <c r="B321" t="s">
        <v>3660</v>
      </c>
      <c r="D321" t="s">
        <v>3984</v>
      </c>
      <c r="E321" t="s">
        <v>3219</v>
      </c>
      <c r="F321">
        <v>29.09</v>
      </c>
    </row>
    <row r="322" spans="1:6">
      <c r="A322">
        <v>321</v>
      </c>
      <c r="B322" t="s">
        <v>3660</v>
      </c>
      <c r="D322" t="s">
        <v>3985</v>
      </c>
      <c r="E322" t="s">
        <v>3219</v>
      </c>
      <c r="F322">
        <v>29.09</v>
      </c>
    </row>
    <row r="323" spans="1:6">
      <c r="A323">
        <v>322</v>
      </c>
      <c r="B323" t="s">
        <v>3660</v>
      </c>
      <c r="D323" t="s">
        <v>3986</v>
      </c>
      <c r="E323" t="s">
        <v>3219</v>
      </c>
      <c r="F323">
        <v>29.09</v>
      </c>
    </row>
    <row r="324" spans="1:6">
      <c r="A324">
        <v>323</v>
      </c>
      <c r="B324" t="s">
        <v>3660</v>
      </c>
      <c r="D324" t="s">
        <v>3987</v>
      </c>
      <c r="E324" t="s">
        <v>3219</v>
      </c>
      <c r="F324">
        <v>29.09</v>
      </c>
    </row>
    <row r="325" spans="1:6">
      <c r="A325">
        <v>324</v>
      </c>
      <c r="B325" t="s">
        <v>3660</v>
      </c>
      <c r="D325" t="s">
        <v>3988</v>
      </c>
      <c r="E325" t="s">
        <v>3219</v>
      </c>
      <c r="F325">
        <v>29.09</v>
      </c>
    </row>
    <row r="326" spans="1:6">
      <c r="A326">
        <v>325</v>
      </c>
      <c r="B326" t="s">
        <v>3660</v>
      </c>
      <c r="D326" t="s">
        <v>3989</v>
      </c>
      <c r="E326" t="s">
        <v>3219</v>
      </c>
      <c r="F326">
        <v>29.09</v>
      </c>
    </row>
    <row r="327" spans="1:6">
      <c r="A327">
        <v>326</v>
      </c>
      <c r="B327" t="s">
        <v>3660</v>
      </c>
      <c r="D327" t="s">
        <v>3990</v>
      </c>
      <c r="E327" t="s">
        <v>3219</v>
      </c>
      <c r="F327">
        <v>29.09</v>
      </c>
    </row>
    <row r="328" spans="1:6">
      <c r="A328">
        <v>327</v>
      </c>
      <c r="B328" t="s">
        <v>3660</v>
      </c>
      <c r="D328" t="s">
        <v>3991</v>
      </c>
      <c r="E328" t="s">
        <v>3219</v>
      </c>
      <c r="F328">
        <v>29.09</v>
      </c>
    </row>
    <row r="329" spans="1:6">
      <c r="A329">
        <v>328</v>
      </c>
      <c r="B329" t="s">
        <v>3660</v>
      </c>
      <c r="D329" t="s">
        <v>3992</v>
      </c>
      <c r="E329" t="s">
        <v>3219</v>
      </c>
      <c r="F329">
        <v>29.09</v>
      </c>
    </row>
    <row r="330" spans="1:6">
      <c r="A330">
        <v>329</v>
      </c>
      <c r="B330" t="s">
        <v>3660</v>
      </c>
      <c r="D330" t="s">
        <v>3993</v>
      </c>
      <c r="E330" t="s">
        <v>3219</v>
      </c>
      <c r="F330">
        <v>29.09</v>
      </c>
    </row>
    <row r="331" spans="1:6">
      <c r="A331">
        <v>330</v>
      </c>
      <c r="B331" t="s">
        <v>3660</v>
      </c>
      <c r="D331" t="s">
        <v>3994</v>
      </c>
      <c r="E331" t="s">
        <v>3219</v>
      </c>
      <c r="F331">
        <v>29.09</v>
      </c>
    </row>
    <row r="332" spans="1:6">
      <c r="A332">
        <v>331</v>
      </c>
      <c r="B332" t="s">
        <v>3660</v>
      </c>
      <c r="D332" t="s">
        <v>3995</v>
      </c>
      <c r="E332" t="s">
        <v>3219</v>
      </c>
      <c r="F332">
        <v>29.09</v>
      </c>
    </row>
    <row r="333" spans="1:6">
      <c r="A333">
        <v>332</v>
      </c>
      <c r="B333" t="s">
        <v>3660</v>
      </c>
      <c r="D333" t="s">
        <v>3996</v>
      </c>
      <c r="E333" t="s">
        <v>3219</v>
      </c>
      <c r="F333">
        <v>29.09</v>
      </c>
    </row>
    <row r="334" spans="1:6">
      <c r="A334">
        <v>333</v>
      </c>
      <c r="B334" t="s">
        <v>3660</v>
      </c>
      <c r="D334" t="s">
        <v>3997</v>
      </c>
      <c r="E334" t="s">
        <v>3219</v>
      </c>
      <c r="F334">
        <v>29.09</v>
      </c>
    </row>
    <row r="335" spans="1:6">
      <c r="A335">
        <v>334</v>
      </c>
      <c r="B335" t="s">
        <v>3660</v>
      </c>
      <c r="D335" t="s">
        <v>3998</v>
      </c>
      <c r="E335" t="s">
        <v>3219</v>
      </c>
      <c r="F335">
        <v>29.09</v>
      </c>
    </row>
    <row r="336" spans="1:6">
      <c r="A336">
        <v>335</v>
      </c>
      <c r="B336" t="s">
        <v>3660</v>
      </c>
      <c r="D336" t="s">
        <v>3999</v>
      </c>
      <c r="E336" t="s">
        <v>3219</v>
      </c>
      <c r="F336">
        <v>29.09</v>
      </c>
    </row>
    <row r="337" spans="1:6">
      <c r="A337">
        <v>336</v>
      </c>
      <c r="B337" t="s">
        <v>3660</v>
      </c>
      <c r="D337" t="s">
        <v>4000</v>
      </c>
      <c r="E337" t="s">
        <v>3219</v>
      </c>
      <c r="F337">
        <v>29.09</v>
      </c>
    </row>
    <row r="338" spans="1:6">
      <c r="A338">
        <v>337</v>
      </c>
      <c r="B338" t="s">
        <v>3660</v>
      </c>
      <c r="D338" t="s">
        <v>4001</v>
      </c>
      <c r="E338" t="s">
        <v>3219</v>
      </c>
      <c r="F338">
        <v>29.09</v>
      </c>
    </row>
    <row r="339" spans="1:6">
      <c r="A339">
        <v>338</v>
      </c>
      <c r="B339" t="s">
        <v>3660</v>
      </c>
      <c r="D339" t="s">
        <v>4002</v>
      </c>
      <c r="E339" t="s">
        <v>3219</v>
      </c>
      <c r="F339">
        <v>29.09</v>
      </c>
    </row>
    <row r="340" spans="1:6">
      <c r="A340">
        <v>339</v>
      </c>
      <c r="B340" t="s">
        <v>3660</v>
      </c>
      <c r="D340" t="s">
        <v>4003</v>
      </c>
      <c r="E340" t="s">
        <v>3219</v>
      </c>
      <c r="F340">
        <v>29.09</v>
      </c>
    </row>
    <row r="341" spans="1:6">
      <c r="A341">
        <v>340</v>
      </c>
      <c r="B341" t="s">
        <v>3660</v>
      </c>
      <c r="D341" t="s">
        <v>4004</v>
      </c>
      <c r="E341" t="s">
        <v>3219</v>
      </c>
      <c r="F341">
        <v>29.09</v>
      </c>
    </row>
    <row r="342" spans="1:6">
      <c r="A342">
        <v>341</v>
      </c>
      <c r="B342" t="s">
        <v>3660</v>
      </c>
      <c r="D342" t="s">
        <v>4005</v>
      </c>
      <c r="E342" t="s">
        <v>3219</v>
      </c>
      <c r="F342">
        <v>29.09</v>
      </c>
    </row>
    <row r="343" spans="1:6">
      <c r="A343">
        <v>342</v>
      </c>
      <c r="B343" t="s">
        <v>3660</v>
      </c>
      <c r="D343" t="s">
        <v>4006</v>
      </c>
      <c r="E343" t="s">
        <v>3219</v>
      </c>
      <c r="F343">
        <v>29.09</v>
      </c>
    </row>
    <row r="344" spans="1:6">
      <c r="A344">
        <v>343</v>
      </c>
      <c r="B344" t="s">
        <v>3660</v>
      </c>
      <c r="D344" t="s">
        <v>4007</v>
      </c>
      <c r="E344" t="s">
        <v>3219</v>
      </c>
      <c r="F344">
        <v>29.09</v>
      </c>
    </row>
    <row r="345" spans="1:6">
      <c r="A345">
        <v>344</v>
      </c>
      <c r="B345" t="s">
        <v>3660</v>
      </c>
      <c r="D345" t="s">
        <v>4008</v>
      </c>
      <c r="E345" t="s">
        <v>3219</v>
      </c>
      <c r="F345">
        <v>29.09</v>
      </c>
    </row>
    <row r="346" spans="1:6">
      <c r="A346">
        <v>345</v>
      </c>
      <c r="B346" t="s">
        <v>3660</v>
      </c>
      <c r="D346" t="s">
        <v>4009</v>
      </c>
      <c r="E346" t="s">
        <v>3219</v>
      </c>
      <c r="F346">
        <v>29.09</v>
      </c>
    </row>
    <row r="347" spans="1:6">
      <c r="A347">
        <v>346</v>
      </c>
      <c r="B347" t="s">
        <v>3660</v>
      </c>
      <c r="D347" t="s">
        <v>4010</v>
      </c>
      <c r="E347" t="s">
        <v>3219</v>
      </c>
      <c r="F347">
        <v>29.09</v>
      </c>
    </row>
    <row r="348" spans="1:6">
      <c r="A348">
        <v>347</v>
      </c>
      <c r="B348" t="s">
        <v>3660</v>
      </c>
      <c r="D348" t="s">
        <v>4011</v>
      </c>
      <c r="E348" t="s">
        <v>3219</v>
      </c>
      <c r="F348">
        <v>29.09</v>
      </c>
    </row>
    <row r="349" spans="1:6">
      <c r="A349">
        <v>348</v>
      </c>
      <c r="B349" t="s">
        <v>3660</v>
      </c>
      <c r="D349" t="s">
        <v>4012</v>
      </c>
      <c r="E349" t="s">
        <v>3219</v>
      </c>
      <c r="F349">
        <v>29.09</v>
      </c>
    </row>
    <row r="350" spans="1:6">
      <c r="A350">
        <v>349</v>
      </c>
      <c r="B350" t="s">
        <v>3660</v>
      </c>
      <c r="D350" t="s">
        <v>4013</v>
      </c>
      <c r="E350" t="s">
        <v>3219</v>
      </c>
      <c r="F350">
        <v>29.09</v>
      </c>
    </row>
    <row r="351" spans="1:6">
      <c r="A351">
        <v>350</v>
      </c>
      <c r="B351" t="s">
        <v>3660</v>
      </c>
      <c r="D351" t="s">
        <v>4014</v>
      </c>
      <c r="E351" t="s">
        <v>3219</v>
      </c>
      <c r="F351">
        <v>29.09</v>
      </c>
    </row>
    <row r="352" spans="1:6">
      <c r="A352">
        <v>351</v>
      </c>
      <c r="B352" t="s">
        <v>3660</v>
      </c>
      <c r="D352" t="s">
        <v>4015</v>
      </c>
      <c r="E352" t="s">
        <v>3219</v>
      </c>
      <c r="F352">
        <v>29.09</v>
      </c>
    </row>
    <row r="353" spans="1:6">
      <c r="A353">
        <v>352</v>
      </c>
      <c r="B353" t="s">
        <v>3660</v>
      </c>
      <c r="D353" t="s">
        <v>4016</v>
      </c>
      <c r="E353" t="s">
        <v>3219</v>
      </c>
      <c r="F353">
        <v>29.09</v>
      </c>
    </row>
    <row r="354" spans="1:6">
      <c r="A354">
        <v>353</v>
      </c>
      <c r="B354" t="s">
        <v>3660</v>
      </c>
      <c r="D354" t="s">
        <v>4017</v>
      </c>
      <c r="E354" t="s">
        <v>3219</v>
      </c>
      <c r="F354">
        <v>29.09</v>
      </c>
    </row>
    <row r="355" spans="1:6">
      <c r="A355">
        <v>354</v>
      </c>
      <c r="B355" t="s">
        <v>3660</v>
      </c>
      <c r="D355" t="s">
        <v>4018</v>
      </c>
      <c r="E355" t="s">
        <v>3219</v>
      </c>
      <c r="F355">
        <v>29.09</v>
      </c>
    </row>
    <row r="356" spans="1:6">
      <c r="A356">
        <v>355</v>
      </c>
      <c r="B356" t="s">
        <v>3660</v>
      </c>
      <c r="D356" t="s">
        <v>4019</v>
      </c>
      <c r="E356" t="s">
        <v>3219</v>
      </c>
      <c r="F356">
        <v>29.09</v>
      </c>
    </row>
    <row r="357" spans="1:6">
      <c r="A357">
        <v>356</v>
      </c>
      <c r="B357" t="s">
        <v>3660</v>
      </c>
      <c r="D357" t="s">
        <v>4020</v>
      </c>
      <c r="E357" t="s">
        <v>3219</v>
      </c>
      <c r="F357">
        <v>29.09</v>
      </c>
    </row>
    <row r="358" spans="1:6">
      <c r="A358">
        <v>357</v>
      </c>
      <c r="B358" t="s">
        <v>3660</v>
      </c>
      <c r="D358" t="s">
        <v>4021</v>
      </c>
      <c r="E358" t="s">
        <v>3219</v>
      </c>
      <c r="F358">
        <v>29.09</v>
      </c>
    </row>
    <row r="359" spans="1:6">
      <c r="A359">
        <v>358</v>
      </c>
      <c r="B359" t="s">
        <v>3660</v>
      </c>
      <c r="D359" t="s">
        <v>4022</v>
      </c>
      <c r="E359" t="s">
        <v>3219</v>
      </c>
      <c r="F359">
        <v>29.09</v>
      </c>
    </row>
    <row r="360" spans="1:6">
      <c r="A360">
        <v>359</v>
      </c>
      <c r="B360" t="s">
        <v>3660</v>
      </c>
      <c r="D360" t="s">
        <v>4023</v>
      </c>
      <c r="E360" t="s">
        <v>3219</v>
      </c>
      <c r="F360">
        <v>29.09</v>
      </c>
    </row>
    <row r="361" spans="1:6">
      <c r="A361">
        <v>360</v>
      </c>
      <c r="B361" t="s">
        <v>3660</v>
      </c>
      <c r="D361" t="s">
        <v>4024</v>
      </c>
      <c r="E361" t="s">
        <v>3219</v>
      </c>
      <c r="F361">
        <v>29.09</v>
      </c>
    </row>
    <row r="362" spans="1:6">
      <c r="A362">
        <v>361</v>
      </c>
      <c r="B362" t="s">
        <v>3660</v>
      </c>
      <c r="D362" t="s">
        <v>4025</v>
      </c>
      <c r="E362" t="s">
        <v>3219</v>
      </c>
      <c r="F362">
        <v>29.09</v>
      </c>
    </row>
    <row r="363" spans="1:6">
      <c r="A363">
        <v>362</v>
      </c>
      <c r="B363" t="s">
        <v>3660</v>
      </c>
      <c r="D363" t="s">
        <v>4026</v>
      </c>
      <c r="E363" t="s">
        <v>3219</v>
      </c>
      <c r="F363">
        <v>29.09</v>
      </c>
    </row>
    <row r="364" spans="1:6">
      <c r="A364">
        <v>363</v>
      </c>
      <c r="B364" t="s">
        <v>3660</v>
      </c>
      <c r="D364" t="s">
        <v>4027</v>
      </c>
      <c r="E364" t="s">
        <v>3219</v>
      </c>
      <c r="F364">
        <v>29.09</v>
      </c>
    </row>
    <row r="365" spans="1:6">
      <c r="A365">
        <v>364</v>
      </c>
      <c r="B365" t="s">
        <v>3660</v>
      </c>
      <c r="D365" t="s">
        <v>4028</v>
      </c>
      <c r="E365" t="s">
        <v>3219</v>
      </c>
      <c r="F365">
        <v>29.09</v>
      </c>
    </row>
    <row r="366" spans="1:6">
      <c r="A366">
        <v>365</v>
      </c>
      <c r="B366" t="s">
        <v>3660</v>
      </c>
      <c r="D366" t="s">
        <v>4029</v>
      </c>
      <c r="E366" t="s">
        <v>3219</v>
      </c>
      <c r="F366">
        <v>29.09</v>
      </c>
    </row>
    <row r="367" spans="1:6">
      <c r="A367">
        <v>366</v>
      </c>
      <c r="B367" t="s">
        <v>3660</v>
      </c>
      <c r="D367" t="s">
        <v>4030</v>
      </c>
      <c r="E367" t="s">
        <v>3219</v>
      </c>
      <c r="F367">
        <v>29.09</v>
      </c>
    </row>
    <row r="368" spans="1:6">
      <c r="A368">
        <v>367</v>
      </c>
      <c r="B368" t="s">
        <v>3660</v>
      </c>
      <c r="D368" t="s">
        <v>4031</v>
      </c>
      <c r="E368" t="s">
        <v>3219</v>
      </c>
      <c r="F368">
        <v>29.09</v>
      </c>
    </row>
    <row r="369" spans="1:6">
      <c r="A369">
        <v>368</v>
      </c>
      <c r="B369" t="s">
        <v>3660</v>
      </c>
      <c r="D369" t="s">
        <v>4032</v>
      </c>
      <c r="E369" t="s">
        <v>3219</v>
      </c>
      <c r="F369">
        <v>29.09</v>
      </c>
    </row>
    <row r="370" spans="1:6">
      <c r="A370">
        <v>369</v>
      </c>
      <c r="B370" t="s">
        <v>3660</v>
      </c>
      <c r="D370" t="s">
        <v>4033</v>
      </c>
      <c r="E370" t="s">
        <v>3219</v>
      </c>
      <c r="F370">
        <v>29.09</v>
      </c>
    </row>
    <row r="371" spans="1:6">
      <c r="A371">
        <v>370</v>
      </c>
      <c r="B371" t="s">
        <v>3660</v>
      </c>
      <c r="D371" t="s">
        <v>4034</v>
      </c>
      <c r="E371" t="s">
        <v>3219</v>
      </c>
      <c r="F371">
        <v>29.09</v>
      </c>
    </row>
    <row r="372" spans="1:6">
      <c r="A372">
        <v>371</v>
      </c>
      <c r="B372" t="s">
        <v>3660</v>
      </c>
      <c r="D372" t="s">
        <v>4035</v>
      </c>
      <c r="E372" t="s">
        <v>3219</v>
      </c>
      <c r="F372">
        <v>29.09</v>
      </c>
    </row>
    <row r="373" spans="1:6">
      <c r="A373">
        <v>372</v>
      </c>
      <c r="B373" t="s">
        <v>3660</v>
      </c>
      <c r="D373" t="s">
        <v>4036</v>
      </c>
      <c r="E373" t="s">
        <v>3219</v>
      </c>
      <c r="F373">
        <v>29.09</v>
      </c>
    </row>
    <row r="374" spans="1:6">
      <c r="A374">
        <v>373</v>
      </c>
      <c r="B374" t="s">
        <v>3660</v>
      </c>
      <c r="D374" t="s">
        <v>4037</v>
      </c>
      <c r="E374" t="s">
        <v>3219</v>
      </c>
      <c r="F374">
        <v>29.09</v>
      </c>
    </row>
    <row r="375" spans="1:6">
      <c r="A375">
        <v>374</v>
      </c>
      <c r="B375" t="s">
        <v>3660</v>
      </c>
      <c r="D375" t="s">
        <v>4038</v>
      </c>
      <c r="E375" t="s">
        <v>3219</v>
      </c>
      <c r="F375">
        <v>29.09</v>
      </c>
    </row>
    <row r="376" spans="1:6">
      <c r="A376">
        <v>375</v>
      </c>
      <c r="B376" t="s">
        <v>3660</v>
      </c>
      <c r="D376" t="s">
        <v>4039</v>
      </c>
      <c r="E376" t="s">
        <v>3219</v>
      </c>
      <c r="F376">
        <v>29.09</v>
      </c>
    </row>
    <row r="377" spans="1:6">
      <c r="A377">
        <v>376</v>
      </c>
      <c r="B377" t="s">
        <v>3660</v>
      </c>
      <c r="D377" t="s">
        <v>4040</v>
      </c>
      <c r="E377" t="s">
        <v>3219</v>
      </c>
      <c r="F377">
        <v>29.09</v>
      </c>
    </row>
    <row r="378" spans="1:6">
      <c r="A378">
        <v>377</v>
      </c>
      <c r="B378" t="s">
        <v>3660</v>
      </c>
      <c r="D378" t="s">
        <v>4041</v>
      </c>
      <c r="E378" t="s">
        <v>3219</v>
      </c>
      <c r="F378">
        <v>29.09</v>
      </c>
    </row>
    <row r="379" spans="1:6">
      <c r="A379">
        <v>378</v>
      </c>
      <c r="B379" t="s">
        <v>3660</v>
      </c>
      <c r="D379" t="s">
        <v>4042</v>
      </c>
      <c r="E379" t="s">
        <v>3219</v>
      </c>
      <c r="F379">
        <v>29.09</v>
      </c>
    </row>
    <row r="380" spans="1:6">
      <c r="A380">
        <v>379</v>
      </c>
      <c r="B380" t="s">
        <v>3660</v>
      </c>
      <c r="D380" t="s">
        <v>4043</v>
      </c>
      <c r="E380" t="s">
        <v>3219</v>
      </c>
      <c r="F380">
        <v>29.09</v>
      </c>
    </row>
    <row r="381" spans="1:6">
      <c r="A381">
        <v>380</v>
      </c>
      <c r="B381" t="s">
        <v>3660</v>
      </c>
      <c r="D381" t="s">
        <v>4044</v>
      </c>
      <c r="E381" t="s">
        <v>3219</v>
      </c>
      <c r="F381">
        <v>29.09</v>
      </c>
    </row>
    <row r="382" spans="1:6">
      <c r="A382">
        <v>381</v>
      </c>
      <c r="B382" t="s">
        <v>3660</v>
      </c>
      <c r="D382" t="s">
        <v>4045</v>
      </c>
      <c r="E382" t="s">
        <v>3219</v>
      </c>
      <c r="F382">
        <v>29.09</v>
      </c>
    </row>
    <row r="383" spans="1:6">
      <c r="A383">
        <v>382</v>
      </c>
      <c r="B383" t="s">
        <v>3660</v>
      </c>
      <c r="D383" t="s">
        <v>4046</v>
      </c>
      <c r="E383" t="s">
        <v>3219</v>
      </c>
      <c r="F383">
        <v>29.09</v>
      </c>
    </row>
    <row r="384" spans="1:6">
      <c r="A384">
        <v>383</v>
      </c>
      <c r="B384" t="s">
        <v>3660</v>
      </c>
      <c r="D384" t="s">
        <v>4047</v>
      </c>
      <c r="E384" t="s">
        <v>3219</v>
      </c>
      <c r="F384">
        <v>29.09</v>
      </c>
    </row>
    <row r="385" spans="1:6">
      <c r="A385">
        <v>384</v>
      </c>
      <c r="B385" t="s">
        <v>3660</v>
      </c>
      <c r="D385" t="s">
        <v>4048</v>
      </c>
      <c r="E385" t="s">
        <v>3219</v>
      </c>
      <c r="F385">
        <v>29.09</v>
      </c>
    </row>
    <row r="386" spans="1:6">
      <c r="A386">
        <v>385</v>
      </c>
      <c r="B386" t="s">
        <v>3660</v>
      </c>
      <c r="D386" t="s">
        <v>4049</v>
      </c>
      <c r="E386" t="s">
        <v>3219</v>
      </c>
      <c r="F386">
        <v>29.09</v>
      </c>
    </row>
    <row r="387" spans="1:6">
      <c r="A387">
        <v>386</v>
      </c>
      <c r="B387" t="s">
        <v>3660</v>
      </c>
      <c r="D387" t="s">
        <v>4050</v>
      </c>
      <c r="E387" t="s">
        <v>3219</v>
      </c>
      <c r="F387">
        <v>29.09</v>
      </c>
    </row>
    <row r="388" spans="1:6">
      <c r="A388">
        <v>387</v>
      </c>
      <c r="B388" t="s">
        <v>3660</v>
      </c>
      <c r="D388" t="s">
        <v>4051</v>
      </c>
      <c r="E388" t="s">
        <v>3219</v>
      </c>
      <c r="F388">
        <v>29.09</v>
      </c>
    </row>
    <row r="389" spans="1:6">
      <c r="A389">
        <v>388</v>
      </c>
      <c r="B389" t="s">
        <v>3660</v>
      </c>
      <c r="D389" t="s">
        <v>4052</v>
      </c>
      <c r="E389" t="s">
        <v>3219</v>
      </c>
      <c r="F389">
        <v>29.09</v>
      </c>
    </row>
    <row r="390" spans="1:6">
      <c r="A390">
        <v>389</v>
      </c>
      <c r="B390" t="s">
        <v>3660</v>
      </c>
      <c r="D390" t="s">
        <v>4053</v>
      </c>
      <c r="E390" t="s">
        <v>3219</v>
      </c>
      <c r="F390">
        <v>29.09</v>
      </c>
    </row>
    <row r="391" spans="1:6">
      <c r="A391">
        <v>390</v>
      </c>
      <c r="B391" t="s">
        <v>3660</v>
      </c>
      <c r="D391" t="s">
        <v>4054</v>
      </c>
      <c r="E391" t="s">
        <v>3219</v>
      </c>
      <c r="F391">
        <v>29.09</v>
      </c>
    </row>
    <row r="392" spans="1:6">
      <c r="A392">
        <v>391</v>
      </c>
      <c r="B392" t="s">
        <v>3660</v>
      </c>
      <c r="D392" t="s">
        <v>4055</v>
      </c>
      <c r="E392" t="s">
        <v>3219</v>
      </c>
      <c r="F392">
        <v>29.09</v>
      </c>
    </row>
    <row r="393" spans="1:6">
      <c r="A393">
        <v>392</v>
      </c>
      <c r="B393" t="s">
        <v>3660</v>
      </c>
      <c r="D393" t="s">
        <v>4056</v>
      </c>
      <c r="E393" t="s">
        <v>3219</v>
      </c>
      <c r="F393">
        <v>29.09</v>
      </c>
    </row>
    <row r="394" spans="1:6">
      <c r="A394">
        <v>393</v>
      </c>
      <c r="B394" t="s">
        <v>3660</v>
      </c>
      <c r="D394" t="s">
        <v>4057</v>
      </c>
      <c r="E394" t="s">
        <v>3219</v>
      </c>
      <c r="F394">
        <v>29.09</v>
      </c>
    </row>
    <row r="395" spans="1:6">
      <c r="A395">
        <v>394</v>
      </c>
      <c r="B395" t="s">
        <v>3660</v>
      </c>
      <c r="D395" t="s">
        <v>4058</v>
      </c>
      <c r="E395" t="s">
        <v>3219</v>
      </c>
      <c r="F395">
        <v>29.09</v>
      </c>
    </row>
    <row r="396" spans="1:6">
      <c r="A396">
        <v>395</v>
      </c>
      <c r="B396" t="s">
        <v>3660</v>
      </c>
      <c r="D396" t="s">
        <v>4059</v>
      </c>
      <c r="E396" t="s">
        <v>3219</v>
      </c>
      <c r="F396">
        <v>29.09</v>
      </c>
    </row>
    <row r="397" spans="1:6">
      <c r="A397">
        <v>396</v>
      </c>
      <c r="B397" t="s">
        <v>3660</v>
      </c>
      <c r="D397" t="s">
        <v>4060</v>
      </c>
      <c r="E397" t="s">
        <v>3219</v>
      </c>
      <c r="F397">
        <v>29.09</v>
      </c>
    </row>
    <row r="398" spans="1:6">
      <c r="A398">
        <v>397</v>
      </c>
      <c r="B398" t="s">
        <v>3660</v>
      </c>
      <c r="D398" t="s">
        <v>4061</v>
      </c>
      <c r="E398" t="s">
        <v>3219</v>
      </c>
      <c r="F398">
        <v>29.09</v>
      </c>
    </row>
    <row r="399" spans="1:6">
      <c r="A399">
        <v>398</v>
      </c>
      <c r="B399" t="s">
        <v>3660</v>
      </c>
      <c r="D399" t="s">
        <v>4062</v>
      </c>
      <c r="E399" t="s">
        <v>3219</v>
      </c>
      <c r="F399">
        <v>29.09</v>
      </c>
    </row>
    <row r="400" spans="1:6">
      <c r="A400">
        <v>399</v>
      </c>
      <c r="B400" t="s">
        <v>3660</v>
      </c>
      <c r="D400" t="s">
        <v>4063</v>
      </c>
      <c r="E400" t="s">
        <v>3219</v>
      </c>
      <c r="F400">
        <v>29.09</v>
      </c>
    </row>
    <row r="401" spans="1:6">
      <c r="A401">
        <v>400</v>
      </c>
      <c r="B401" t="s">
        <v>3660</v>
      </c>
      <c r="D401" t="s">
        <v>4064</v>
      </c>
      <c r="E401" t="s">
        <v>3219</v>
      </c>
      <c r="F401">
        <v>29.09</v>
      </c>
    </row>
    <row r="402" spans="1:6">
      <c r="A402">
        <v>401</v>
      </c>
      <c r="B402" t="s">
        <v>3660</v>
      </c>
      <c r="D402" t="s">
        <v>4065</v>
      </c>
      <c r="E402" t="s">
        <v>3219</v>
      </c>
      <c r="F402">
        <v>29.09</v>
      </c>
    </row>
    <row r="403" spans="1:6">
      <c r="A403">
        <v>402</v>
      </c>
      <c r="B403" t="s">
        <v>3660</v>
      </c>
      <c r="D403" t="s">
        <v>4066</v>
      </c>
      <c r="E403" t="s">
        <v>3219</v>
      </c>
      <c r="F403">
        <v>29.09</v>
      </c>
    </row>
    <row r="404" spans="1:6">
      <c r="A404">
        <v>403</v>
      </c>
      <c r="B404" t="s">
        <v>3660</v>
      </c>
      <c r="D404" t="s">
        <v>4067</v>
      </c>
      <c r="E404" t="s">
        <v>3219</v>
      </c>
      <c r="F404">
        <v>29.09</v>
      </c>
    </row>
    <row r="405" spans="1:6">
      <c r="A405">
        <v>404</v>
      </c>
      <c r="B405" t="s">
        <v>3660</v>
      </c>
      <c r="D405" t="s">
        <v>4068</v>
      </c>
      <c r="E405" t="s">
        <v>3219</v>
      </c>
      <c r="F405">
        <v>29.09</v>
      </c>
    </row>
    <row r="406" spans="1:6">
      <c r="A406">
        <v>405</v>
      </c>
      <c r="B406" t="s">
        <v>3660</v>
      </c>
      <c r="D406" t="s">
        <v>4069</v>
      </c>
      <c r="E406" t="s">
        <v>3219</v>
      </c>
      <c r="F406">
        <v>29.09</v>
      </c>
    </row>
    <row r="407" spans="1:6">
      <c r="A407">
        <v>406</v>
      </c>
      <c r="B407" t="s">
        <v>3660</v>
      </c>
      <c r="D407" t="s">
        <v>4070</v>
      </c>
      <c r="E407" t="s">
        <v>3219</v>
      </c>
      <c r="F407">
        <v>29.09</v>
      </c>
    </row>
    <row r="408" spans="1:6">
      <c r="A408">
        <v>407</v>
      </c>
      <c r="B408" t="s">
        <v>3660</v>
      </c>
      <c r="D408" t="s">
        <v>4071</v>
      </c>
      <c r="E408" t="s">
        <v>3219</v>
      </c>
      <c r="F408">
        <v>29.09</v>
      </c>
    </row>
    <row r="409" spans="1:6">
      <c r="A409">
        <v>408</v>
      </c>
      <c r="B409" t="s">
        <v>3660</v>
      </c>
      <c r="D409" t="s">
        <v>4072</v>
      </c>
      <c r="E409" t="s">
        <v>3219</v>
      </c>
      <c r="F409">
        <v>29.09</v>
      </c>
    </row>
    <row r="410" spans="1:6">
      <c r="A410">
        <v>409</v>
      </c>
      <c r="B410" t="s">
        <v>3660</v>
      </c>
      <c r="D410" t="s">
        <v>4073</v>
      </c>
      <c r="E410" t="s">
        <v>3219</v>
      </c>
      <c r="F410">
        <v>29.09</v>
      </c>
    </row>
    <row r="411" spans="1:6">
      <c r="A411">
        <v>410</v>
      </c>
      <c r="B411" t="s">
        <v>3660</v>
      </c>
      <c r="D411" t="s">
        <v>4074</v>
      </c>
      <c r="E411" t="s">
        <v>3219</v>
      </c>
      <c r="F411">
        <v>29.09</v>
      </c>
    </row>
    <row r="412" spans="1:6">
      <c r="A412">
        <v>411</v>
      </c>
      <c r="B412" t="s">
        <v>3660</v>
      </c>
      <c r="D412" t="s">
        <v>4075</v>
      </c>
      <c r="E412" t="s">
        <v>3219</v>
      </c>
      <c r="F412">
        <v>29.09</v>
      </c>
    </row>
    <row r="413" spans="1:6">
      <c r="A413">
        <v>412</v>
      </c>
      <c r="B413" t="s">
        <v>3660</v>
      </c>
      <c r="D413" t="s">
        <v>4076</v>
      </c>
      <c r="E413" t="s">
        <v>3219</v>
      </c>
      <c r="F413">
        <v>29.09</v>
      </c>
    </row>
    <row r="414" spans="1:6">
      <c r="A414">
        <v>413</v>
      </c>
      <c r="B414" t="s">
        <v>3660</v>
      </c>
      <c r="D414" t="s">
        <v>4077</v>
      </c>
      <c r="E414" t="s">
        <v>3219</v>
      </c>
      <c r="F414">
        <v>29.09</v>
      </c>
    </row>
    <row r="415" spans="1:6">
      <c r="A415">
        <v>414</v>
      </c>
      <c r="B415" t="s">
        <v>3660</v>
      </c>
      <c r="D415" t="s">
        <v>4078</v>
      </c>
      <c r="E415" t="s">
        <v>3219</v>
      </c>
      <c r="F415">
        <v>29.09</v>
      </c>
    </row>
    <row r="416" spans="1:6">
      <c r="A416">
        <v>415</v>
      </c>
      <c r="B416" t="s">
        <v>3660</v>
      </c>
      <c r="D416" t="s">
        <v>4079</v>
      </c>
      <c r="E416" t="s">
        <v>3219</v>
      </c>
      <c r="F416">
        <v>29.09</v>
      </c>
    </row>
    <row r="417" spans="1:6">
      <c r="A417">
        <v>416</v>
      </c>
      <c r="B417" t="s">
        <v>3660</v>
      </c>
      <c r="D417" t="s">
        <v>4080</v>
      </c>
      <c r="E417" t="s">
        <v>3219</v>
      </c>
      <c r="F417">
        <v>29.09</v>
      </c>
    </row>
    <row r="418" spans="1:6">
      <c r="A418">
        <v>417</v>
      </c>
      <c r="B418" t="s">
        <v>3660</v>
      </c>
      <c r="D418" t="s">
        <v>4081</v>
      </c>
      <c r="E418" t="s">
        <v>3219</v>
      </c>
      <c r="F418">
        <v>29.09</v>
      </c>
    </row>
    <row r="419" spans="1:6">
      <c r="A419">
        <v>418</v>
      </c>
      <c r="B419" t="s">
        <v>3660</v>
      </c>
      <c r="D419" t="s">
        <v>4082</v>
      </c>
      <c r="E419" t="s">
        <v>3219</v>
      </c>
      <c r="F419">
        <v>29.09</v>
      </c>
    </row>
    <row r="420" spans="1:6">
      <c r="A420">
        <v>419</v>
      </c>
      <c r="B420" t="s">
        <v>3660</v>
      </c>
      <c r="D420" t="s">
        <v>4083</v>
      </c>
      <c r="E420" t="s">
        <v>3219</v>
      </c>
      <c r="F420">
        <v>29.09</v>
      </c>
    </row>
    <row r="421" spans="1:6">
      <c r="A421">
        <v>420</v>
      </c>
      <c r="B421" t="s">
        <v>3660</v>
      </c>
      <c r="D421" t="s">
        <v>4084</v>
      </c>
      <c r="E421" t="s">
        <v>3219</v>
      </c>
      <c r="F421">
        <v>29.09</v>
      </c>
    </row>
    <row r="422" spans="1:6">
      <c r="A422">
        <v>421</v>
      </c>
      <c r="B422" t="s">
        <v>3660</v>
      </c>
      <c r="D422" t="s">
        <v>4085</v>
      </c>
      <c r="E422" t="s">
        <v>3219</v>
      </c>
      <c r="F422">
        <v>29.09</v>
      </c>
    </row>
    <row r="423" spans="1:6">
      <c r="A423">
        <v>422</v>
      </c>
      <c r="B423" t="s">
        <v>3660</v>
      </c>
      <c r="D423" t="s">
        <v>4086</v>
      </c>
      <c r="E423" t="s">
        <v>3219</v>
      </c>
      <c r="F423">
        <v>29.09</v>
      </c>
    </row>
    <row r="424" spans="1:6">
      <c r="A424">
        <v>423</v>
      </c>
      <c r="B424" t="s">
        <v>3660</v>
      </c>
      <c r="D424" t="s">
        <v>4087</v>
      </c>
      <c r="E424" t="s">
        <v>3219</v>
      </c>
      <c r="F424">
        <v>29.09</v>
      </c>
    </row>
    <row r="425" spans="1:6">
      <c r="A425">
        <v>424</v>
      </c>
      <c r="B425" t="s">
        <v>3660</v>
      </c>
      <c r="D425" t="s">
        <v>4088</v>
      </c>
      <c r="E425" t="s">
        <v>3219</v>
      </c>
      <c r="F425">
        <v>29.09</v>
      </c>
    </row>
    <row r="426" spans="1:6">
      <c r="A426">
        <v>425</v>
      </c>
      <c r="B426" t="s">
        <v>3660</v>
      </c>
      <c r="D426" t="s">
        <v>4089</v>
      </c>
      <c r="E426" t="s">
        <v>3219</v>
      </c>
      <c r="F426">
        <v>29.09</v>
      </c>
    </row>
    <row r="427" spans="1:6">
      <c r="A427">
        <v>426</v>
      </c>
      <c r="B427" t="s">
        <v>3660</v>
      </c>
      <c r="D427" t="s">
        <v>4090</v>
      </c>
      <c r="E427" t="s">
        <v>3219</v>
      </c>
      <c r="F427">
        <v>29.09</v>
      </c>
    </row>
    <row r="428" spans="1:6">
      <c r="A428">
        <v>427</v>
      </c>
      <c r="B428" t="s">
        <v>3660</v>
      </c>
      <c r="D428" t="s">
        <v>4091</v>
      </c>
      <c r="E428" t="s">
        <v>3219</v>
      </c>
      <c r="F428">
        <v>29.09</v>
      </c>
    </row>
    <row r="429" spans="1:6">
      <c r="A429">
        <v>428</v>
      </c>
      <c r="B429" t="s">
        <v>3660</v>
      </c>
      <c r="D429" t="s">
        <v>4092</v>
      </c>
      <c r="E429" t="s">
        <v>3219</v>
      </c>
      <c r="F429">
        <v>29.09</v>
      </c>
    </row>
    <row r="430" spans="1:6">
      <c r="A430">
        <v>429</v>
      </c>
      <c r="B430" t="s">
        <v>3660</v>
      </c>
      <c r="D430" t="s">
        <v>4093</v>
      </c>
      <c r="E430" t="s">
        <v>3219</v>
      </c>
      <c r="F430">
        <v>29.09</v>
      </c>
    </row>
    <row r="431" spans="1:6">
      <c r="A431">
        <v>430</v>
      </c>
      <c r="B431" t="s">
        <v>3660</v>
      </c>
      <c r="D431" t="s">
        <v>4094</v>
      </c>
      <c r="E431" t="s">
        <v>3219</v>
      </c>
      <c r="F431">
        <v>29.09</v>
      </c>
    </row>
    <row r="432" spans="1:6">
      <c r="A432">
        <v>431</v>
      </c>
      <c r="B432" t="s">
        <v>3660</v>
      </c>
      <c r="D432" t="s">
        <v>4095</v>
      </c>
      <c r="E432" t="s">
        <v>3219</v>
      </c>
      <c r="F432">
        <v>29.09</v>
      </c>
    </row>
    <row r="433" spans="1:6">
      <c r="A433">
        <v>432</v>
      </c>
      <c r="B433" t="s">
        <v>3660</v>
      </c>
      <c r="D433" t="s">
        <v>4096</v>
      </c>
      <c r="E433" t="s">
        <v>3219</v>
      </c>
      <c r="F433">
        <v>29.09</v>
      </c>
    </row>
    <row r="434" spans="1:6">
      <c r="A434">
        <v>433</v>
      </c>
      <c r="B434" t="s">
        <v>3660</v>
      </c>
      <c r="D434" t="s">
        <v>4097</v>
      </c>
      <c r="E434" t="s">
        <v>3219</v>
      </c>
      <c r="F434">
        <v>29.09</v>
      </c>
    </row>
    <row r="435" spans="1:6">
      <c r="A435">
        <v>434</v>
      </c>
      <c r="B435" t="s">
        <v>3660</v>
      </c>
      <c r="D435" t="s">
        <v>4098</v>
      </c>
      <c r="E435" t="s">
        <v>3219</v>
      </c>
      <c r="F435">
        <v>29.09</v>
      </c>
    </row>
    <row r="436" spans="1:6">
      <c r="A436">
        <v>435</v>
      </c>
      <c r="B436" t="s">
        <v>3660</v>
      </c>
      <c r="D436" t="s">
        <v>4099</v>
      </c>
      <c r="E436" t="s">
        <v>3219</v>
      </c>
      <c r="F436">
        <v>29.09</v>
      </c>
    </row>
    <row r="437" spans="1:6">
      <c r="A437">
        <v>436</v>
      </c>
      <c r="B437" t="s">
        <v>3660</v>
      </c>
      <c r="D437" t="s">
        <v>4100</v>
      </c>
      <c r="E437" t="s">
        <v>3219</v>
      </c>
      <c r="F437">
        <v>29.09</v>
      </c>
    </row>
    <row r="438" spans="1:6">
      <c r="A438">
        <v>437</v>
      </c>
      <c r="B438" t="s">
        <v>3660</v>
      </c>
      <c r="D438" t="s">
        <v>4101</v>
      </c>
      <c r="E438" t="s">
        <v>3219</v>
      </c>
      <c r="F438">
        <v>29.09</v>
      </c>
    </row>
    <row r="439" spans="1:6">
      <c r="A439">
        <v>438</v>
      </c>
      <c r="B439" t="s">
        <v>3660</v>
      </c>
      <c r="D439" t="s">
        <v>4102</v>
      </c>
      <c r="E439" t="s">
        <v>3219</v>
      </c>
      <c r="F439">
        <v>29.09</v>
      </c>
    </row>
    <row r="440" spans="1:6">
      <c r="A440">
        <v>439</v>
      </c>
      <c r="B440" t="s">
        <v>3660</v>
      </c>
      <c r="D440" t="s">
        <v>4103</v>
      </c>
      <c r="E440" t="s">
        <v>3219</v>
      </c>
      <c r="F440">
        <v>29.09</v>
      </c>
    </row>
    <row r="441" spans="1:6">
      <c r="A441">
        <v>440</v>
      </c>
      <c r="B441" t="s">
        <v>3660</v>
      </c>
      <c r="D441" t="s">
        <v>4104</v>
      </c>
      <c r="E441" t="s">
        <v>3219</v>
      </c>
      <c r="F441">
        <v>29.09</v>
      </c>
    </row>
    <row r="442" spans="1:6">
      <c r="A442">
        <v>441</v>
      </c>
      <c r="B442" t="s">
        <v>3660</v>
      </c>
      <c r="D442" t="s">
        <v>4105</v>
      </c>
      <c r="E442" t="s">
        <v>3219</v>
      </c>
      <c r="F442">
        <v>29.09</v>
      </c>
    </row>
    <row r="443" spans="1:6">
      <c r="A443">
        <v>442</v>
      </c>
      <c r="B443" t="s">
        <v>3660</v>
      </c>
      <c r="D443" t="s">
        <v>4106</v>
      </c>
      <c r="E443" t="s">
        <v>3219</v>
      </c>
      <c r="F443">
        <v>29.09</v>
      </c>
    </row>
    <row r="444" spans="1:6">
      <c r="A444">
        <v>443</v>
      </c>
      <c r="B444" t="s">
        <v>3660</v>
      </c>
      <c r="D444" t="s">
        <v>4107</v>
      </c>
      <c r="E444" t="s">
        <v>3219</v>
      </c>
      <c r="F444">
        <v>29.09</v>
      </c>
    </row>
    <row r="445" spans="1:6">
      <c r="A445">
        <v>444</v>
      </c>
      <c r="B445" t="s">
        <v>3660</v>
      </c>
      <c r="D445" t="s">
        <v>4108</v>
      </c>
      <c r="E445" t="s">
        <v>3219</v>
      </c>
      <c r="F445">
        <v>29.09</v>
      </c>
    </row>
    <row r="446" spans="1:6">
      <c r="A446">
        <v>445</v>
      </c>
      <c r="B446" t="s">
        <v>3660</v>
      </c>
      <c r="D446" t="s">
        <v>4109</v>
      </c>
      <c r="E446" t="s">
        <v>3219</v>
      </c>
      <c r="F446">
        <v>29.09</v>
      </c>
    </row>
    <row r="447" spans="1:6">
      <c r="A447">
        <v>446</v>
      </c>
      <c r="B447" t="s">
        <v>3660</v>
      </c>
      <c r="D447" t="s">
        <v>4110</v>
      </c>
      <c r="E447" t="s">
        <v>3219</v>
      </c>
      <c r="F447">
        <v>29.09</v>
      </c>
    </row>
    <row r="448" spans="1:6">
      <c r="A448">
        <v>447</v>
      </c>
      <c r="B448" t="s">
        <v>3660</v>
      </c>
      <c r="D448" t="s">
        <v>4111</v>
      </c>
      <c r="E448" t="s">
        <v>3219</v>
      </c>
      <c r="F448">
        <v>29.09</v>
      </c>
    </row>
    <row r="449" spans="1:6">
      <c r="A449">
        <v>448</v>
      </c>
      <c r="B449" t="s">
        <v>3660</v>
      </c>
      <c r="D449" t="s">
        <v>4112</v>
      </c>
      <c r="E449" t="s">
        <v>3219</v>
      </c>
      <c r="F449">
        <v>29.09</v>
      </c>
    </row>
    <row r="450" spans="1:6">
      <c r="A450">
        <v>449</v>
      </c>
      <c r="B450" t="s">
        <v>3660</v>
      </c>
      <c r="D450" t="s">
        <v>4113</v>
      </c>
      <c r="E450" t="s">
        <v>3219</v>
      </c>
      <c r="F450">
        <v>29.09</v>
      </c>
    </row>
    <row r="451" spans="1:6">
      <c r="A451">
        <v>450</v>
      </c>
      <c r="B451" t="s">
        <v>3660</v>
      </c>
      <c r="D451" t="s">
        <v>4114</v>
      </c>
      <c r="E451" t="s">
        <v>3219</v>
      </c>
      <c r="F451">
        <v>29.09</v>
      </c>
    </row>
    <row r="452" spans="1:6">
      <c r="A452">
        <v>451</v>
      </c>
      <c r="B452" t="s">
        <v>3660</v>
      </c>
      <c r="D452" t="s">
        <v>4115</v>
      </c>
      <c r="E452" t="s">
        <v>3219</v>
      </c>
      <c r="F452">
        <v>29.09</v>
      </c>
    </row>
    <row r="453" spans="1:6">
      <c r="A453">
        <v>452</v>
      </c>
      <c r="B453" t="s">
        <v>3660</v>
      </c>
      <c r="D453" t="s">
        <v>4116</v>
      </c>
      <c r="E453" t="s">
        <v>3219</v>
      </c>
      <c r="F453">
        <v>29.09</v>
      </c>
    </row>
    <row r="454" spans="1:6">
      <c r="A454">
        <v>453</v>
      </c>
      <c r="B454" t="s">
        <v>3660</v>
      </c>
      <c r="D454" t="s">
        <v>4117</v>
      </c>
      <c r="E454" t="s">
        <v>3219</v>
      </c>
      <c r="F454">
        <v>29.09</v>
      </c>
    </row>
    <row r="455" spans="1:6">
      <c r="A455">
        <v>454</v>
      </c>
      <c r="B455" t="s">
        <v>3660</v>
      </c>
      <c r="D455" t="s">
        <v>4118</v>
      </c>
      <c r="E455" t="s">
        <v>3219</v>
      </c>
      <c r="F455">
        <v>29.09</v>
      </c>
    </row>
    <row r="456" spans="1:6">
      <c r="A456">
        <v>455</v>
      </c>
      <c r="B456" t="s">
        <v>3660</v>
      </c>
      <c r="D456" t="s">
        <v>4119</v>
      </c>
      <c r="E456" t="s">
        <v>3219</v>
      </c>
      <c r="F456">
        <v>29.09</v>
      </c>
    </row>
    <row r="457" spans="1:6">
      <c r="A457">
        <v>456</v>
      </c>
      <c r="B457" t="s">
        <v>3660</v>
      </c>
      <c r="D457" t="s">
        <v>4120</v>
      </c>
      <c r="E457" t="s">
        <v>3219</v>
      </c>
      <c r="F457">
        <v>29.09</v>
      </c>
    </row>
    <row r="458" spans="1:6">
      <c r="A458">
        <v>457</v>
      </c>
      <c r="B458" t="s">
        <v>3660</v>
      </c>
      <c r="D458" t="s">
        <v>4121</v>
      </c>
      <c r="E458" t="s">
        <v>3219</v>
      </c>
      <c r="F458">
        <v>29.09</v>
      </c>
    </row>
    <row r="459" spans="1:6">
      <c r="A459">
        <v>458</v>
      </c>
      <c r="B459" t="s">
        <v>3660</v>
      </c>
      <c r="D459" t="s">
        <v>4122</v>
      </c>
      <c r="E459" t="s">
        <v>3219</v>
      </c>
      <c r="F459">
        <v>29.09</v>
      </c>
    </row>
    <row r="460" spans="1:6">
      <c r="A460">
        <v>459</v>
      </c>
      <c r="B460" t="s">
        <v>3660</v>
      </c>
      <c r="D460" t="s">
        <v>4123</v>
      </c>
      <c r="E460" t="s">
        <v>3219</v>
      </c>
      <c r="F460">
        <v>29.09</v>
      </c>
    </row>
    <row r="461" spans="1:6">
      <c r="A461">
        <v>460</v>
      </c>
      <c r="B461" t="s">
        <v>3660</v>
      </c>
      <c r="D461" t="s">
        <v>4124</v>
      </c>
      <c r="E461" t="s">
        <v>3219</v>
      </c>
      <c r="F461">
        <v>29.09</v>
      </c>
    </row>
    <row r="462" spans="1:6">
      <c r="A462">
        <v>461</v>
      </c>
      <c r="B462" t="s">
        <v>3660</v>
      </c>
      <c r="D462" t="s">
        <v>4125</v>
      </c>
      <c r="E462" t="s">
        <v>3219</v>
      </c>
      <c r="F462">
        <v>29.09</v>
      </c>
    </row>
    <row r="463" spans="1:6">
      <c r="A463">
        <v>462</v>
      </c>
      <c r="B463" t="s">
        <v>3660</v>
      </c>
      <c r="D463" t="s">
        <v>4126</v>
      </c>
      <c r="E463" t="s">
        <v>3219</v>
      </c>
      <c r="F463">
        <v>29.09</v>
      </c>
    </row>
    <row r="464" spans="1:6">
      <c r="A464">
        <v>463</v>
      </c>
      <c r="B464" t="s">
        <v>3660</v>
      </c>
      <c r="D464" t="s">
        <v>4127</v>
      </c>
      <c r="E464" t="s">
        <v>3219</v>
      </c>
      <c r="F464">
        <v>29.09</v>
      </c>
    </row>
    <row r="465" spans="1:6">
      <c r="A465">
        <v>464</v>
      </c>
      <c r="B465" t="s">
        <v>3660</v>
      </c>
      <c r="D465" t="s">
        <v>4128</v>
      </c>
      <c r="E465" t="s">
        <v>3219</v>
      </c>
      <c r="F465">
        <v>29.09</v>
      </c>
    </row>
    <row r="466" spans="1:6">
      <c r="A466">
        <v>465</v>
      </c>
      <c r="B466" t="s">
        <v>3660</v>
      </c>
      <c r="D466" t="s">
        <v>4129</v>
      </c>
      <c r="E466" t="s">
        <v>3219</v>
      </c>
      <c r="F466">
        <v>29.09</v>
      </c>
    </row>
    <row r="467" spans="1:6">
      <c r="A467">
        <v>466</v>
      </c>
      <c r="B467" t="s">
        <v>3660</v>
      </c>
      <c r="D467" t="s">
        <v>4130</v>
      </c>
      <c r="E467" t="s">
        <v>3219</v>
      </c>
      <c r="F467">
        <v>29.09</v>
      </c>
    </row>
    <row r="468" spans="1:6">
      <c r="A468">
        <v>467</v>
      </c>
      <c r="B468" t="s">
        <v>3660</v>
      </c>
      <c r="D468" t="s">
        <v>4131</v>
      </c>
      <c r="E468" t="s">
        <v>3219</v>
      </c>
      <c r="F468">
        <v>29.09</v>
      </c>
    </row>
    <row r="469" spans="1:6">
      <c r="A469">
        <v>468</v>
      </c>
      <c r="B469" t="s">
        <v>3660</v>
      </c>
      <c r="D469" t="s">
        <v>4132</v>
      </c>
      <c r="E469" t="s">
        <v>3219</v>
      </c>
      <c r="F469">
        <v>29.09</v>
      </c>
    </row>
    <row r="470" spans="1:6">
      <c r="A470">
        <v>469</v>
      </c>
      <c r="B470" t="s">
        <v>3660</v>
      </c>
      <c r="D470" t="s">
        <v>4133</v>
      </c>
      <c r="E470" t="s">
        <v>3219</v>
      </c>
      <c r="F470">
        <v>29.09</v>
      </c>
    </row>
    <row r="471" spans="1:6">
      <c r="A471">
        <v>470</v>
      </c>
      <c r="B471" t="s">
        <v>3660</v>
      </c>
      <c r="D471" t="s">
        <v>4134</v>
      </c>
      <c r="E471" t="s">
        <v>3219</v>
      </c>
      <c r="F471">
        <v>29.09</v>
      </c>
    </row>
    <row r="472" spans="1:6">
      <c r="A472">
        <v>471</v>
      </c>
      <c r="B472" t="s">
        <v>3660</v>
      </c>
      <c r="D472" t="s">
        <v>4135</v>
      </c>
      <c r="E472" t="s">
        <v>3219</v>
      </c>
      <c r="F472">
        <v>29.09</v>
      </c>
    </row>
    <row r="473" spans="1:6">
      <c r="A473">
        <v>472</v>
      </c>
      <c r="B473" t="s">
        <v>3660</v>
      </c>
      <c r="D473" t="s">
        <v>4136</v>
      </c>
      <c r="E473" t="s">
        <v>3219</v>
      </c>
      <c r="F473">
        <v>29.09</v>
      </c>
    </row>
    <row r="474" spans="1:6">
      <c r="A474">
        <v>473</v>
      </c>
      <c r="B474" t="s">
        <v>3660</v>
      </c>
      <c r="D474" t="s">
        <v>4137</v>
      </c>
      <c r="E474" t="s">
        <v>3219</v>
      </c>
      <c r="F474">
        <v>29.09</v>
      </c>
    </row>
    <row r="475" spans="1:6">
      <c r="A475">
        <v>474</v>
      </c>
      <c r="B475" t="s">
        <v>3660</v>
      </c>
      <c r="D475" t="s">
        <v>4138</v>
      </c>
      <c r="E475" t="s">
        <v>3219</v>
      </c>
      <c r="F475">
        <v>29.09</v>
      </c>
    </row>
    <row r="476" spans="1:6">
      <c r="A476">
        <v>475</v>
      </c>
      <c r="B476" t="s">
        <v>3660</v>
      </c>
      <c r="D476" t="s">
        <v>4139</v>
      </c>
      <c r="E476" t="s">
        <v>3219</v>
      </c>
      <c r="F476">
        <v>29.09</v>
      </c>
    </row>
    <row r="477" spans="1:6">
      <c r="A477">
        <v>476</v>
      </c>
      <c r="B477" t="s">
        <v>3660</v>
      </c>
      <c r="D477" t="s">
        <v>4140</v>
      </c>
      <c r="E477" t="s">
        <v>3219</v>
      </c>
      <c r="F477">
        <v>29.09</v>
      </c>
    </row>
    <row r="478" spans="1:6">
      <c r="A478">
        <v>477</v>
      </c>
      <c r="B478" t="s">
        <v>3660</v>
      </c>
      <c r="D478" t="s">
        <v>4141</v>
      </c>
      <c r="E478" t="s">
        <v>3219</v>
      </c>
      <c r="F478">
        <v>29.09</v>
      </c>
    </row>
    <row r="479" spans="1:6">
      <c r="A479">
        <v>478</v>
      </c>
      <c r="B479" t="s">
        <v>3660</v>
      </c>
      <c r="D479" t="s">
        <v>4142</v>
      </c>
      <c r="E479" t="s">
        <v>3219</v>
      </c>
      <c r="F479">
        <v>29.09</v>
      </c>
    </row>
    <row r="480" spans="1:6">
      <c r="A480">
        <v>479</v>
      </c>
      <c r="B480" t="s">
        <v>3660</v>
      </c>
      <c r="D480" t="s">
        <v>4143</v>
      </c>
      <c r="E480" t="s">
        <v>3219</v>
      </c>
      <c r="F480">
        <v>29.09</v>
      </c>
    </row>
    <row r="481" spans="1:6">
      <c r="A481">
        <v>480</v>
      </c>
      <c r="B481" t="s">
        <v>3660</v>
      </c>
      <c r="D481" t="s">
        <v>4144</v>
      </c>
      <c r="E481" t="s">
        <v>3219</v>
      </c>
      <c r="F481">
        <v>29.09</v>
      </c>
    </row>
    <row r="482" spans="1:6">
      <c r="A482">
        <v>481</v>
      </c>
      <c r="B482" t="s">
        <v>3660</v>
      </c>
      <c r="D482" t="s">
        <v>4145</v>
      </c>
      <c r="E482" t="s">
        <v>3219</v>
      </c>
      <c r="F482">
        <v>29.09</v>
      </c>
    </row>
    <row r="483" spans="1:6">
      <c r="A483">
        <v>482</v>
      </c>
      <c r="B483" t="s">
        <v>3660</v>
      </c>
      <c r="D483" t="s">
        <v>4146</v>
      </c>
      <c r="E483" t="s">
        <v>3219</v>
      </c>
      <c r="F483">
        <v>29.09</v>
      </c>
    </row>
    <row r="484" spans="1:6">
      <c r="A484">
        <v>483</v>
      </c>
      <c r="B484" t="s">
        <v>3660</v>
      </c>
      <c r="D484" t="s">
        <v>4147</v>
      </c>
      <c r="E484" t="s">
        <v>3219</v>
      </c>
      <c r="F484">
        <v>29.09</v>
      </c>
    </row>
    <row r="485" spans="1:6">
      <c r="A485">
        <v>484</v>
      </c>
      <c r="B485" t="s">
        <v>3660</v>
      </c>
      <c r="D485" t="s">
        <v>4148</v>
      </c>
      <c r="E485" t="s">
        <v>3219</v>
      </c>
      <c r="F485">
        <v>29.09</v>
      </c>
    </row>
    <row r="486" spans="1:6">
      <c r="A486">
        <v>485</v>
      </c>
      <c r="B486" t="s">
        <v>3660</v>
      </c>
      <c r="D486" t="s">
        <v>4149</v>
      </c>
      <c r="E486" t="s">
        <v>3219</v>
      </c>
      <c r="F486">
        <v>29.09</v>
      </c>
    </row>
    <row r="487" spans="1:6">
      <c r="A487">
        <v>486</v>
      </c>
      <c r="B487" t="s">
        <v>3660</v>
      </c>
      <c r="D487" t="s">
        <v>4150</v>
      </c>
      <c r="E487" t="s">
        <v>3219</v>
      </c>
      <c r="F487">
        <v>29.09</v>
      </c>
    </row>
    <row r="488" spans="1:6">
      <c r="A488">
        <v>487</v>
      </c>
      <c r="B488" t="s">
        <v>3660</v>
      </c>
      <c r="D488" t="s">
        <v>4151</v>
      </c>
      <c r="E488" t="s">
        <v>3219</v>
      </c>
      <c r="F488">
        <v>29.09</v>
      </c>
    </row>
    <row r="489" spans="1:6">
      <c r="A489">
        <v>488</v>
      </c>
      <c r="B489" t="s">
        <v>3660</v>
      </c>
      <c r="D489" t="s">
        <v>4152</v>
      </c>
      <c r="E489" t="s">
        <v>3219</v>
      </c>
      <c r="F489">
        <v>29.09</v>
      </c>
    </row>
    <row r="490" spans="1:6">
      <c r="A490">
        <v>489</v>
      </c>
      <c r="B490" t="s">
        <v>3660</v>
      </c>
      <c r="D490" t="s">
        <v>4153</v>
      </c>
      <c r="E490" t="s">
        <v>3219</v>
      </c>
      <c r="F490">
        <v>29.09</v>
      </c>
    </row>
    <row r="491" spans="1:6">
      <c r="A491">
        <v>490</v>
      </c>
      <c r="B491" t="s">
        <v>3660</v>
      </c>
      <c r="D491" t="s">
        <v>4154</v>
      </c>
      <c r="E491" t="s">
        <v>3219</v>
      </c>
      <c r="F491">
        <v>29.09</v>
      </c>
    </row>
    <row r="492" spans="1:6">
      <c r="A492">
        <v>491</v>
      </c>
      <c r="B492" t="s">
        <v>3660</v>
      </c>
      <c r="D492" t="s">
        <v>4155</v>
      </c>
      <c r="E492" t="s">
        <v>3219</v>
      </c>
      <c r="F492">
        <v>29.09</v>
      </c>
    </row>
    <row r="493" spans="1:6">
      <c r="A493">
        <v>492</v>
      </c>
      <c r="B493" t="s">
        <v>3660</v>
      </c>
      <c r="D493" t="s">
        <v>4156</v>
      </c>
      <c r="E493" t="s">
        <v>3219</v>
      </c>
      <c r="F493">
        <v>29.09</v>
      </c>
    </row>
    <row r="494" spans="1:6">
      <c r="A494">
        <v>493</v>
      </c>
      <c r="B494" t="s">
        <v>3660</v>
      </c>
      <c r="D494" t="s">
        <v>4157</v>
      </c>
      <c r="E494" t="s">
        <v>3219</v>
      </c>
      <c r="F494">
        <v>29.09</v>
      </c>
    </row>
    <row r="495" spans="1:6">
      <c r="A495">
        <v>494</v>
      </c>
      <c r="B495" t="s">
        <v>3660</v>
      </c>
      <c r="D495" t="s">
        <v>4158</v>
      </c>
      <c r="E495" t="s">
        <v>3219</v>
      </c>
      <c r="F495">
        <v>29.09</v>
      </c>
    </row>
    <row r="496" spans="1:6">
      <c r="A496">
        <v>495</v>
      </c>
      <c r="B496" t="s">
        <v>3660</v>
      </c>
      <c r="D496" t="s">
        <v>4159</v>
      </c>
      <c r="E496" t="s">
        <v>3219</v>
      </c>
      <c r="F496">
        <v>29.09</v>
      </c>
    </row>
    <row r="497" spans="1:6">
      <c r="A497">
        <v>496</v>
      </c>
      <c r="B497" t="s">
        <v>3660</v>
      </c>
      <c r="D497" t="s">
        <v>4160</v>
      </c>
      <c r="E497" t="s">
        <v>3219</v>
      </c>
      <c r="F497">
        <v>29.09</v>
      </c>
    </row>
    <row r="498" spans="1:6">
      <c r="A498">
        <v>497</v>
      </c>
      <c r="B498" t="s">
        <v>3660</v>
      </c>
      <c r="D498" t="s">
        <v>4161</v>
      </c>
      <c r="E498" t="s">
        <v>3219</v>
      </c>
      <c r="F498">
        <v>29.09</v>
      </c>
    </row>
    <row r="499" spans="1:6">
      <c r="A499">
        <v>498</v>
      </c>
      <c r="B499" t="s">
        <v>3660</v>
      </c>
      <c r="D499" t="s">
        <v>4162</v>
      </c>
      <c r="E499" t="s">
        <v>3219</v>
      </c>
      <c r="F499">
        <v>29.09</v>
      </c>
    </row>
    <row r="500" spans="1:6">
      <c r="A500">
        <v>499</v>
      </c>
      <c r="B500" t="s">
        <v>3660</v>
      </c>
      <c r="D500" t="s">
        <v>4163</v>
      </c>
      <c r="E500" t="s">
        <v>3219</v>
      </c>
      <c r="F500">
        <v>29.09</v>
      </c>
    </row>
    <row r="501" spans="1:6">
      <c r="A501">
        <v>500</v>
      </c>
      <c r="B501" t="s">
        <v>3660</v>
      </c>
      <c r="D501" t="s">
        <v>4164</v>
      </c>
      <c r="E501" t="s">
        <v>3219</v>
      </c>
      <c r="F501">
        <v>29.09</v>
      </c>
    </row>
    <row r="502" spans="1:6">
      <c r="A502">
        <v>501</v>
      </c>
      <c r="B502" t="s">
        <v>3660</v>
      </c>
      <c r="D502" t="s">
        <v>4165</v>
      </c>
      <c r="E502" t="s">
        <v>3219</v>
      </c>
      <c r="F502">
        <v>29.09</v>
      </c>
    </row>
    <row r="503" spans="1:6">
      <c r="A503">
        <v>502</v>
      </c>
      <c r="B503" t="s">
        <v>3660</v>
      </c>
      <c r="D503" t="s">
        <v>4166</v>
      </c>
      <c r="E503" t="s">
        <v>3219</v>
      </c>
      <c r="F503">
        <v>29.09</v>
      </c>
    </row>
    <row r="504" spans="1:6">
      <c r="A504">
        <v>503</v>
      </c>
      <c r="B504" t="s">
        <v>3660</v>
      </c>
      <c r="D504" t="s">
        <v>4167</v>
      </c>
      <c r="E504" t="s">
        <v>3219</v>
      </c>
      <c r="F504">
        <v>29.09</v>
      </c>
    </row>
    <row r="505" spans="1:6">
      <c r="A505">
        <v>504</v>
      </c>
      <c r="B505" t="s">
        <v>3660</v>
      </c>
      <c r="D505" t="s">
        <v>4168</v>
      </c>
      <c r="E505" t="s">
        <v>3219</v>
      </c>
      <c r="F505">
        <v>29.09</v>
      </c>
    </row>
    <row r="506" spans="1:6">
      <c r="A506">
        <v>505</v>
      </c>
      <c r="B506" t="s">
        <v>3660</v>
      </c>
      <c r="D506" t="s">
        <v>4169</v>
      </c>
      <c r="E506" t="s">
        <v>3219</v>
      </c>
      <c r="F506">
        <v>29.09</v>
      </c>
    </row>
    <row r="507" spans="1:6">
      <c r="A507">
        <v>506</v>
      </c>
      <c r="B507" t="s">
        <v>3660</v>
      </c>
      <c r="D507" t="s">
        <v>4170</v>
      </c>
      <c r="E507" t="s">
        <v>3219</v>
      </c>
      <c r="F507">
        <v>29.09</v>
      </c>
    </row>
    <row r="508" spans="1:6">
      <c r="A508">
        <v>507</v>
      </c>
      <c r="B508" t="s">
        <v>3660</v>
      </c>
      <c r="D508" t="s">
        <v>4171</v>
      </c>
      <c r="E508" t="s">
        <v>3219</v>
      </c>
      <c r="F508">
        <v>29.09</v>
      </c>
    </row>
    <row r="509" spans="1:6">
      <c r="A509">
        <v>508</v>
      </c>
      <c r="B509" t="s">
        <v>3660</v>
      </c>
      <c r="D509" t="s">
        <v>4172</v>
      </c>
      <c r="E509" t="s">
        <v>3219</v>
      </c>
      <c r="F509">
        <v>29.09</v>
      </c>
    </row>
    <row r="510" spans="1:6">
      <c r="A510">
        <v>509</v>
      </c>
      <c r="B510" t="s">
        <v>3660</v>
      </c>
      <c r="D510" t="s">
        <v>4173</v>
      </c>
      <c r="E510" t="s">
        <v>3219</v>
      </c>
      <c r="F510">
        <v>29.09</v>
      </c>
    </row>
    <row r="511" spans="1:6">
      <c r="A511">
        <v>510</v>
      </c>
      <c r="B511" t="s">
        <v>3660</v>
      </c>
      <c r="D511" t="s">
        <v>4174</v>
      </c>
      <c r="E511" t="s">
        <v>3219</v>
      </c>
      <c r="F511">
        <v>29.09</v>
      </c>
    </row>
    <row r="512" spans="1:6">
      <c r="A512">
        <v>511</v>
      </c>
      <c r="B512" t="s">
        <v>3660</v>
      </c>
      <c r="D512" t="s">
        <v>4175</v>
      </c>
      <c r="E512" t="s">
        <v>3219</v>
      </c>
      <c r="F512">
        <v>29.09</v>
      </c>
    </row>
    <row r="513" spans="1:6">
      <c r="A513">
        <v>512</v>
      </c>
      <c r="B513" t="s">
        <v>3660</v>
      </c>
      <c r="D513" t="s">
        <v>4176</v>
      </c>
      <c r="E513" t="s">
        <v>3219</v>
      </c>
      <c r="F513">
        <v>29.09</v>
      </c>
    </row>
    <row r="514" spans="1:6">
      <c r="A514">
        <v>513</v>
      </c>
      <c r="B514" t="s">
        <v>3660</v>
      </c>
      <c r="D514" t="s">
        <v>4177</v>
      </c>
      <c r="E514" t="s">
        <v>3219</v>
      </c>
      <c r="F514">
        <v>29.09</v>
      </c>
    </row>
    <row r="515" spans="1:6">
      <c r="A515">
        <v>514</v>
      </c>
      <c r="B515" t="s">
        <v>3660</v>
      </c>
      <c r="D515" t="s">
        <v>4178</v>
      </c>
      <c r="E515" t="s">
        <v>3219</v>
      </c>
      <c r="F515">
        <v>29.09</v>
      </c>
    </row>
    <row r="516" spans="1:6">
      <c r="A516">
        <v>515</v>
      </c>
      <c r="B516" t="s">
        <v>3660</v>
      </c>
      <c r="D516" t="s">
        <v>4179</v>
      </c>
      <c r="E516" t="s">
        <v>3219</v>
      </c>
      <c r="F516">
        <v>29.09</v>
      </c>
    </row>
    <row r="517" spans="1:6">
      <c r="A517">
        <v>516</v>
      </c>
      <c r="B517" t="s">
        <v>3660</v>
      </c>
      <c r="D517" t="s">
        <v>4180</v>
      </c>
      <c r="E517" t="s">
        <v>3219</v>
      </c>
      <c r="F517">
        <v>29.09</v>
      </c>
    </row>
    <row r="518" spans="1:6">
      <c r="A518">
        <v>517</v>
      </c>
      <c r="B518" t="s">
        <v>3660</v>
      </c>
      <c r="D518" t="s">
        <v>4181</v>
      </c>
      <c r="E518" t="s">
        <v>3219</v>
      </c>
      <c r="F518">
        <v>25.02</v>
      </c>
    </row>
    <row r="519" spans="1:6">
      <c r="A519">
        <v>518</v>
      </c>
      <c r="B519" t="s">
        <v>3660</v>
      </c>
      <c r="D519" t="s">
        <v>4182</v>
      </c>
      <c r="E519" t="s">
        <v>3219</v>
      </c>
      <c r="F519">
        <v>25.02</v>
      </c>
    </row>
    <row r="520" spans="1:6">
      <c r="A520">
        <v>519</v>
      </c>
      <c r="B520" t="s">
        <v>3660</v>
      </c>
      <c r="D520" t="s">
        <v>4183</v>
      </c>
      <c r="E520" t="s">
        <v>3219</v>
      </c>
      <c r="F520">
        <v>25.02</v>
      </c>
    </row>
    <row r="521" spans="1:6">
      <c r="A521">
        <v>520</v>
      </c>
      <c r="B521" t="s">
        <v>3660</v>
      </c>
      <c r="D521" t="s">
        <v>4184</v>
      </c>
      <c r="E521" t="s">
        <v>3219</v>
      </c>
      <c r="F521">
        <v>25.02</v>
      </c>
    </row>
    <row r="522" spans="1:6">
      <c r="A522">
        <v>521</v>
      </c>
      <c r="B522" t="s">
        <v>3660</v>
      </c>
      <c r="D522" t="s">
        <v>4185</v>
      </c>
      <c r="E522" t="s">
        <v>3219</v>
      </c>
      <c r="F522">
        <v>25.02</v>
      </c>
    </row>
    <row r="523" spans="1:6">
      <c r="A523">
        <v>522</v>
      </c>
      <c r="B523" t="s">
        <v>3660</v>
      </c>
      <c r="D523" t="s">
        <v>4186</v>
      </c>
      <c r="E523" t="s">
        <v>3219</v>
      </c>
      <c r="F523">
        <v>25.02</v>
      </c>
    </row>
    <row r="524" spans="1:6">
      <c r="A524">
        <v>523</v>
      </c>
      <c r="B524" t="s">
        <v>3660</v>
      </c>
      <c r="D524" t="s">
        <v>4187</v>
      </c>
      <c r="E524" t="s">
        <v>3219</v>
      </c>
      <c r="F524">
        <v>25.02</v>
      </c>
    </row>
    <row r="525" spans="1:6">
      <c r="A525">
        <v>524</v>
      </c>
      <c r="B525" t="s">
        <v>3660</v>
      </c>
      <c r="D525" t="s">
        <v>4188</v>
      </c>
      <c r="E525" t="s">
        <v>3219</v>
      </c>
      <c r="F525">
        <v>25.02</v>
      </c>
    </row>
    <row r="526" spans="1:6">
      <c r="A526">
        <v>525</v>
      </c>
      <c r="B526" t="s">
        <v>3660</v>
      </c>
      <c r="D526" t="s">
        <v>4189</v>
      </c>
      <c r="E526" t="s">
        <v>3219</v>
      </c>
      <c r="F526">
        <v>25.02</v>
      </c>
    </row>
    <row r="527" spans="1:6">
      <c r="A527">
        <v>526</v>
      </c>
      <c r="B527" t="s">
        <v>3660</v>
      </c>
      <c r="D527" t="s">
        <v>4190</v>
      </c>
      <c r="E527" t="s">
        <v>3219</v>
      </c>
      <c r="F527">
        <v>25.02</v>
      </c>
    </row>
    <row r="528" spans="1:6">
      <c r="A528">
        <v>527</v>
      </c>
      <c r="B528" t="s">
        <v>3660</v>
      </c>
      <c r="D528" t="s">
        <v>4191</v>
      </c>
      <c r="E528" t="s">
        <v>3219</v>
      </c>
      <c r="F528">
        <v>25.02</v>
      </c>
    </row>
    <row r="529" spans="1:6">
      <c r="A529">
        <v>528</v>
      </c>
      <c r="B529" t="s">
        <v>3660</v>
      </c>
      <c r="D529" t="s">
        <v>4192</v>
      </c>
      <c r="E529" t="s">
        <v>3219</v>
      </c>
      <c r="F529">
        <v>25.02</v>
      </c>
    </row>
    <row r="530" spans="1:6">
      <c r="A530">
        <v>529</v>
      </c>
      <c r="B530" t="s">
        <v>3660</v>
      </c>
      <c r="D530" t="s">
        <v>4193</v>
      </c>
      <c r="E530" t="s">
        <v>3219</v>
      </c>
      <c r="F530">
        <v>29.09</v>
      </c>
    </row>
    <row r="531" spans="1:6">
      <c r="A531">
        <v>530</v>
      </c>
      <c r="B531" t="s">
        <v>3660</v>
      </c>
      <c r="D531" t="s">
        <v>4194</v>
      </c>
      <c r="E531" t="s">
        <v>3219</v>
      </c>
      <c r="F531">
        <v>29.09</v>
      </c>
    </row>
    <row r="532" spans="1:6">
      <c r="A532">
        <v>531</v>
      </c>
      <c r="B532" t="s">
        <v>3660</v>
      </c>
      <c r="D532" t="s">
        <v>4195</v>
      </c>
      <c r="E532" t="s">
        <v>3219</v>
      </c>
      <c r="F532">
        <v>29.09</v>
      </c>
    </row>
    <row r="533" spans="1:6">
      <c r="A533">
        <v>532</v>
      </c>
      <c r="B533" t="s">
        <v>3660</v>
      </c>
      <c r="D533" t="s">
        <v>4196</v>
      </c>
      <c r="E533" t="s">
        <v>3219</v>
      </c>
      <c r="F533">
        <v>29.09</v>
      </c>
    </row>
    <row r="534" spans="1:6">
      <c r="A534">
        <v>533</v>
      </c>
      <c r="B534" t="s">
        <v>3660</v>
      </c>
      <c r="D534" t="s">
        <v>4197</v>
      </c>
      <c r="E534" t="s">
        <v>3219</v>
      </c>
      <c r="F534">
        <v>29.09</v>
      </c>
    </row>
    <row r="535" spans="1:6">
      <c r="A535">
        <v>534</v>
      </c>
      <c r="B535" t="s">
        <v>3660</v>
      </c>
      <c r="D535" t="s">
        <v>4198</v>
      </c>
      <c r="E535" t="s">
        <v>3219</v>
      </c>
      <c r="F535">
        <v>29.09</v>
      </c>
    </row>
    <row r="536" spans="1:6">
      <c r="A536">
        <v>535</v>
      </c>
      <c r="B536" t="s">
        <v>3660</v>
      </c>
      <c r="D536" t="s">
        <v>4199</v>
      </c>
      <c r="E536" t="s">
        <v>3219</v>
      </c>
      <c r="F536">
        <v>29.09</v>
      </c>
    </row>
    <row r="537" spans="1:6">
      <c r="A537">
        <v>536</v>
      </c>
      <c r="B537" t="s">
        <v>3660</v>
      </c>
      <c r="D537" t="s">
        <v>4200</v>
      </c>
      <c r="E537" t="s">
        <v>3219</v>
      </c>
      <c r="F537">
        <v>29.09</v>
      </c>
    </row>
    <row r="538" spans="1:6">
      <c r="A538">
        <v>537</v>
      </c>
      <c r="B538" t="s">
        <v>3660</v>
      </c>
      <c r="D538" t="s">
        <v>4201</v>
      </c>
      <c r="E538" t="s">
        <v>3219</v>
      </c>
      <c r="F538">
        <v>29.09</v>
      </c>
    </row>
    <row r="539" spans="1:6">
      <c r="A539">
        <v>538</v>
      </c>
      <c r="B539" t="s">
        <v>3660</v>
      </c>
      <c r="D539" t="s">
        <v>4202</v>
      </c>
      <c r="E539" t="s">
        <v>3219</v>
      </c>
      <c r="F539">
        <v>29.09</v>
      </c>
    </row>
    <row r="540" spans="1:6">
      <c r="A540">
        <v>539</v>
      </c>
      <c r="B540" t="s">
        <v>3660</v>
      </c>
      <c r="D540" t="s">
        <v>4203</v>
      </c>
      <c r="E540" t="s">
        <v>3219</v>
      </c>
      <c r="F540">
        <v>29.09</v>
      </c>
    </row>
    <row r="541" spans="1:6">
      <c r="A541">
        <v>540</v>
      </c>
      <c r="B541" t="s">
        <v>3660</v>
      </c>
      <c r="D541" t="s">
        <v>4204</v>
      </c>
      <c r="E541" t="s">
        <v>3219</v>
      </c>
      <c r="F541">
        <v>29.09</v>
      </c>
    </row>
    <row r="542" spans="1:6">
      <c r="A542">
        <v>541</v>
      </c>
      <c r="B542" t="s">
        <v>3660</v>
      </c>
      <c r="D542" t="s">
        <v>4205</v>
      </c>
      <c r="E542" t="s">
        <v>3219</v>
      </c>
      <c r="F542">
        <v>29.09</v>
      </c>
    </row>
    <row r="543" spans="1:6">
      <c r="A543">
        <v>542</v>
      </c>
      <c r="B543" t="s">
        <v>3660</v>
      </c>
      <c r="D543" t="s">
        <v>4206</v>
      </c>
      <c r="E543" t="s">
        <v>3219</v>
      </c>
      <c r="F543">
        <v>29.09</v>
      </c>
    </row>
    <row r="544" spans="1:6">
      <c r="A544">
        <v>543</v>
      </c>
      <c r="B544" t="s">
        <v>3660</v>
      </c>
      <c r="D544" t="s">
        <v>4207</v>
      </c>
      <c r="E544" t="s">
        <v>3219</v>
      </c>
      <c r="F544">
        <v>29.09</v>
      </c>
    </row>
    <row r="545" spans="1:6">
      <c r="A545">
        <v>544</v>
      </c>
      <c r="B545" t="s">
        <v>3660</v>
      </c>
      <c r="D545" t="s">
        <v>4208</v>
      </c>
      <c r="E545" t="s">
        <v>3219</v>
      </c>
      <c r="F545">
        <v>29.09</v>
      </c>
    </row>
    <row r="546" spans="1:6">
      <c r="A546">
        <v>545</v>
      </c>
      <c r="B546" t="s">
        <v>3660</v>
      </c>
      <c r="D546" t="s">
        <v>4209</v>
      </c>
      <c r="E546" t="s">
        <v>3219</v>
      </c>
      <c r="F546">
        <v>29.09</v>
      </c>
    </row>
    <row r="547" spans="1:6">
      <c r="A547">
        <v>546</v>
      </c>
      <c r="B547" t="s">
        <v>3660</v>
      </c>
      <c r="D547" t="s">
        <v>4210</v>
      </c>
      <c r="E547" t="s">
        <v>3219</v>
      </c>
      <c r="F547">
        <v>29.09</v>
      </c>
    </row>
    <row r="548" spans="1:6">
      <c r="A548">
        <v>547</v>
      </c>
      <c r="B548" t="s">
        <v>3660</v>
      </c>
      <c r="D548" t="s">
        <v>4211</v>
      </c>
      <c r="E548" t="s">
        <v>3219</v>
      </c>
      <c r="F548">
        <v>29.09</v>
      </c>
    </row>
    <row r="549" spans="1:6">
      <c r="A549">
        <v>548</v>
      </c>
      <c r="B549" t="s">
        <v>3660</v>
      </c>
      <c r="D549" t="s">
        <v>4212</v>
      </c>
      <c r="E549" t="s">
        <v>3219</v>
      </c>
      <c r="F549">
        <v>29.09</v>
      </c>
    </row>
    <row r="550" spans="1:6">
      <c r="A550">
        <v>549</v>
      </c>
      <c r="B550" t="s">
        <v>3660</v>
      </c>
      <c r="D550" t="s">
        <v>4213</v>
      </c>
      <c r="E550" t="s">
        <v>3219</v>
      </c>
      <c r="F550">
        <v>29.09</v>
      </c>
    </row>
    <row r="551" spans="1:6">
      <c r="A551">
        <v>550</v>
      </c>
      <c r="B551" t="s">
        <v>3660</v>
      </c>
      <c r="D551" t="s">
        <v>4214</v>
      </c>
      <c r="E551" t="s">
        <v>3219</v>
      </c>
      <c r="F551">
        <v>29.09</v>
      </c>
    </row>
    <row r="552" spans="1:6">
      <c r="A552">
        <v>551</v>
      </c>
      <c r="B552" t="s">
        <v>3660</v>
      </c>
      <c r="D552" t="s">
        <v>4215</v>
      </c>
      <c r="E552" t="s">
        <v>3219</v>
      </c>
      <c r="F552">
        <v>29.09</v>
      </c>
    </row>
    <row r="553" spans="1:6">
      <c r="A553">
        <v>552</v>
      </c>
      <c r="B553" t="s">
        <v>3660</v>
      </c>
      <c r="D553" t="s">
        <v>4216</v>
      </c>
      <c r="E553" t="s">
        <v>3219</v>
      </c>
      <c r="F553">
        <v>29.09</v>
      </c>
    </row>
    <row r="554" spans="1:6">
      <c r="A554">
        <v>553</v>
      </c>
      <c r="B554" t="s">
        <v>3660</v>
      </c>
      <c r="D554" t="s">
        <v>4217</v>
      </c>
      <c r="E554" t="s">
        <v>3219</v>
      </c>
      <c r="F554">
        <v>29.09</v>
      </c>
    </row>
    <row r="555" spans="1:6">
      <c r="A555">
        <v>554</v>
      </c>
      <c r="B555" t="s">
        <v>3660</v>
      </c>
      <c r="D555" t="s">
        <v>4218</v>
      </c>
      <c r="E555" t="s">
        <v>3219</v>
      </c>
      <c r="F555">
        <v>29.09</v>
      </c>
    </row>
    <row r="556" spans="1:6">
      <c r="A556">
        <v>555</v>
      </c>
      <c r="B556" t="s">
        <v>3660</v>
      </c>
      <c r="D556" t="s">
        <v>4219</v>
      </c>
      <c r="E556" t="s">
        <v>3219</v>
      </c>
      <c r="F556">
        <v>29.09</v>
      </c>
    </row>
    <row r="557" spans="1:6">
      <c r="A557">
        <v>556</v>
      </c>
      <c r="B557" t="s">
        <v>3660</v>
      </c>
      <c r="D557" t="s">
        <v>4220</v>
      </c>
      <c r="E557" t="s">
        <v>3219</v>
      </c>
      <c r="F557">
        <v>29.09</v>
      </c>
    </row>
    <row r="558" spans="1:6">
      <c r="A558">
        <v>557</v>
      </c>
      <c r="B558" t="s">
        <v>3660</v>
      </c>
      <c r="D558" t="s">
        <v>4221</v>
      </c>
      <c r="E558" t="s">
        <v>3219</v>
      </c>
      <c r="F558">
        <v>29.09</v>
      </c>
    </row>
    <row r="559" spans="1:6">
      <c r="A559">
        <v>558</v>
      </c>
      <c r="B559" t="s">
        <v>3660</v>
      </c>
      <c r="D559" t="s">
        <v>4222</v>
      </c>
      <c r="E559" t="s">
        <v>3219</v>
      </c>
      <c r="F559">
        <v>29.09</v>
      </c>
    </row>
    <row r="560" spans="1:6">
      <c r="A560">
        <v>559</v>
      </c>
      <c r="B560" t="s">
        <v>3660</v>
      </c>
      <c r="D560" t="s">
        <v>4223</v>
      </c>
      <c r="E560" t="s">
        <v>3219</v>
      </c>
      <c r="F560">
        <v>29.09</v>
      </c>
    </row>
    <row r="561" spans="1:6">
      <c r="A561">
        <v>560</v>
      </c>
      <c r="B561" t="s">
        <v>3660</v>
      </c>
      <c r="D561" t="s">
        <v>4224</v>
      </c>
      <c r="E561" t="s">
        <v>3219</v>
      </c>
      <c r="F561">
        <v>29.09</v>
      </c>
    </row>
    <row r="562" spans="1:6">
      <c r="A562">
        <v>561</v>
      </c>
      <c r="B562" t="s">
        <v>3660</v>
      </c>
      <c r="D562" t="s">
        <v>4225</v>
      </c>
      <c r="E562" t="s">
        <v>3219</v>
      </c>
      <c r="F562">
        <v>29.09</v>
      </c>
    </row>
    <row r="563" spans="1:6">
      <c r="A563">
        <v>562</v>
      </c>
      <c r="B563" t="s">
        <v>3660</v>
      </c>
      <c r="D563" t="s">
        <v>4226</v>
      </c>
      <c r="E563" t="s">
        <v>3219</v>
      </c>
      <c r="F563">
        <v>29.09</v>
      </c>
    </row>
    <row r="564" spans="1:6">
      <c r="A564">
        <v>563</v>
      </c>
      <c r="B564" t="s">
        <v>3660</v>
      </c>
      <c r="D564" t="s">
        <v>4227</v>
      </c>
      <c r="E564" t="s">
        <v>3219</v>
      </c>
      <c r="F564">
        <v>29.09</v>
      </c>
    </row>
    <row r="565" spans="1:6">
      <c r="A565">
        <v>564</v>
      </c>
      <c r="B565" t="s">
        <v>3660</v>
      </c>
      <c r="D565" t="s">
        <v>4228</v>
      </c>
      <c r="E565" t="s">
        <v>3219</v>
      </c>
      <c r="F565">
        <v>29.09</v>
      </c>
    </row>
    <row r="566" spans="1:6">
      <c r="A566">
        <v>565</v>
      </c>
      <c r="B566" t="s">
        <v>3660</v>
      </c>
      <c r="D566" t="s">
        <v>4229</v>
      </c>
      <c r="E566" t="s">
        <v>3219</v>
      </c>
      <c r="F566">
        <v>29.09</v>
      </c>
    </row>
    <row r="567" spans="1:6">
      <c r="A567">
        <v>566</v>
      </c>
      <c r="B567" t="s">
        <v>3660</v>
      </c>
      <c r="D567" t="s">
        <v>4230</v>
      </c>
      <c r="E567" t="s">
        <v>3219</v>
      </c>
      <c r="F567">
        <v>29.09</v>
      </c>
    </row>
    <row r="568" spans="1:6">
      <c r="A568">
        <v>567</v>
      </c>
      <c r="B568" t="s">
        <v>3660</v>
      </c>
      <c r="D568" t="s">
        <v>4231</v>
      </c>
      <c r="E568" t="s">
        <v>3219</v>
      </c>
      <c r="F568">
        <v>29.09</v>
      </c>
    </row>
    <row r="569" spans="1:6">
      <c r="A569">
        <v>568</v>
      </c>
      <c r="B569" t="s">
        <v>3660</v>
      </c>
      <c r="D569" t="s">
        <v>4232</v>
      </c>
      <c r="E569" t="s">
        <v>3219</v>
      </c>
      <c r="F569">
        <v>29.09</v>
      </c>
    </row>
    <row r="570" spans="1:6">
      <c r="A570">
        <v>569</v>
      </c>
      <c r="B570" t="s">
        <v>3660</v>
      </c>
      <c r="D570" t="s">
        <v>4233</v>
      </c>
      <c r="E570" t="s">
        <v>3219</v>
      </c>
      <c r="F570">
        <v>29.09</v>
      </c>
    </row>
    <row r="571" spans="1:6">
      <c r="A571">
        <v>570</v>
      </c>
      <c r="B571" t="s">
        <v>3660</v>
      </c>
      <c r="D571" t="s">
        <v>4234</v>
      </c>
      <c r="E571" t="s">
        <v>3219</v>
      </c>
      <c r="F571">
        <v>29.09</v>
      </c>
    </row>
    <row r="572" spans="1:6">
      <c r="A572">
        <v>571</v>
      </c>
      <c r="B572" t="s">
        <v>3660</v>
      </c>
      <c r="D572" t="s">
        <v>4235</v>
      </c>
      <c r="E572" t="s">
        <v>3219</v>
      </c>
      <c r="F572">
        <v>29.09</v>
      </c>
    </row>
    <row r="573" spans="1:6">
      <c r="A573">
        <v>572</v>
      </c>
      <c r="B573" t="s">
        <v>3660</v>
      </c>
      <c r="D573" t="s">
        <v>4236</v>
      </c>
      <c r="E573" t="s">
        <v>3219</v>
      </c>
      <c r="F573">
        <v>29.09</v>
      </c>
    </row>
    <row r="574" spans="1:6">
      <c r="A574">
        <v>573</v>
      </c>
      <c r="B574" t="s">
        <v>3660</v>
      </c>
      <c r="D574" t="s">
        <v>4237</v>
      </c>
      <c r="E574" t="s">
        <v>3219</v>
      </c>
      <c r="F574">
        <v>29.09</v>
      </c>
    </row>
    <row r="575" spans="1:6">
      <c r="A575">
        <v>574</v>
      </c>
      <c r="B575" t="s">
        <v>3660</v>
      </c>
      <c r="D575" t="s">
        <v>4238</v>
      </c>
      <c r="E575" t="s">
        <v>3219</v>
      </c>
      <c r="F575">
        <v>29.09</v>
      </c>
    </row>
    <row r="576" spans="1:6">
      <c r="A576">
        <v>575</v>
      </c>
      <c r="B576" t="s">
        <v>3660</v>
      </c>
      <c r="D576" t="s">
        <v>4239</v>
      </c>
      <c r="E576" t="s">
        <v>3219</v>
      </c>
      <c r="F576">
        <v>29.09</v>
      </c>
    </row>
    <row r="577" spans="1:6">
      <c r="A577">
        <v>576</v>
      </c>
      <c r="B577" t="s">
        <v>3660</v>
      </c>
      <c r="D577" t="s">
        <v>4240</v>
      </c>
      <c r="E577" t="s">
        <v>3219</v>
      </c>
      <c r="F577">
        <v>29.09</v>
      </c>
    </row>
    <row r="578" spans="1:6">
      <c r="A578">
        <v>577</v>
      </c>
      <c r="B578" t="s">
        <v>3660</v>
      </c>
      <c r="D578" t="s">
        <v>4241</v>
      </c>
      <c r="E578" t="s">
        <v>3219</v>
      </c>
      <c r="F578">
        <v>29.09</v>
      </c>
    </row>
    <row r="579" spans="1:6">
      <c r="A579">
        <v>578</v>
      </c>
      <c r="B579" t="s">
        <v>3660</v>
      </c>
      <c r="D579" t="s">
        <v>4242</v>
      </c>
      <c r="E579" t="s">
        <v>3219</v>
      </c>
      <c r="F579">
        <v>29.09</v>
      </c>
    </row>
    <row r="580" spans="1:6">
      <c r="A580">
        <v>579</v>
      </c>
      <c r="B580" t="s">
        <v>3660</v>
      </c>
      <c r="D580" t="s">
        <v>4243</v>
      </c>
      <c r="E580" t="s">
        <v>3219</v>
      </c>
      <c r="F580">
        <v>29.09</v>
      </c>
    </row>
    <row r="581" spans="1:6">
      <c r="A581">
        <v>580</v>
      </c>
      <c r="B581" t="s">
        <v>3660</v>
      </c>
      <c r="D581" t="s">
        <v>4244</v>
      </c>
      <c r="E581" t="s">
        <v>3219</v>
      </c>
      <c r="F581">
        <v>29.09</v>
      </c>
    </row>
    <row r="582" spans="1:6">
      <c r="A582">
        <v>581</v>
      </c>
      <c r="B582" t="s">
        <v>3660</v>
      </c>
      <c r="D582" t="s">
        <v>4245</v>
      </c>
      <c r="E582" t="s">
        <v>3219</v>
      </c>
      <c r="F582">
        <v>29.09</v>
      </c>
    </row>
    <row r="583" spans="1:6">
      <c r="A583">
        <v>582</v>
      </c>
      <c r="B583" t="s">
        <v>3660</v>
      </c>
      <c r="D583" t="s">
        <v>4246</v>
      </c>
      <c r="E583" t="s">
        <v>3219</v>
      </c>
      <c r="F583">
        <v>29.09</v>
      </c>
    </row>
    <row r="584" spans="1:6">
      <c r="A584">
        <v>583</v>
      </c>
      <c r="B584" t="s">
        <v>3660</v>
      </c>
      <c r="D584" t="s">
        <v>4247</v>
      </c>
      <c r="E584" t="s">
        <v>3219</v>
      </c>
      <c r="F584">
        <v>29.09</v>
      </c>
    </row>
    <row r="585" spans="1:6">
      <c r="A585">
        <v>584</v>
      </c>
      <c r="B585" t="s">
        <v>3660</v>
      </c>
      <c r="D585" t="s">
        <v>4248</v>
      </c>
      <c r="E585" t="s">
        <v>3219</v>
      </c>
      <c r="F585">
        <v>29.09</v>
      </c>
    </row>
    <row r="586" spans="1:6">
      <c r="A586">
        <v>585</v>
      </c>
      <c r="B586" t="s">
        <v>3660</v>
      </c>
      <c r="D586" t="s">
        <v>4249</v>
      </c>
      <c r="E586" t="s">
        <v>3219</v>
      </c>
      <c r="F586">
        <v>29.09</v>
      </c>
    </row>
    <row r="587" spans="1:6">
      <c r="A587">
        <v>586</v>
      </c>
      <c r="B587" t="s">
        <v>3660</v>
      </c>
      <c r="D587" t="s">
        <v>4250</v>
      </c>
      <c r="E587" t="s">
        <v>3219</v>
      </c>
      <c r="F587">
        <v>29.09</v>
      </c>
    </row>
    <row r="588" spans="1:6">
      <c r="A588">
        <v>587</v>
      </c>
      <c r="B588" t="s">
        <v>3660</v>
      </c>
      <c r="D588" t="s">
        <v>4251</v>
      </c>
      <c r="E588" t="s">
        <v>3219</v>
      </c>
      <c r="F588">
        <v>29.09</v>
      </c>
    </row>
    <row r="589" spans="1:6">
      <c r="A589">
        <v>588</v>
      </c>
      <c r="B589" t="s">
        <v>3660</v>
      </c>
      <c r="D589" t="s">
        <v>4252</v>
      </c>
      <c r="E589" t="s">
        <v>3219</v>
      </c>
      <c r="F589">
        <v>29.09</v>
      </c>
    </row>
    <row r="590" spans="1:6">
      <c r="A590">
        <v>589</v>
      </c>
      <c r="B590" t="s">
        <v>3660</v>
      </c>
      <c r="D590" t="s">
        <v>4253</v>
      </c>
      <c r="E590" t="s">
        <v>3219</v>
      </c>
      <c r="F590">
        <v>29.09</v>
      </c>
    </row>
    <row r="591" spans="1:6">
      <c r="A591">
        <v>590</v>
      </c>
      <c r="B591" t="s">
        <v>3660</v>
      </c>
      <c r="D591" t="s">
        <v>4254</v>
      </c>
      <c r="E591" t="s">
        <v>3219</v>
      </c>
      <c r="F591">
        <v>29.09</v>
      </c>
    </row>
    <row r="592" spans="1:6">
      <c r="A592">
        <v>591</v>
      </c>
      <c r="B592" t="s">
        <v>3660</v>
      </c>
      <c r="D592" t="s">
        <v>4255</v>
      </c>
      <c r="E592" t="s">
        <v>3219</v>
      </c>
      <c r="F592">
        <v>29.09</v>
      </c>
    </row>
    <row r="593" spans="1:6">
      <c r="A593">
        <v>592</v>
      </c>
      <c r="B593" t="s">
        <v>3660</v>
      </c>
      <c r="D593" t="s">
        <v>4256</v>
      </c>
      <c r="E593" t="s">
        <v>3219</v>
      </c>
      <c r="F593">
        <v>29.09</v>
      </c>
    </row>
    <row r="594" spans="1:6">
      <c r="A594">
        <v>593</v>
      </c>
      <c r="B594" t="s">
        <v>3660</v>
      </c>
      <c r="D594" t="s">
        <v>4257</v>
      </c>
      <c r="E594" t="s">
        <v>3219</v>
      </c>
      <c r="F594">
        <v>29.09</v>
      </c>
    </row>
    <row r="595" spans="1:6">
      <c r="A595">
        <v>594</v>
      </c>
      <c r="B595" t="s">
        <v>3660</v>
      </c>
      <c r="D595" t="s">
        <v>4258</v>
      </c>
      <c r="E595" t="s">
        <v>3219</v>
      </c>
      <c r="F595">
        <v>29.09</v>
      </c>
    </row>
    <row r="596" spans="1:6">
      <c r="A596">
        <v>595</v>
      </c>
      <c r="B596" t="s">
        <v>3660</v>
      </c>
      <c r="D596" t="s">
        <v>4259</v>
      </c>
      <c r="E596" t="s">
        <v>3219</v>
      </c>
      <c r="F596">
        <v>29.09</v>
      </c>
    </row>
    <row r="597" spans="1:6">
      <c r="A597">
        <v>596</v>
      </c>
      <c r="B597" t="s">
        <v>3660</v>
      </c>
      <c r="D597" t="s">
        <v>4260</v>
      </c>
      <c r="E597" t="s">
        <v>3219</v>
      </c>
      <c r="F597">
        <v>29.09</v>
      </c>
    </row>
    <row r="598" spans="1:6">
      <c r="A598">
        <v>597</v>
      </c>
      <c r="B598" t="s">
        <v>3660</v>
      </c>
      <c r="D598" t="s">
        <v>4261</v>
      </c>
      <c r="E598" t="s">
        <v>3219</v>
      </c>
      <c r="F598">
        <v>29.09</v>
      </c>
    </row>
    <row r="599" spans="1:6">
      <c r="A599">
        <v>598</v>
      </c>
      <c r="B599" t="s">
        <v>3660</v>
      </c>
      <c r="D599" t="s">
        <v>4262</v>
      </c>
      <c r="E599" t="s">
        <v>3219</v>
      </c>
      <c r="F599">
        <v>29.09</v>
      </c>
    </row>
    <row r="600" spans="1:6">
      <c r="A600">
        <v>599</v>
      </c>
      <c r="B600" t="s">
        <v>3660</v>
      </c>
      <c r="D600" t="s">
        <v>4263</v>
      </c>
      <c r="E600" t="s">
        <v>3219</v>
      </c>
      <c r="F600">
        <v>29.09</v>
      </c>
    </row>
    <row r="601" spans="1:6">
      <c r="A601">
        <v>600</v>
      </c>
      <c r="B601" t="s">
        <v>3660</v>
      </c>
      <c r="D601" t="s">
        <v>4264</v>
      </c>
      <c r="E601" t="s">
        <v>3219</v>
      </c>
      <c r="F601">
        <v>29.09</v>
      </c>
    </row>
    <row r="602" spans="1:6">
      <c r="A602">
        <v>601</v>
      </c>
      <c r="B602" t="s">
        <v>3660</v>
      </c>
      <c r="D602" t="s">
        <v>4265</v>
      </c>
      <c r="E602" t="s">
        <v>3219</v>
      </c>
      <c r="F602">
        <v>29.09</v>
      </c>
    </row>
    <row r="603" spans="1:6">
      <c r="A603">
        <v>602</v>
      </c>
      <c r="B603" t="s">
        <v>3660</v>
      </c>
      <c r="D603" t="s">
        <v>4266</v>
      </c>
      <c r="E603" t="s">
        <v>3219</v>
      </c>
      <c r="F603">
        <v>29.09</v>
      </c>
    </row>
    <row r="604" spans="1:6">
      <c r="A604">
        <v>603</v>
      </c>
      <c r="B604" t="s">
        <v>3660</v>
      </c>
      <c r="D604" t="s">
        <v>4267</v>
      </c>
      <c r="E604" t="s">
        <v>3219</v>
      </c>
      <c r="F604">
        <v>29.09</v>
      </c>
    </row>
    <row r="605" spans="1:6">
      <c r="A605">
        <v>604</v>
      </c>
      <c r="B605" t="s">
        <v>3660</v>
      </c>
      <c r="D605" t="s">
        <v>4268</v>
      </c>
      <c r="E605" t="s">
        <v>3219</v>
      </c>
      <c r="F605">
        <v>29.09</v>
      </c>
    </row>
    <row r="606" spans="1:6">
      <c r="A606">
        <v>605</v>
      </c>
      <c r="B606" t="s">
        <v>3660</v>
      </c>
      <c r="D606" t="s">
        <v>4269</v>
      </c>
      <c r="E606" t="s">
        <v>3219</v>
      </c>
      <c r="F606">
        <v>29.09</v>
      </c>
    </row>
    <row r="607" spans="1:6">
      <c r="A607">
        <v>606</v>
      </c>
      <c r="B607" t="s">
        <v>3660</v>
      </c>
      <c r="D607" t="s">
        <v>4270</v>
      </c>
      <c r="E607" t="s">
        <v>3219</v>
      </c>
      <c r="F607">
        <v>29.09</v>
      </c>
    </row>
    <row r="608" spans="1:6">
      <c r="A608">
        <v>607</v>
      </c>
      <c r="B608" t="s">
        <v>3660</v>
      </c>
      <c r="D608" t="s">
        <v>4271</v>
      </c>
      <c r="E608" t="s">
        <v>3219</v>
      </c>
      <c r="F608">
        <v>29.09</v>
      </c>
    </row>
    <row r="609" spans="1:6">
      <c r="A609">
        <v>608</v>
      </c>
      <c r="B609" t="s">
        <v>3660</v>
      </c>
      <c r="D609" t="s">
        <v>4272</v>
      </c>
      <c r="E609" t="s">
        <v>3219</v>
      </c>
      <c r="F609">
        <v>29.09</v>
      </c>
    </row>
    <row r="610" spans="1:6">
      <c r="A610">
        <v>609</v>
      </c>
      <c r="B610" t="s">
        <v>3660</v>
      </c>
      <c r="D610" t="s">
        <v>4273</v>
      </c>
      <c r="E610" t="s">
        <v>3219</v>
      </c>
      <c r="F610">
        <v>29.09</v>
      </c>
    </row>
    <row r="611" spans="1:6">
      <c r="A611">
        <v>610</v>
      </c>
      <c r="B611" t="s">
        <v>3660</v>
      </c>
      <c r="D611" t="s">
        <v>4274</v>
      </c>
      <c r="E611" t="s">
        <v>3219</v>
      </c>
      <c r="F611">
        <v>29.09</v>
      </c>
    </row>
    <row r="612" spans="1:6">
      <c r="A612">
        <v>611</v>
      </c>
      <c r="B612" t="s">
        <v>3660</v>
      </c>
      <c r="D612" t="s">
        <v>4275</v>
      </c>
      <c r="E612" t="s">
        <v>3219</v>
      </c>
      <c r="F612">
        <v>29.09</v>
      </c>
    </row>
    <row r="613" spans="1:6">
      <c r="A613">
        <v>612</v>
      </c>
      <c r="B613" t="s">
        <v>3660</v>
      </c>
      <c r="D613" t="s">
        <v>4276</v>
      </c>
      <c r="E613" t="s">
        <v>3219</v>
      </c>
      <c r="F613">
        <v>29.09</v>
      </c>
    </row>
    <row r="614" spans="1:6">
      <c r="A614">
        <v>613</v>
      </c>
      <c r="B614" t="s">
        <v>3660</v>
      </c>
      <c r="D614" t="s">
        <v>4277</v>
      </c>
      <c r="E614" t="s">
        <v>3219</v>
      </c>
      <c r="F614">
        <v>29.09</v>
      </c>
    </row>
    <row r="615" spans="1:6">
      <c r="A615">
        <v>614</v>
      </c>
      <c r="B615" t="s">
        <v>3660</v>
      </c>
      <c r="D615" t="s">
        <v>4278</v>
      </c>
      <c r="E615" t="s">
        <v>3219</v>
      </c>
      <c r="F615">
        <v>29.09</v>
      </c>
    </row>
    <row r="616" spans="1:6">
      <c r="A616">
        <v>615</v>
      </c>
      <c r="B616" t="s">
        <v>3660</v>
      </c>
      <c r="D616" t="s">
        <v>4279</v>
      </c>
      <c r="E616" t="s">
        <v>3219</v>
      </c>
      <c r="F616">
        <v>29.09</v>
      </c>
    </row>
    <row r="617" spans="1:6">
      <c r="A617">
        <v>616</v>
      </c>
      <c r="B617" t="s">
        <v>3660</v>
      </c>
      <c r="D617" t="s">
        <v>4280</v>
      </c>
      <c r="E617" t="s">
        <v>3219</v>
      </c>
      <c r="F617">
        <v>29.09</v>
      </c>
    </row>
    <row r="618" spans="1:6">
      <c r="A618">
        <v>617</v>
      </c>
      <c r="B618" t="s">
        <v>3660</v>
      </c>
      <c r="D618" t="s">
        <v>4281</v>
      </c>
      <c r="E618" t="s">
        <v>3219</v>
      </c>
      <c r="F618">
        <v>29.09</v>
      </c>
    </row>
    <row r="619" spans="1:6">
      <c r="A619">
        <v>618</v>
      </c>
      <c r="B619" t="s">
        <v>3660</v>
      </c>
      <c r="D619" t="s">
        <v>4282</v>
      </c>
      <c r="E619" t="s">
        <v>3219</v>
      </c>
      <c r="F619">
        <v>29.09</v>
      </c>
    </row>
    <row r="620" spans="1:6">
      <c r="A620">
        <v>619</v>
      </c>
      <c r="B620" t="s">
        <v>3660</v>
      </c>
      <c r="D620" t="s">
        <v>4283</v>
      </c>
      <c r="E620" t="s">
        <v>3219</v>
      </c>
      <c r="F620">
        <v>29.09</v>
      </c>
    </row>
    <row r="621" spans="1:6">
      <c r="A621">
        <v>620</v>
      </c>
      <c r="B621" t="s">
        <v>3660</v>
      </c>
      <c r="D621" t="s">
        <v>4284</v>
      </c>
      <c r="E621" t="s">
        <v>3219</v>
      </c>
      <c r="F621">
        <v>29.09</v>
      </c>
    </row>
    <row r="622" spans="1:6">
      <c r="A622">
        <v>621</v>
      </c>
      <c r="B622" t="s">
        <v>3660</v>
      </c>
      <c r="D622" t="s">
        <v>4285</v>
      </c>
      <c r="E622" t="s">
        <v>3219</v>
      </c>
      <c r="F622">
        <v>29.09</v>
      </c>
    </row>
    <row r="623" spans="1:6">
      <c r="A623">
        <v>622</v>
      </c>
      <c r="B623" t="s">
        <v>3660</v>
      </c>
      <c r="D623" t="s">
        <v>4286</v>
      </c>
      <c r="E623" t="s">
        <v>3219</v>
      </c>
      <c r="F623">
        <v>29.09</v>
      </c>
    </row>
    <row r="624" spans="1:6">
      <c r="A624">
        <v>623</v>
      </c>
      <c r="B624" t="s">
        <v>3660</v>
      </c>
      <c r="D624" t="s">
        <v>4287</v>
      </c>
      <c r="E624" t="s">
        <v>3219</v>
      </c>
      <c r="F624">
        <v>29.09</v>
      </c>
    </row>
    <row r="625" spans="1:6">
      <c r="A625">
        <v>624</v>
      </c>
      <c r="B625" t="s">
        <v>3660</v>
      </c>
      <c r="D625" t="s">
        <v>4288</v>
      </c>
      <c r="E625" t="s">
        <v>3219</v>
      </c>
      <c r="F625">
        <v>29.09</v>
      </c>
    </row>
    <row r="626" spans="1:6">
      <c r="A626">
        <v>625</v>
      </c>
      <c r="B626" t="s">
        <v>3660</v>
      </c>
      <c r="D626" t="s">
        <v>4289</v>
      </c>
      <c r="E626" t="s">
        <v>3219</v>
      </c>
      <c r="F626">
        <v>29.09</v>
      </c>
    </row>
    <row r="627" spans="1:6">
      <c r="A627">
        <v>626</v>
      </c>
      <c r="B627" t="s">
        <v>3660</v>
      </c>
      <c r="D627" t="s">
        <v>4290</v>
      </c>
      <c r="E627" t="s">
        <v>3219</v>
      </c>
      <c r="F627">
        <v>29.09</v>
      </c>
    </row>
    <row r="628" spans="1:6">
      <c r="A628">
        <v>627</v>
      </c>
      <c r="B628" t="s">
        <v>3660</v>
      </c>
      <c r="D628" t="s">
        <v>4291</v>
      </c>
      <c r="E628" t="s">
        <v>3219</v>
      </c>
      <c r="F628">
        <v>29.09</v>
      </c>
    </row>
    <row r="629" spans="1:6">
      <c r="A629">
        <v>628</v>
      </c>
      <c r="B629" t="s">
        <v>3660</v>
      </c>
      <c r="D629" t="s">
        <v>4292</v>
      </c>
      <c r="E629" t="s">
        <v>3219</v>
      </c>
      <c r="F629">
        <v>29.09</v>
      </c>
    </row>
    <row r="630" spans="1:6">
      <c r="A630">
        <v>629</v>
      </c>
      <c r="B630" t="s">
        <v>3660</v>
      </c>
      <c r="D630" t="s">
        <v>4293</v>
      </c>
      <c r="E630" t="s">
        <v>3219</v>
      </c>
      <c r="F630">
        <v>29.09</v>
      </c>
    </row>
    <row r="631" spans="1:6">
      <c r="A631">
        <v>630</v>
      </c>
      <c r="B631" t="s">
        <v>3660</v>
      </c>
      <c r="D631" t="s">
        <v>4294</v>
      </c>
      <c r="E631" t="s">
        <v>3219</v>
      </c>
      <c r="F631">
        <v>29.09</v>
      </c>
    </row>
    <row r="632" spans="1:6">
      <c r="A632">
        <v>631</v>
      </c>
      <c r="B632" t="s">
        <v>3660</v>
      </c>
      <c r="D632" t="s">
        <v>4295</v>
      </c>
      <c r="E632" t="s">
        <v>3219</v>
      </c>
      <c r="F632">
        <v>29.09</v>
      </c>
    </row>
    <row r="633" spans="1:6">
      <c r="A633">
        <v>632</v>
      </c>
      <c r="B633" t="s">
        <v>3660</v>
      </c>
      <c r="D633" t="s">
        <v>4296</v>
      </c>
      <c r="E633" t="s">
        <v>3219</v>
      </c>
      <c r="F633">
        <v>29.09</v>
      </c>
    </row>
    <row r="634" spans="1:6">
      <c r="A634">
        <v>633</v>
      </c>
      <c r="B634" t="s">
        <v>3660</v>
      </c>
      <c r="D634" t="s">
        <v>4297</v>
      </c>
      <c r="E634" t="s">
        <v>3219</v>
      </c>
      <c r="F634">
        <v>29.09</v>
      </c>
    </row>
    <row r="635" spans="1:6">
      <c r="A635">
        <v>634</v>
      </c>
      <c r="B635" t="s">
        <v>3660</v>
      </c>
      <c r="D635" t="s">
        <v>4298</v>
      </c>
      <c r="E635" t="s">
        <v>3219</v>
      </c>
      <c r="F635">
        <v>29.09</v>
      </c>
    </row>
    <row r="636" spans="1:6">
      <c r="A636">
        <v>635</v>
      </c>
      <c r="B636" t="s">
        <v>3660</v>
      </c>
      <c r="D636" t="s">
        <v>4299</v>
      </c>
      <c r="E636" t="s">
        <v>3219</v>
      </c>
      <c r="F636">
        <v>29.09</v>
      </c>
    </row>
    <row r="637" spans="1:6">
      <c r="A637">
        <v>636</v>
      </c>
      <c r="B637" t="s">
        <v>3660</v>
      </c>
      <c r="D637" t="s">
        <v>4300</v>
      </c>
      <c r="E637" t="s">
        <v>3219</v>
      </c>
      <c r="F637">
        <v>29.09</v>
      </c>
    </row>
    <row r="638" spans="1:6">
      <c r="A638">
        <v>637</v>
      </c>
      <c r="B638" t="s">
        <v>3660</v>
      </c>
      <c r="D638" t="s">
        <v>4301</v>
      </c>
      <c r="E638" t="s">
        <v>3219</v>
      </c>
      <c r="F638">
        <v>29.09</v>
      </c>
    </row>
    <row r="639" spans="1:6">
      <c r="A639">
        <v>638</v>
      </c>
      <c r="B639" t="s">
        <v>3660</v>
      </c>
      <c r="D639" t="s">
        <v>4302</v>
      </c>
      <c r="E639" t="s">
        <v>3219</v>
      </c>
      <c r="F639">
        <v>29.09</v>
      </c>
    </row>
    <row r="640" spans="1:6">
      <c r="A640">
        <v>639</v>
      </c>
      <c r="B640" t="s">
        <v>3660</v>
      </c>
      <c r="D640" t="s">
        <v>4303</v>
      </c>
      <c r="E640" t="s">
        <v>3219</v>
      </c>
      <c r="F640">
        <v>29.09</v>
      </c>
    </row>
    <row r="641" spans="1:6">
      <c r="A641">
        <v>640</v>
      </c>
      <c r="B641" t="s">
        <v>3660</v>
      </c>
      <c r="D641" t="s">
        <v>4304</v>
      </c>
      <c r="E641" t="s">
        <v>3219</v>
      </c>
      <c r="F641">
        <v>29.09</v>
      </c>
    </row>
    <row r="642" spans="1:6">
      <c r="A642">
        <v>641</v>
      </c>
      <c r="B642" t="s">
        <v>3660</v>
      </c>
      <c r="D642" t="s">
        <v>4305</v>
      </c>
      <c r="E642" t="s">
        <v>3219</v>
      </c>
      <c r="F642">
        <v>29.09</v>
      </c>
    </row>
    <row r="643" spans="1:6">
      <c r="A643">
        <v>642</v>
      </c>
      <c r="B643" t="s">
        <v>3660</v>
      </c>
      <c r="D643" t="s">
        <v>4306</v>
      </c>
      <c r="E643" t="s">
        <v>3219</v>
      </c>
      <c r="F643">
        <v>29.09</v>
      </c>
    </row>
    <row r="644" spans="1:6">
      <c r="A644">
        <v>643</v>
      </c>
      <c r="B644" t="s">
        <v>3660</v>
      </c>
      <c r="D644" t="s">
        <v>4307</v>
      </c>
      <c r="E644" t="s">
        <v>3219</v>
      </c>
      <c r="F644">
        <v>29.09</v>
      </c>
    </row>
    <row r="645" spans="1:6">
      <c r="A645">
        <v>644</v>
      </c>
      <c r="B645" t="s">
        <v>3660</v>
      </c>
      <c r="D645" t="s">
        <v>4308</v>
      </c>
      <c r="E645" t="s">
        <v>3219</v>
      </c>
      <c r="F645">
        <v>29.09</v>
      </c>
    </row>
    <row r="646" spans="1:6">
      <c r="A646">
        <v>645</v>
      </c>
      <c r="B646" t="s">
        <v>3660</v>
      </c>
      <c r="D646" t="s">
        <v>4309</v>
      </c>
      <c r="E646" t="s">
        <v>3219</v>
      </c>
      <c r="F646">
        <v>29.09</v>
      </c>
    </row>
    <row r="647" spans="1:6">
      <c r="A647">
        <v>646</v>
      </c>
      <c r="B647" t="s">
        <v>3660</v>
      </c>
      <c r="D647" t="s">
        <v>4310</v>
      </c>
      <c r="E647" t="s">
        <v>3219</v>
      </c>
      <c r="F647">
        <v>29.09</v>
      </c>
    </row>
    <row r="648" spans="1:6">
      <c r="A648">
        <v>647</v>
      </c>
      <c r="B648" t="s">
        <v>3660</v>
      </c>
      <c r="D648" t="s">
        <v>4311</v>
      </c>
      <c r="E648" t="s">
        <v>3219</v>
      </c>
      <c r="F648">
        <v>29.09</v>
      </c>
    </row>
    <row r="649" spans="1:6">
      <c r="A649">
        <v>648</v>
      </c>
      <c r="B649" t="s">
        <v>3660</v>
      </c>
      <c r="D649" t="s">
        <v>4312</v>
      </c>
      <c r="E649" t="s">
        <v>3219</v>
      </c>
      <c r="F649">
        <v>29.09</v>
      </c>
    </row>
    <row r="650" spans="1:6">
      <c r="A650">
        <v>649</v>
      </c>
      <c r="B650" t="s">
        <v>3660</v>
      </c>
      <c r="D650" t="s">
        <v>4313</v>
      </c>
      <c r="E650" t="s">
        <v>3219</v>
      </c>
      <c r="F650">
        <v>29.09</v>
      </c>
    </row>
    <row r="651" spans="1:6">
      <c r="A651">
        <v>650</v>
      </c>
      <c r="B651" t="s">
        <v>3660</v>
      </c>
      <c r="D651" t="s">
        <v>4314</v>
      </c>
      <c r="E651" t="s">
        <v>3219</v>
      </c>
      <c r="F651">
        <v>29.09</v>
      </c>
    </row>
    <row r="652" spans="1:6">
      <c r="A652">
        <v>651</v>
      </c>
      <c r="B652" t="s">
        <v>3660</v>
      </c>
      <c r="D652" t="s">
        <v>4315</v>
      </c>
      <c r="E652" t="s">
        <v>3219</v>
      </c>
      <c r="F652">
        <v>29.09</v>
      </c>
    </row>
    <row r="653" spans="1:6">
      <c r="A653">
        <v>652</v>
      </c>
      <c r="B653" t="s">
        <v>3660</v>
      </c>
      <c r="D653" t="s">
        <v>4316</v>
      </c>
      <c r="E653" t="s">
        <v>3219</v>
      </c>
      <c r="F653">
        <v>29.09</v>
      </c>
    </row>
    <row r="654" spans="1:6">
      <c r="A654">
        <v>653</v>
      </c>
      <c r="B654" t="s">
        <v>4442</v>
      </c>
      <c r="D654" t="s">
        <v>4317</v>
      </c>
      <c r="E654" t="s">
        <v>3219</v>
      </c>
      <c r="F654">
        <v>29.09</v>
      </c>
    </row>
    <row r="655" spans="1:6">
      <c r="A655">
        <v>654</v>
      </c>
      <c r="B655" t="s">
        <v>4442</v>
      </c>
      <c r="D655" t="s">
        <v>4318</v>
      </c>
      <c r="E655" t="s">
        <v>3219</v>
      </c>
      <c r="F655">
        <v>29.09</v>
      </c>
    </row>
    <row r="656" spans="1:6">
      <c r="A656">
        <v>655</v>
      </c>
      <c r="B656" t="s">
        <v>4442</v>
      </c>
      <c r="D656" t="s">
        <v>4319</v>
      </c>
      <c r="E656" t="s">
        <v>3219</v>
      </c>
      <c r="F656">
        <v>29.09</v>
      </c>
    </row>
    <row r="657" spans="1:6">
      <c r="A657">
        <v>656</v>
      </c>
      <c r="B657" t="s">
        <v>4442</v>
      </c>
      <c r="D657" t="s">
        <v>4320</v>
      </c>
      <c r="E657" t="s">
        <v>3219</v>
      </c>
      <c r="F657">
        <v>29.09</v>
      </c>
    </row>
    <row r="658" spans="1:6">
      <c r="A658">
        <v>657</v>
      </c>
      <c r="B658" t="s">
        <v>4442</v>
      </c>
      <c r="D658" t="s">
        <v>4321</v>
      </c>
      <c r="E658" t="s">
        <v>3219</v>
      </c>
      <c r="F658">
        <v>29.09</v>
      </c>
    </row>
    <row r="659" spans="1:6">
      <c r="A659">
        <v>658</v>
      </c>
      <c r="B659" t="s">
        <v>4442</v>
      </c>
      <c r="D659" t="s">
        <v>4322</v>
      </c>
      <c r="E659" t="s">
        <v>3219</v>
      </c>
      <c r="F659">
        <v>29.09</v>
      </c>
    </row>
    <row r="660" spans="1:6">
      <c r="A660">
        <v>659</v>
      </c>
      <c r="B660" t="s">
        <v>4442</v>
      </c>
      <c r="D660" t="s">
        <v>4323</v>
      </c>
      <c r="E660" t="s">
        <v>3219</v>
      </c>
      <c r="F660">
        <v>29.09</v>
      </c>
    </row>
    <row r="661" spans="1:6">
      <c r="A661">
        <v>660</v>
      </c>
      <c r="B661" t="s">
        <v>4442</v>
      </c>
      <c r="D661" t="s">
        <v>4324</v>
      </c>
      <c r="E661" t="s">
        <v>3219</v>
      </c>
      <c r="F661">
        <v>29.09</v>
      </c>
    </row>
    <row r="662" spans="1:6">
      <c r="A662">
        <v>661</v>
      </c>
      <c r="B662" t="s">
        <v>4442</v>
      </c>
      <c r="D662" t="s">
        <v>4325</v>
      </c>
      <c r="E662" t="s">
        <v>3219</v>
      </c>
      <c r="F662">
        <v>29.09</v>
      </c>
    </row>
    <row r="663" spans="1:6">
      <c r="A663">
        <v>662</v>
      </c>
      <c r="B663" t="s">
        <v>4442</v>
      </c>
      <c r="D663" t="s">
        <v>4326</v>
      </c>
      <c r="E663" t="s">
        <v>3219</v>
      </c>
      <c r="F663">
        <v>29.09</v>
      </c>
    </row>
    <row r="664" spans="1:6">
      <c r="A664">
        <v>663</v>
      </c>
      <c r="B664" t="s">
        <v>4442</v>
      </c>
      <c r="D664" t="s">
        <v>4327</v>
      </c>
      <c r="E664" t="s">
        <v>3219</v>
      </c>
      <c r="F664">
        <v>29.09</v>
      </c>
    </row>
    <row r="665" spans="1:6">
      <c r="A665">
        <v>664</v>
      </c>
      <c r="B665" t="s">
        <v>4442</v>
      </c>
      <c r="D665" t="s">
        <v>4328</v>
      </c>
      <c r="E665" t="s">
        <v>3219</v>
      </c>
      <c r="F665">
        <v>29.09</v>
      </c>
    </row>
    <row r="666" spans="1:6">
      <c r="A666">
        <v>665</v>
      </c>
      <c r="B666" t="s">
        <v>4442</v>
      </c>
      <c r="D666" t="s">
        <v>4329</v>
      </c>
      <c r="E666" t="s">
        <v>3219</v>
      </c>
      <c r="F666">
        <v>29.09</v>
      </c>
    </row>
    <row r="667" spans="1:6">
      <c r="A667">
        <v>666</v>
      </c>
      <c r="B667" t="s">
        <v>4442</v>
      </c>
      <c r="D667" t="s">
        <v>4330</v>
      </c>
      <c r="E667" t="s">
        <v>3219</v>
      </c>
      <c r="F667">
        <v>29.09</v>
      </c>
    </row>
    <row r="668" spans="1:6">
      <c r="A668">
        <v>667</v>
      </c>
      <c r="B668" t="s">
        <v>4442</v>
      </c>
      <c r="D668" t="s">
        <v>4331</v>
      </c>
      <c r="E668" t="s">
        <v>3219</v>
      </c>
      <c r="F668">
        <v>29.09</v>
      </c>
    </row>
    <row r="669" spans="1:6">
      <c r="A669">
        <v>668</v>
      </c>
      <c r="B669" t="s">
        <v>4442</v>
      </c>
      <c r="D669" t="s">
        <v>4332</v>
      </c>
      <c r="E669" t="s">
        <v>3219</v>
      </c>
      <c r="F669">
        <v>29.09</v>
      </c>
    </row>
    <row r="670" spans="1:6">
      <c r="A670">
        <v>669</v>
      </c>
      <c r="B670" t="s">
        <v>4442</v>
      </c>
      <c r="D670" t="s">
        <v>4333</v>
      </c>
      <c r="E670" t="s">
        <v>3219</v>
      </c>
      <c r="F670">
        <v>29.09</v>
      </c>
    </row>
    <row r="671" spans="1:6">
      <c r="A671">
        <v>670</v>
      </c>
      <c r="B671" t="s">
        <v>4442</v>
      </c>
      <c r="D671" t="s">
        <v>4334</v>
      </c>
      <c r="E671" t="s">
        <v>3219</v>
      </c>
      <c r="F671">
        <v>29.09</v>
      </c>
    </row>
    <row r="672" spans="1:6">
      <c r="A672">
        <v>671</v>
      </c>
      <c r="B672" t="s">
        <v>4442</v>
      </c>
      <c r="D672" t="s">
        <v>4335</v>
      </c>
      <c r="E672" t="s">
        <v>3219</v>
      </c>
      <c r="F672">
        <v>29.09</v>
      </c>
    </row>
    <row r="673" spans="1:6">
      <c r="A673">
        <v>672</v>
      </c>
      <c r="B673" t="s">
        <v>4442</v>
      </c>
      <c r="D673" t="s">
        <v>4336</v>
      </c>
      <c r="E673" t="s">
        <v>3219</v>
      </c>
      <c r="F673">
        <v>29.09</v>
      </c>
    </row>
    <row r="674" spans="1:6">
      <c r="A674">
        <v>673</v>
      </c>
      <c r="B674" t="s">
        <v>4442</v>
      </c>
      <c r="D674" t="s">
        <v>4337</v>
      </c>
      <c r="E674" t="s">
        <v>3219</v>
      </c>
      <c r="F674">
        <v>29.09</v>
      </c>
    </row>
    <row r="675" spans="1:6">
      <c r="A675">
        <v>674</v>
      </c>
      <c r="B675" t="s">
        <v>4442</v>
      </c>
      <c r="D675" t="s">
        <v>4338</v>
      </c>
      <c r="E675" t="s">
        <v>3219</v>
      </c>
      <c r="F675">
        <v>29.09</v>
      </c>
    </row>
    <row r="676" spans="1:6">
      <c r="A676">
        <v>675</v>
      </c>
      <c r="B676" t="s">
        <v>4442</v>
      </c>
      <c r="D676" t="s">
        <v>4339</v>
      </c>
      <c r="E676" t="s">
        <v>3219</v>
      </c>
      <c r="F676">
        <v>29.09</v>
      </c>
    </row>
    <row r="677" spans="1:6">
      <c r="A677">
        <v>676</v>
      </c>
      <c r="B677" t="s">
        <v>4442</v>
      </c>
      <c r="D677" t="s">
        <v>4340</v>
      </c>
      <c r="E677" t="s">
        <v>3219</v>
      </c>
      <c r="F677">
        <v>29.09</v>
      </c>
    </row>
    <row r="678" spans="1:6">
      <c r="A678">
        <v>677</v>
      </c>
      <c r="B678" t="s">
        <v>4442</v>
      </c>
      <c r="D678" t="s">
        <v>4341</v>
      </c>
      <c r="E678" t="s">
        <v>3219</v>
      </c>
      <c r="F678">
        <v>29.09</v>
      </c>
    </row>
    <row r="679" spans="1:6">
      <c r="A679">
        <v>678</v>
      </c>
      <c r="B679" t="s">
        <v>4442</v>
      </c>
      <c r="D679" t="s">
        <v>4342</v>
      </c>
      <c r="E679" t="s">
        <v>3219</v>
      </c>
      <c r="F679">
        <v>29.09</v>
      </c>
    </row>
    <row r="680" spans="1:6">
      <c r="A680">
        <v>679</v>
      </c>
      <c r="B680" t="s">
        <v>4442</v>
      </c>
      <c r="D680" t="s">
        <v>4343</v>
      </c>
      <c r="E680" t="s">
        <v>3219</v>
      </c>
      <c r="F680">
        <v>29.09</v>
      </c>
    </row>
    <row r="681" spans="1:6">
      <c r="A681">
        <v>680</v>
      </c>
      <c r="B681" t="s">
        <v>4442</v>
      </c>
      <c r="D681" t="s">
        <v>4344</v>
      </c>
      <c r="E681" t="s">
        <v>3219</v>
      </c>
      <c r="F681">
        <v>29.09</v>
      </c>
    </row>
    <row r="682" spans="1:6">
      <c r="A682">
        <v>681</v>
      </c>
      <c r="B682" t="s">
        <v>4442</v>
      </c>
      <c r="D682" t="s">
        <v>4345</v>
      </c>
      <c r="E682" t="s">
        <v>3219</v>
      </c>
      <c r="F682">
        <v>29.09</v>
      </c>
    </row>
    <row r="683" spans="1:6">
      <c r="A683">
        <v>682</v>
      </c>
      <c r="B683" t="s">
        <v>4442</v>
      </c>
      <c r="D683" t="s">
        <v>4346</v>
      </c>
      <c r="E683" t="s">
        <v>3219</v>
      </c>
      <c r="F683">
        <v>29.09</v>
      </c>
    </row>
    <row r="684" spans="1:6">
      <c r="A684">
        <v>683</v>
      </c>
      <c r="B684" t="s">
        <v>4442</v>
      </c>
      <c r="D684" t="s">
        <v>4347</v>
      </c>
      <c r="E684" t="s">
        <v>3219</v>
      </c>
      <c r="F684">
        <v>29.09</v>
      </c>
    </row>
    <row r="685" spans="1:6">
      <c r="A685">
        <v>684</v>
      </c>
      <c r="B685" t="s">
        <v>4442</v>
      </c>
      <c r="D685" t="s">
        <v>4348</v>
      </c>
      <c r="E685" t="s">
        <v>3219</v>
      </c>
      <c r="F685">
        <v>29.09</v>
      </c>
    </row>
    <row r="686" spans="1:6">
      <c r="A686">
        <v>685</v>
      </c>
      <c r="B686" t="s">
        <v>4442</v>
      </c>
      <c r="D686" t="s">
        <v>4349</v>
      </c>
      <c r="E686" t="s">
        <v>3219</v>
      </c>
      <c r="F686">
        <v>29.09</v>
      </c>
    </row>
    <row r="687" spans="1:6">
      <c r="A687">
        <v>686</v>
      </c>
      <c r="B687" t="s">
        <v>4442</v>
      </c>
      <c r="D687" t="s">
        <v>4350</v>
      </c>
      <c r="E687" t="s">
        <v>3219</v>
      </c>
      <c r="F687">
        <v>29.09</v>
      </c>
    </row>
    <row r="688" spans="1:6">
      <c r="A688">
        <v>687</v>
      </c>
      <c r="B688" t="s">
        <v>4442</v>
      </c>
      <c r="D688" t="s">
        <v>4351</v>
      </c>
      <c r="E688" t="s">
        <v>3219</v>
      </c>
      <c r="F688">
        <v>29.09</v>
      </c>
    </row>
    <row r="689" spans="1:6">
      <c r="A689">
        <v>688</v>
      </c>
      <c r="B689" t="s">
        <v>4442</v>
      </c>
      <c r="D689" t="s">
        <v>4352</v>
      </c>
      <c r="E689" t="s">
        <v>3219</v>
      </c>
      <c r="F689">
        <v>29.09</v>
      </c>
    </row>
    <row r="690" spans="1:6">
      <c r="A690">
        <v>689</v>
      </c>
      <c r="B690" t="s">
        <v>4442</v>
      </c>
      <c r="D690" t="s">
        <v>4353</v>
      </c>
      <c r="E690" t="s">
        <v>3219</v>
      </c>
      <c r="F690">
        <v>29.09</v>
      </c>
    </row>
    <row r="691" spans="1:6">
      <c r="A691">
        <v>690</v>
      </c>
      <c r="B691" t="s">
        <v>4442</v>
      </c>
      <c r="D691" t="s">
        <v>4354</v>
      </c>
      <c r="E691" t="s">
        <v>3219</v>
      </c>
      <c r="F691">
        <v>29.09</v>
      </c>
    </row>
    <row r="692" spans="1:6">
      <c r="A692">
        <v>691</v>
      </c>
      <c r="B692" t="s">
        <v>4442</v>
      </c>
      <c r="D692" t="s">
        <v>4355</v>
      </c>
      <c r="E692" t="s">
        <v>3219</v>
      </c>
      <c r="F692">
        <v>29.09</v>
      </c>
    </row>
    <row r="693" spans="1:6">
      <c r="A693">
        <v>692</v>
      </c>
      <c r="B693" t="s">
        <v>4442</v>
      </c>
      <c r="D693" t="s">
        <v>4356</v>
      </c>
      <c r="E693" t="s">
        <v>3219</v>
      </c>
      <c r="F693">
        <v>29.09</v>
      </c>
    </row>
    <row r="694" spans="1:6">
      <c r="A694">
        <v>693</v>
      </c>
      <c r="B694" t="s">
        <v>4442</v>
      </c>
      <c r="D694" t="s">
        <v>4357</v>
      </c>
      <c r="E694" t="s">
        <v>3219</v>
      </c>
      <c r="F694">
        <v>29.09</v>
      </c>
    </row>
    <row r="695" spans="1:6">
      <c r="A695">
        <v>694</v>
      </c>
      <c r="B695" t="s">
        <v>4442</v>
      </c>
      <c r="D695" t="s">
        <v>4358</v>
      </c>
      <c r="E695" t="s">
        <v>3219</v>
      </c>
      <c r="F695">
        <v>29.09</v>
      </c>
    </row>
    <row r="696" spans="1:6">
      <c r="A696">
        <v>695</v>
      </c>
      <c r="B696" t="s">
        <v>4442</v>
      </c>
      <c r="D696" t="s">
        <v>4359</v>
      </c>
      <c r="E696" t="s">
        <v>3219</v>
      </c>
      <c r="F696">
        <v>29.09</v>
      </c>
    </row>
    <row r="697" spans="1:6">
      <c r="A697">
        <v>696</v>
      </c>
      <c r="B697" t="s">
        <v>4442</v>
      </c>
      <c r="D697" t="s">
        <v>4360</v>
      </c>
      <c r="E697" t="s">
        <v>3219</v>
      </c>
      <c r="F697">
        <v>29.09</v>
      </c>
    </row>
    <row r="698" spans="1:6">
      <c r="A698">
        <v>697</v>
      </c>
      <c r="B698" t="s">
        <v>4442</v>
      </c>
      <c r="D698" t="s">
        <v>4361</v>
      </c>
      <c r="E698" t="s">
        <v>3219</v>
      </c>
      <c r="F698">
        <v>29.09</v>
      </c>
    </row>
    <row r="699" spans="1:6">
      <c r="A699">
        <v>698</v>
      </c>
      <c r="B699" t="s">
        <v>4442</v>
      </c>
      <c r="D699" t="s">
        <v>4362</v>
      </c>
      <c r="E699" t="s">
        <v>3219</v>
      </c>
      <c r="F699">
        <v>29.09</v>
      </c>
    </row>
    <row r="700" spans="1:6">
      <c r="A700">
        <v>699</v>
      </c>
      <c r="B700" t="s">
        <v>4442</v>
      </c>
      <c r="D700" t="s">
        <v>4363</v>
      </c>
      <c r="E700" t="s">
        <v>3219</v>
      </c>
      <c r="F700">
        <v>29.09</v>
      </c>
    </row>
    <row r="701" spans="1:6">
      <c r="A701">
        <v>700</v>
      </c>
      <c r="B701" t="s">
        <v>4442</v>
      </c>
      <c r="D701" t="s">
        <v>4364</v>
      </c>
      <c r="E701" t="s">
        <v>3219</v>
      </c>
      <c r="F701">
        <v>29.09</v>
      </c>
    </row>
    <row r="702" spans="1:6">
      <c r="A702">
        <v>701</v>
      </c>
      <c r="B702" t="s">
        <v>4442</v>
      </c>
      <c r="D702" t="s">
        <v>4365</v>
      </c>
      <c r="E702" t="s">
        <v>3219</v>
      </c>
      <c r="F702">
        <v>29.09</v>
      </c>
    </row>
    <row r="703" spans="1:6">
      <c r="A703">
        <v>702</v>
      </c>
      <c r="B703" t="s">
        <v>4442</v>
      </c>
      <c r="D703" t="s">
        <v>4366</v>
      </c>
      <c r="E703" t="s">
        <v>3219</v>
      </c>
      <c r="F703">
        <v>29.09</v>
      </c>
    </row>
    <row r="704" spans="1:6">
      <c r="A704">
        <v>703</v>
      </c>
      <c r="B704" t="s">
        <v>4442</v>
      </c>
      <c r="D704" t="s">
        <v>4367</v>
      </c>
      <c r="E704" t="s">
        <v>3219</v>
      </c>
      <c r="F704">
        <v>29.09</v>
      </c>
    </row>
    <row r="705" spans="1:6">
      <c r="A705">
        <v>704</v>
      </c>
      <c r="B705" t="s">
        <v>4442</v>
      </c>
      <c r="D705" t="s">
        <v>4368</v>
      </c>
      <c r="E705" t="s">
        <v>3219</v>
      </c>
      <c r="F705">
        <v>29.09</v>
      </c>
    </row>
    <row r="706" spans="1:6">
      <c r="A706">
        <v>705</v>
      </c>
      <c r="B706" t="s">
        <v>4442</v>
      </c>
      <c r="D706" t="s">
        <v>4369</v>
      </c>
      <c r="E706" t="s">
        <v>3219</v>
      </c>
      <c r="F706">
        <v>29.09</v>
      </c>
    </row>
    <row r="707" spans="1:6">
      <c r="A707">
        <v>706</v>
      </c>
      <c r="B707" t="s">
        <v>4442</v>
      </c>
      <c r="D707" t="s">
        <v>4370</v>
      </c>
      <c r="E707" t="s">
        <v>3219</v>
      </c>
      <c r="F707">
        <v>29.09</v>
      </c>
    </row>
    <row r="708" spans="1:6">
      <c r="A708">
        <v>707</v>
      </c>
      <c r="B708" t="s">
        <v>4442</v>
      </c>
      <c r="D708" t="s">
        <v>4371</v>
      </c>
      <c r="E708" t="s">
        <v>3219</v>
      </c>
      <c r="F708">
        <v>29.09</v>
      </c>
    </row>
    <row r="709" spans="1:6">
      <c r="A709">
        <v>708</v>
      </c>
      <c r="B709" t="s">
        <v>4442</v>
      </c>
      <c r="D709" t="s">
        <v>4372</v>
      </c>
      <c r="E709" t="s">
        <v>3219</v>
      </c>
      <c r="F709">
        <v>29.09</v>
      </c>
    </row>
    <row r="710" spans="1:6">
      <c r="A710">
        <v>709</v>
      </c>
      <c r="B710" t="s">
        <v>4442</v>
      </c>
      <c r="D710" t="s">
        <v>4373</v>
      </c>
      <c r="E710" t="s">
        <v>3219</v>
      </c>
      <c r="F710">
        <v>29.09</v>
      </c>
    </row>
    <row r="711" spans="1:6">
      <c r="A711">
        <v>710</v>
      </c>
      <c r="B711" t="s">
        <v>4442</v>
      </c>
      <c r="D711" t="s">
        <v>4374</v>
      </c>
      <c r="E711" t="s">
        <v>3219</v>
      </c>
      <c r="F711">
        <v>29.09</v>
      </c>
    </row>
    <row r="712" spans="1:6">
      <c r="A712">
        <v>711</v>
      </c>
      <c r="B712" t="s">
        <v>4442</v>
      </c>
      <c r="D712" t="s">
        <v>4375</v>
      </c>
      <c r="E712" t="s">
        <v>3219</v>
      </c>
      <c r="F712">
        <v>29.09</v>
      </c>
    </row>
    <row r="713" spans="1:6">
      <c r="A713">
        <v>712</v>
      </c>
      <c r="B713" t="s">
        <v>4442</v>
      </c>
      <c r="D713" t="s">
        <v>4376</v>
      </c>
      <c r="E713" t="s">
        <v>3219</v>
      </c>
      <c r="F713">
        <v>29.09</v>
      </c>
    </row>
    <row r="714" spans="1:6">
      <c r="A714">
        <v>713</v>
      </c>
      <c r="B714" t="s">
        <v>4442</v>
      </c>
      <c r="D714" t="s">
        <v>4377</v>
      </c>
      <c r="E714" t="s">
        <v>3219</v>
      </c>
      <c r="F714">
        <v>29.09</v>
      </c>
    </row>
    <row r="715" spans="1:6">
      <c r="A715">
        <v>714</v>
      </c>
      <c r="B715" t="s">
        <v>4442</v>
      </c>
      <c r="D715" t="s">
        <v>4378</v>
      </c>
      <c r="E715" t="s">
        <v>3219</v>
      </c>
      <c r="F715">
        <v>29.09</v>
      </c>
    </row>
    <row r="716" spans="1:6">
      <c r="A716">
        <v>715</v>
      </c>
      <c r="B716" t="s">
        <v>4442</v>
      </c>
      <c r="D716" t="s">
        <v>4379</v>
      </c>
      <c r="E716" t="s">
        <v>3219</v>
      </c>
      <c r="F716">
        <v>29.09</v>
      </c>
    </row>
    <row r="717" spans="1:6">
      <c r="A717">
        <v>716</v>
      </c>
      <c r="B717" t="s">
        <v>4442</v>
      </c>
      <c r="D717" t="s">
        <v>4380</v>
      </c>
      <c r="E717" t="s">
        <v>3219</v>
      </c>
      <c r="F717">
        <v>29.09</v>
      </c>
    </row>
    <row r="718" spans="1:6">
      <c r="A718">
        <v>717</v>
      </c>
      <c r="B718" t="s">
        <v>4442</v>
      </c>
      <c r="D718" t="s">
        <v>4381</v>
      </c>
      <c r="E718" t="s">
        <v>3219</v>
      </c>
      <c r="F718">
        <v>29.09</v>
      </c>
    </row>
    <row r="719" spans="1:6">
      <c r="A719">
        <v>718</v>
      </c>
      <c r="B719" t="s">
        <v>4442</v>
      </c>
      <c r="D719" t="s">
        <v>4382</v>
      </c>
      <c r="E719" t="s">
        <v>3219</v>
      </c>
      <c r="F719">
        <v>29.09</v>
      </c>
    </row>
    <row r="720" spans="1:6">
      <c r="A720">
        <v>719</v>
      </c>
      <c r="B720" t="s">
        <v>4442</v>
      </c>
      <c r="D720" t="s">
        <v>4383</v>
      </c>
      <c r="E720" t="s">
        <v>3219</v>
      </c>
      <c r="F720">
        <v>29.09</v>
      </c>
    </row>
    <row r="721" spans="1:6">
      <c r="A721">
        <v>720</v>
      </c>
      <c r="B721" t="s">
        <v>4442</v>
      </c>
      <c r="D721" t="s">
        <v>4384</v>
      </c>
      <c r="E721" t="s">
        <v>3219</v>
      </c>
      <c r="F721">
        <v>29.09</v>
      </c>
    </row>
    <row r="722" spans="1:6">
      <c r="A722">
        <v>721</v>
      </c>
      <c r="B722" t="s">
        <v>4442</v>
      </c>
      <c r="D722" t="s">
        <v>4385</v>
      </c>
      <c r="E722" t="s">
        <v>3219</v>
      </c>
      <c r="F722">
        <v>29.09</v>
      </c>
    </row>
    <row r="723" spans="1:6">
      <c r="A723">
        <v>722</v>
      </c>
      <c r="B723" t="s">
        <v>4442</v>
      </c>
      <c r="D723" t="s">
        <v>4386</v>
      </c>
      <c r="E723" t="s">
        <v>3219</v>
      </c>
      <c r="F723">
        <v>29.09</v>
      </c>
    </row>
    <row r="724" spans="1:6">
      <c r="A724">
        <v>723</v>
      </c>
      <c r="B724" t="s">
        <v>4442</v>
      </c>
      <c r="D724" t="s">
        <v>4387</v>
      </c>
      <c r="E724" t="s">
        <v>3219</v>
      </c>
      <c r="F724">
        <v>29.09</v>
      </c>
    </row>
    <row r="725" spans="1:6">
      <c r="A725">
        <v>724</v>
      </c>
      <c r="B725" t="s">
        <v>4442</v>
      </c>
      <c r="D725" t="s">
        <v>4388</v>
      </c>
      <c r="E725" t="s">
        <v>3219</v>
      </c>
      <c r="F725">
        <v>29.09</v>
      </c>
    </row>
    <row r="726" spans="1:6">
      <c r="A726">
        <v>725</v>
      </c>
      <c r="B726" t="s">
        <v>4442</v>
      </c>
      <c r="D726" t="s">
        <v>4389</v>
      </c>
      <c r="E726" t="s">
        <v>3219</v>
      </c>
      <c r="F726">
        <v>29.09</v>
      </c>
    </row>
    <row r="727" spans="1:6">
      <c r="A727">
        <v>726</v>
      </c>
      <c r="B727" t="s">
        <v>4442</v>
      </c>
      <c r="D727" t="s">
        <v>4390</v>
      </c>
      <c r="E727" t="s">
        <v>3219</v>
      </c>
      <c r="F727">
        <v>29.09</v>
      </c>
    </row>
    <row r="728" spans="1:6">
      <c r="A728">
        <v>727</v>
      </c>
      <c r="B728" t="s">
        <v>4442</v>
      </c>
      <c r="D728" t="s">
        <v>4391</v>
      </c>
      <c r="E728" t="s">
        <v>3219</v>
      </c>
      <c r="F728">
        <v>29.09</v>
      </c>
    </row>
    <row r="729" spans="1:6">
      <c r="A729">
        <v>728</v>
      </c>
      <c r="B729" t="s">
        <v>4442</v>
      </c>
      <c r="D729" t="s">
        <v>4392</v>
      </c>
      <c r="E729" t="s">
        <v>3219</v>
      </c>
      <c r="F729">
        <v>29.09</v>
      </c>
    </row>
    <row r="730" spans="1:6">
      <c r="A730">
        <v>729</v>
      </c>
      <c r="B730" t="s">
        <v>4442</v>
      </c>
      <c r="D730" t="s">
        <v>4393</v>
      </c>
      <c r="E730" t="s">
        <v>3219</v>
      </c>
      <c r="F730">
        <v>29.09</v>
      </c>
    </row>
    <row r="731" spans="1:6">
      <c r="A731">
        <v>730</v>
      </c>
      <c r="B731" t="s">
        <v>4442</v>
      </c>
      <c r="D731" t="s">
        <v>4394</v>
      </c>
      <c r="E731" t="s">
        <v>3219</v>
      </c>
      <c r="F731">
        <v>29.09</v>
      </c>
    </row>
    <row r="732" spans="1:6">
      <c r="A732">
        <v>731</v>
      </c>
      <c r="B732" t="s">
        <v>4442</v>
      </c>
      <c r="D732" t="s">
        <v>4395</v>
      </c>
      <c r="E732" t="s">
        <v>3219</v>
      </c>
      <c r="F732">
        <v>29.09</v>
      </c>
    </row>
    <row r="733" spans="1:6">
      <c r="A733">
        <v>732</v>
      </c>
      <c r="B733" t="s">
        <v>4442</v>
      </c>
      <c r="D733" t="s">
        <v>4396</v>
      </c>
      <c r="E733" t="s">
        <v>3219</v>
      </c>
      <c r="F733">
        <v>29.09</v>
      </c>
    </row>
    <row r="734" spans="1:6">
      <c r="A734">
        <v>733</v>
      </c>
      <c r="B734" t="s">
        <v>4442</v>
      </c>
      <c r="D734" t="s">
        <v>4397</v>
      </c>
      <c r="E734" t="s">
        <v>3219</v>
      </c>
      <c r="F734">
        <v>29.09</v>
      </c>
    </row>
    <row r="735" spans="1:6">
      <c r="A735">
        <v>734</v>
      </c>
      <c r="B735" t="s">
        <v>4442</v>
      </c>
      <c r="D735" t="s">
        <v>4398</v>
      </c>
      <c r="E735" t="s">
        <v>3219</v>
      </c>
      <c r="F735">
        <v>29.09</v>
      </c>
    </row>
    <row r="736" spans="1:6">
      <c r="A736">
        <v>735</v>
      </c>
      <c r="B736" t="s">
        <v>4442</v>
      </c>
      <c r="D736" t="s">
        <v>4399</v>
      </c>
      <c r="E736" t="s">
        <v>3219</v>
      </c>
      <c r="F736">
        <v>29.09</v>
      </c>
    </row>
    <row r="737" spans="1:6">
      <c r="A737">
        <v>736</v>
      </c>
      <c r="B737" t="s">
        <v>4442</v>
      </c>
      <c r="D737" t="s">
        <v>4400</v>
      </c>
      <c r="E737" t="s">
        <v>3219</v>
      </c>
      <c r="F737">
        <v>29.09</v>
      </c>
    </row>
    <row r="738" spans="1:6">
      <c r="A738">
        <v>737</v>
      </c>
      <c r="B738" t="s">
        <v>4442</v>
      </c>
      <c r="D738" t="s">
        <v>4401</v>
      </c>
      <c r="E738" t="s">
        <v>3219</v>
      </c>
      <c r="F738">
        <v>29.09</v>
      </c>
    </row>
    <row r="739" spans="1:6">
      <c r="A739">
        <v>738</v>
      </c>
      <c r="B739" t="s">
        <v>4442</v>
      </c>
      <c r="D739" t="s">
        <v>4402</v>
      </c>
      <c r="E739" t="s">
        <v>3219</v>
      </c>
      <c r="F739">
        <v>29.09</v>
      </c>
    </row>
    <row r="740" spans="1:6">
      <c r="A740">
        <v>739</v>
      </c>
      <c r="B740" t="s">
        <v>4442</v>
      </c>
      <c r="D740" t="s">
        <v>4403</v>
      </c>
      <c r="E740" t="s">
        <v>3219</v>
      </c>
      <c r="F740">
        <v>29.09</v>
      </c>
    </row>
    <row r="741" spans="1:6">
      <c r="A741">
        <v>740</v>
      </c>
      <c r="B741" t="s">
        <v>4442</v>
      </c>
      <c r="D741" t="s">
        <v>4404</v>
      </c>
      <c r="E741" t="s">
        <v>3219</v>
      </c>
      <c r="F741">
        <v>29.09</v>
      </c>
    </row>
    <row r="742" spans="1:6">
      <c r="A742">
        <v>741</v>
      </c>
      <c r="B742" t="s">
        <v>4442</v>
      </c>
      <c r="D742" t="s">
        <v>4405</v>
      </c>
      <c r="E742" t="s">
        <v>3219</v>
      </c>
      <c r="F742">
        <v>29.09</v>
      </c>
    </row>
    <row r="743" spans="1:6">
      <c r="A743">
        <v>742</v>
      </c>
      <c r="B743" t="s">
        <v>4442</v>
      </c>
      <c r="D743" t="s">
        <v>4406</v>
      </c>
      <c r="E743" t="s">
        <v>3219</v>
      </c>
      <c r="F743">
        <v>29.09</v>
      </c>
    </row>
    <row r="744" spans="1:6">
      <c r="A744">
        <v>743</v>
      </c>
      <c r="B744" t="s">
        <v>4442</v>
      </c>
      <c r="D744" t="s">
        <v>4407</v>
      </c>
      <c r="E744" t="s">
        <v>3219</v>
      </c>
      <c r="F744">
        <v>29.09</v>
      </c>
    </row>
    <row r="745" spans="1:6">
      <c r="A745">
        <v>744</v>
      </c>
      <c r="B745" t="s">
        <v>4442</v>
      </c>
      <c r="D745" t="s">
        <v>4408</v>
      </c>
      <c r="E745" t="s">
        <v>3219</v>
      </c>
      <c r="F745">
        <v>29.09</v>
      </c>
    </row>
    <row r="746" spans="1:6">
      <c r="A746">
        <v>745</v>
      </c>
      <c r="B746" t="s">
        <v>4442</v>
      </c>
      <c r="D746" t="s">
        <v>4409</v>
      </c>
      <c r="E746" t="s">
        <v>3219</v>
      </c>
      <c r="F746">
        <v>29.09</v>
      </c>
    </row>
    <row r="747" spans="1:6">
      <c r="A747">
        <v>746</v>
      </c>
      <c r="B747" t="s">
        <v>4442</v>
      </c>
      <c r="D747" t="s">
        <v>4410</v>
      </c>
      <c r="E747" t="s">
        <v>3219</v>
      </c>
      <c r="F747">
        <v>29.09</v>
      </c>
    </row>
    <row r="748" spans="1:6">
      <c r="A748">
        <v>747</v>
      </c>
      <c r="B748" t="s">
        <v>4442</v>
      </c>
      <c r="D748" t="s">
        <v>4411</v>
      </c>
      <c r="E748" t="s">
        <v>3219</v>
      </c>
      <c r="F748">
        <v>29.09</v>
      </c>
    </row>
    <row r="749" spans="1:6">
      <c r="A749">
        <v>748</v>
      </c>
      <c r="B749" t="s">
        <v>4442</v>
      </c>
      <c r="D749" t="s">
        <v>4412</v>
      </c>
      <c r="E749" t="s">
        <v>3219</v>
      </c>
      <c r="F749">
        <v>29.09</v>
      </c>
    </row>
    <row r="750" spans="1:6">
      <c r="A750">
        <v>749</v>
      </c>
      <c r="B750" t="s">
        <v>4442</v>
      </c>
      <c r="D750" t="s">
        <v>4413</v>
      </c>
      <c r="E750" t="s">
        <v>3219</v>
      </c>
      <c r="F750">
        <v>29.09</v>
      </c>
    </row>
    <row r="751" spans="1:6">
      <c r="A751">
        <v>750</v>
      </c>
      <c r="B751" t="s">
        <v>4442</v>
      </c>
      <c r="D751" t="s">
        <v>4414</v>
      </c>
      <c r="E751" t="s">
        <v>3219</v>
      </c>
      <c r="F751">
        <v>29.09</v>
      </c>
    </row>
    <row r="752" spans="1:6">
      <c r="A752">
        <v>751</v>
      </c>
      <c r="B752" t="s">
        <v>4442</v>
      </c>
      <c r="D752" t="s">
        <v>4415</v>
      </c>
      <c r="E752" t="s">
        <v>3219</v>
      </c>
      <c r="F752">
        <v>29.09</v>
      </c>
    </row>
    <row r="753" spans="1:6">
      <c r="A753">
        <v>752</v>
      </c>
      <c r="B753" t="s">
        <v>4442</v>
      </c>
      <c r="D753" t="s">
        <v>4416</v>
      </c>
      <c r="E753" t="s">
        <v>3219</v>
      </c>
      <c r="F753">
        <v>29.09</v>
      </c>
    </row>
    <row r="754" spans="1:6">
      <c r="A754">
        <v>753</v>
      </c>
      <c r="B754" t="s">
        <v>4442</v>
      </c>
      <c r="D754" t="s">
        <v>4417</v>
      </c>
      <c r="E754" t="s">
        <v>3219</v>
      </c>
      <c r="F754">
        <v>29.09</v>
      </c>
    </row>
    <row r="755" spans="1:6">
      <c r="A755">
        <v>754</v>
      </c>
      <c r="B755" t="s">
        <v>4442</v>
      </c>
      <c r="D755" t="s">
        <v>4418</v>
      </c>
      <c r="E755" t="s">
        <v>3219</v>
      </c>
      <c r="F755">
        <v>29.09</v>
      </c>
    </row>
    <row r="756" spans="1:6">
      <c r="A756">
        <v>755</v>
      </c>
      <c r="B756" t="s">
        <v>4442</v>
      </c>
      <c r="D756" t="s">
        <v>4419</v>
      </c>
      <c r="E756" t="s">
        <v>3219</v>
      </c>
      <c r="F756">
        <v>29.09</v>
      </c>
    </row>
    <row r="757" spans="1:6">
      <c r="A757">
        <v>756</v>
      </c>
      <c r="B757" t="s">
        <v>4442</v>
      </c>
      <c r="D757" t="s">
        <v>4420</v>
      </c>
      <c r="E757" t="s">
        <v>3219</v>
      </c>
      <c r="F757">
        <v>29.09</v>
      </c>
    </row>
    <row r="758" spans="1:6">
      <c r="A758">
        <v>757</v>
      </c>
      <c r="B758" t="s">
        <v>4442</v>
      </c>
      <c r="D758" t="s">
        <v>4421</v>
      </c>
      <c r="E758" t="s">
        <v>3219</v>
      </c>
      <c r="F758">
        <v>29.09</v>
      </c>
    </row>
    <row r="759" spans="1:6">
      <c r="A759">
        <v>758</v>
      </c>
      <c r="B759" t="s">
        <v>4442</v>
      </c>
      <c r="D759" t="s">
        <v>4422</v>
      </c>
      <c r="E759" t="s">
        <v>3219</v>
      </c>
      <c r="F759">
        <v>29.09</v>
      </c>
    </row>
    <row r="760" spans="1:6">
      <c r="A760">
        <v>759</v>
      </c>
      <c r="B760" t="s">
        <v>4442</v>
      </c>
      <c r="D760" t="s">
        <v>4423</v>
      </c>
      <c r="E760" t="s">
        <v>3219</v>
      </c>
      <c r="F760">
        <v>29.09</v>
      </c>
    </row>
    <row r="761" spans="1:6">
      <c r="A761">
        <v>760</v>
      </c>
      <c r="B761" t="s">
        <v>4442</v>
      </c>
      <c r="D761" t="s">
        <v>4424</v>
      </c>
      <c r="E761" t="s">
        <v>3219</v>
      </c>
      <c r="F761">
        <v>29.09</v>
      </c>
    </row>
    <row r="762" spans="1:6">
      <c r="A762">
        <v>761</v>
      </c>
      <c r="B762" t="s">
        <v>4442</v>
      </c>
      <c r="D762" t="s">
        <v>4425</v>
      </c>
      <c r="E762" t="s">
        <v>3219</v>
      </c>
      <c r="F762">
        <v>29.09</v>
      </c>
    </row>
    <row r="763" spans="1:6">
      <c r="A763">
        <v>762</v>
      </c>
      <c r="B763" t="s">
        <v>4442</v>
      </c>
      <c r="D763" t="s">
        <v>4426</v>
      </c>
      <c r="E763" t="s">
        <v>3219</v>
      </c>
      <c r="F763">
        <v>29.09</v>
      </c>
    </row>
    <row r="764" spans="1:6">
      <c r="A764">
        <v>763</v>
      </c>
      <c r="B764" t="s">
        <v>4442</v>
      </c>
      <c r="D764" t="s">
        <v>4427</v>
      </c>
      <c r="E764" t="s">
        <v>3219</v>
      </c>
      <c r="F764">
        <v>29.09</v>
      </c>
    </row>
    <row r="765" spans="1:6">
      <c r="A765">
        <v>764</v>
      </c>
      <c r="B765" t="s">
        <v>4442</v>
      </c>
      <c r="D765" t="s">
        <v>4428</v>
      </c>
      <c r="E765" t="s">
        <v>3219</v>
      </c>
      <c r="F765">
        <v>29.09</v>
      </c>
    </row>
    <row r="766" spans="1:6">
      <c r="A766">
        <v>765</v>
      </c>
      <c r="B766" t="s">
        <v>4442</v>
      </c>
      <c r="D766" t="s">
        <v>4429</v>
      </c>
      <c r="E766" t="s">
        <v>3219</v>
      </c>
      <c r="F766">
        <v>29.09</v>
      </c>
    </row>
    <row r="767" spans="1:6">
      <c r="A767">
        <v>766</v>
      </c>
      <c r="B767" t="s">
        <v>4442</v>
      </c>
      <c r="D767" t="s">
        <v>4430</v>
      </c>
      <c r="E767" t="s">
        <v>3219</v>
      </c>
      <c r="F767">
        <v>29.09</v>
      </c>
    </row>
    <row r="768" spans="1:6">
      <c r="A768">
        <v>767</v>
      </c>
      <c r="B768" t="s">
        <v>4442</v>
      </c>
      <c r="D768" t="s">
        <v>4431</v>
      </c>
      <c r="E768" t="s">
        <v>3219</v>
      </c>
      <c r="F768">
        <v>29.09</v>
      </c>
    </row>
    <row r="769" spans="1:6">
      <c r="A769">
        <v>768</v>
      </c>
      <c r="B769" t="s">
        <v>4442</v>
      </c>
      <c r="D769" t="s">
        <v>4432</v>
      </c>
      <c r="E769" t="s">
        <v>3219</v>
      </c>
      <c r="F769">
        <v>29.09</v>
      </c>
    </row>
    <row r="770" spans="1:6">
      <c r="A770">
        <v>769</v>
      </c>
      <c r="B770" t="s">
        <v>4442</v>
      </c>
      <c r="D770" t="s">
        <v>4433</v>
      </c>
      <c r="E770" t="s">
        <v>3219</v>
      </c>
      <c r="F770">
        <v>29.09</v>
      </c>
    </row>
    <row r="771" spans="1:6">
      <c r="A771">
        <v>770</v>
      </c>
      <c r="B771" t="s">
        <v>4442</v>
      </c>
      <c r="D771" t="s">
        <v>4434</v>
      </c>
      <c r="E771" t="s">
        <v>3219</v>
      </c>
      <c r="F771">
        <v>29.09</v>
      </c>
    </row>
    <row r="772" spans="1:6">
      <c r="A772">
        <v>771</v>
      </c>
      <c r="B772" t="s">
        <v>4442</v>
      </c>
      <c r="D772" t="s">
        <v>4435</v>
      </c>
      <c r="E772" t="s">
        <v>3219</v>
      </c>
      <c r="F772">
        <v>29.09</v>
      </c>
    </row>
    <row r="773" spans="1:6">
      <c r="A773">
        <v>772</v>
      </c>
      <c r="B773" t="s">
        <v>4442</v>
      </c>
      <c r="D773" t="s">
        <v>4436</v>
      </c>
      <c r="E773" t="s">
        <v>3219</v>
      </c>
      <c r="F773">
        <v>29.09</v>
      </c>
    </row>
    <row r="774" spans="1:6">
      <c r="A774">
        <v>773</v>
      </c>
      <c r="B774" t="s">
        <v>4442</v>
      </c>
      <c r="D774" t="s">
        <v>4437</v>
      </c>
      <c r="E774" t="s">
        <v>3219</v>
      </c>
      <c r="F774">
        <v>29.09</v>
      </c>
    </row>
    <row r="775" spans="1:6">
      <c r="A775">
        <v>774</v>
      </c>
      <c r="B775" t="s">
        <v>4442</v>
      </c>
      <c r="D775" t="s">
        <v>4438</v>
      </c>
      <c r="E775" t="s">
        <v>3219</v>
      </c>
      <c r="F775">
        <v>29.09</v>
      </c>
    </row>
    <row r="776" spans="1:6">
      <c r="A776">
        <v>775</v>
      </c>
      <c r="B776" t="s">
        <v>4442</v>
      </c>
      <c r="D776" t="s">
        <v>4439</v>
      </c>
      <c r="E776" t="s">
        <v>3219</v>
      </c>
      <c r="F776">
        <v>29.09</v>
      </c>
    </row>
    <row r="777" spans="1:6">
      <c r="A777">
        <v>776</v>
      </c>
      <c r="B777" t="s">
        <v>4442</v>
      </c>
      <c r="D777" t="s">
        <v>4440</v>
      </c>
      <c r="E777" t="s">
        <v>3219</v>
      </c>
      <c r="F777">
        <v>29.09</v>
      </c>
    </row>
    <row r="778" spans="1:6">
      <c r="A778">
        <v>777</v>
      </c>
      <c r="B778" t="s">
        <v>4442</v>
      </c>
      <c r="D778" t="s">
        <v>4441</v>
      </c>
      <c r="E778" t="s">
        <v>3219</v>
      </c>
      <c r="F778">
        <v>29.09</v>
      </c>
    </row>
    <row r="779" spans="1:6">
      <c r="A779" s="3230" t="s">
        <v>4444</v>
      </c>
      <c r="F779">
        <f>SUM(F2:F778)</f>
        <v>22562.870000000104</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625" style="1708" customWidth="1"/>
    <col min="17" max="17" width="9.375" style="1708" customWidth="1"/>
    <col min="18" max="18" width="9.125" style="1708" customWidth="1"/>
    <col min="19" max="19" width="10.875" style="1708" customWidth="1"/>
    <col min="20" max="21" width="10.625" style="1708" customWidth="1"/>
    <col min="22" max="22" width="10.875" style="1708" customWidth="1"/>
    <col min="23" max="27" width="10.625" style="1708" customWidth="1"/>
    <col min="28" max="28" width="10.875" style="1708" customWidth="1"/>
    <col min="29" max="29" width="11" style="1708" bestFit="1" customWidth="1"/>
    <col min="30" max="30" width="10" style="1708" bestFit="1" customWidth="1"/>
    <col min="31" max="31" width="9.625" style="1708" customWidth="1"/>
    <col min="32" max="46" width="9.5" style="1708" customWidth="1"/>
    <col min="47" max="47" width="18.125" style="1708" customWidth="1"/>
    <col min="48" max="50" width="9.62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58.81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58.81</v>
      </c>
      <c r="H5" s="16">
        <f t="shared" ref="H5:AT5" si="0">SUM(H13:H656)</f>
        <v>58.81</v>
      </c>
      <c r="I5" s="16">
        <f t="shared" si="0"/>
        <v>58.81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58.81</v>
      </c>
      <c r="BA5" s="18">
        <f t="shared" si="1"/>
        <v>58.81</v>
      </c>
      <c r="BB5" s="18">
        <f t="shared" si="1"/>
        <v>58.81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4455</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3240</v>
      </c>
      <c r="E13" s="16">
        <f>IF($C$3="是",ROUND($A$3*G13/$B$3,2),ROUND($A$3*(G13-AT13)/$B$3,2))</f>
        <v>0</v>
      </c>
      <c r="F13" s="32"/>
      <c r="G13" s="33">
        <f>H13+AC13+AT13</f>
        <v>58.81</v>
      </c>
      <c r="H13" s="20">
        <f>SUMIF(I$12:AB$12,"总值",I13:AB13)</f>
        <v>58.81</v>
      </c>
      <c r="I13" s="1761">
        <f>租约整理!E43</f>
        <v>58.81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58.81</v>
      </c>
      <c r="BA13" s="16">
        <f>SUM(BB13:BK13)</f>
        <v>58.81</v>
      </c>
      <c r="BB13" s="16">
        <f>IF($D13="是",I13-J13,0)</f>
        <v>58.81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1500-000000000000}">
      <formula1>判定</formula1>
    </dataValidation>
    <dataValidation type="list" errorStyle="warning" allowBlank="1" showInputMessage="1" showErrorMessage="1" sqref="I9 K9 M9 O9 Q9 S9 U9 W9 Y9 AA9" xr:uid="{00000000-0002-0000-1500-000001000000}">
      <formula1>位置</formula1>
    </dataValidation>
    <dataValidation type="list" allowBlank="1" showErrorMessage="1" sqref="AA10 K10 M10 O10 Q10 S10 U10 W10 Y10" xr:uid="{00000000-0002-0000-1500-000002000000}">
      <formula1>主用途</formula1>
    </dataValidation>
    <dataValidation type="list" allowBlank="1" showInputMessage="1" showErrorMessage="1" sqref="I11 K11 M11 O11 Q11 S11 U11 W11 Y11 AA11" xr:uid="{00000000-0002-0000-1500-000003000000}">
      <formula1>用途明细</formula1>
    </dataValidation>
    <dataValidation type="list" allowBlank="1" showInputMessage="1" showErrorMessage="1" sqref="I10" xr:uid="{00000000-0002-0000-1500-000004000000}">
      <formula1>主用途</formula1>
    </dataValidation>
  </dataValidations>
  <pageMargins left="0.7" right="0.7" top="0.75" bottom="0.75" header="0.3" footer="0.3"/>
  <pageSetup paperSize="9" scale="17"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8"/>
  <dimension ref="A1:M9"/>
  <sheetViews>
    <sheetView workbookViewId="0">
      <selection activeCell="F27" sqref="F27"/>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585" t="s">
        <v>0</v>
      </c>
      <c r="B1" s="3585" t="s">
        <v>4</v>
      </c>
      <c r="C1" s="3585" t="s">
        <v>5</v>
      </c>
      <c r="D1" s="3586" t="s">
        <v>53</v>
      </c>
      <c r="E1" s="3586" t="s">
        <v>54</v>
      </c>
      <c r="F1" s="3586"/>
      <c r="G1" s="3586"/>
      <c r="H1" s="3586"/>
      <c r="I1" s="3586"/>
      <c r="J1" s="3586"/>
      <c r="K1" s="3586"/>
      <c r="L1" s="3586"/>
      <c r="M1" s="3586"/>
    </row>
    <row r="2" spans="1:13" ht="27" customHeight="1">
      <c r="A2" s="3585"/>
      <c r="B2" s="3585"/>
      <c r="C2" s="3585"/>
      <c r="D2" s="3586"/>
      <c r="E2" s="3586" t="s">
        <v>37</v>
      </c>
      <c r="F2" s="3586" t="s">
        <v>38</v>
      </c>
      <c r="G2" s="3586"/>
      <c r="H2" s="3586"/>
      <c r="I2" s="3586"/>
      <c r="J2" s="3586" t="s">
        <v>39</v>
      </c>
      <c r="K2" s="3586"/>
      <c r="L2" s="3586"/>
      <c r="M2" s="3586"/>
    </row>
    <row r="3" spans="1:13" ht="28.5">
      <c r="A3" s="3585"/>
      <c r="B3" s="3585"/>
      <c r="C3" s="3585"/>
      <c r="D3" s="3586"/>
      <c r="E3" s="35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6" t="s">
        <v>55</v>
      </c>
      <c r="B9" s="3586"/>
      <c r="C9" s="35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tabColor rgb="FFFFFF00"/>
    <pageSetUpPr fitToPage="1"/>
  </sheetPr>
  <dimension ref="A1:AD56"/>
  <sheetViews>
    <sheetView view="pageBreakPreview" zoomScale="90" zoomScaleSheetLayoutView="90" workbookViewId="0">
      <selection activeCell="G34" sqref="G34"/>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62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587" t="str">
        <f>IF(B10="北京市","北京市",C10)&amp;F10&amp;IF('结果表-商业'!G1="在建","出让国有建设用地使用权及在建建筑物",IF('结果表-商业'!G1="土地","出让国有建设用地使用权",))&amp;B9&amp;"预评估"</f>
        <v>北京市房地产市场价值预评估</v>
      </c>
      <c r="C1" s="3588"/>
      <c r="D1" s="3588"/>
      <c r="E1" s="3588"/>
      <c r="F1" s="3588"/>
      <c r="G1" s="3588"/>
      <c r="H1" s="3588"/>
      <c r="I1" s="3589"/>
      <c r="J1" s="2646"/>
      <c r="K1" s="2541"/>
      <c r="L1" s="2542"/>
      <c r="M1" s="2542"/>
      <c r="N1" s="2543"/>
      <c r="O1" s="1711"/>
      <c r="P1" s="2543"/>
      <c r="Q1" s="2543"/>
      <c r="R1" s="2543"/>
      <c r="S1" s="1818" t="str">
        <f>IF(B10="北京市","北京市",C10)&amp;F10&amp;IF('结果表-商业'!G1="在建","出让国有建设用地使用权及在建建筑物房地产抵押价值",IF('结果表-商业'!G1="土地","出让国有建设用地使用权抵押价值",B9))</f>
        <v>北京市房地产市场价值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IF(B10="北京市","北京市",C10)&amp;F10&amp;IF('结果表-商业'!G1="在建","出让国有建设用地使用权及在建建筑物房地产",IF('结果表-商业'!G1="土地","出让国有建设用地使用权","房地产"))</f>
        <v>北京市房地产</v>
      </c>
      <c r="T2" s="1881"/>
      <c r="U2" s="1881"/>
      <c r="V2" s="1881"/>
      <c r="W2" s="1881"/>
      <c r="X2" s="1881"/>
      <c r="Y2" s="1881"/>
      <c r="Z2" s="1881"/>
      <c r="AA2" s="1881"/>
      <c r="AB2" s="1881"/>
    </row>
    <row r="3" spans="1:28">
      <c r="A3" s="308" t="s">
        <v>2670</v>
      </c>
      <c r="B3" s="2546">
        <v>44868</v>
      </c>
      <c r="C3" s="2547" t="s">
        <v>2671</v>
      </c>
      <c r="D3" s="2546">
        <f>B3</f>
        <v>44868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t="s">
        <v>3234</v>
      </c>
      <c r="C4" s="2549">
        <f ca="1">SUMIF(注册房地产估价师,B4,估价师及机构信息!B3:B24)</f>
        <v>0</v>
      </c>
      <c r="D4" s="2548" t="s">
        <v>3233</v>
      </c>
      <c r="E4" s="2550">
        <f ca="1">SUMIF(注册房地产估价师,D4,估价师及机构信息!B3:B24)</f>
        <v>1120060040</v>
      </c>
      <c r="F4" s="2548"/>
      <c r="G4" s="2550">
        <f>SUMIF(注册房地产估价师,F4,估价师及机构信息!B3:B24)</f>
        <v>0</v>
      </c>
      <c r="H4" s="2548"/>
      <c r="I4" s="2550">
        <f>SUMIF(注册房地产估价师,H4,估价师及机构信息!B3:B24)</f>
        <v>0</v>
      </c>
      <c r="J4" s="2614"/>
      <c r="K4" s="2551" t="str">
        <f ca="1">CONCATENATE(B4,"（注册号：",C4,")、",D4,"（注册号：",E4,")")</f>
        <v>梁津（注册号：0)、陈颖（注册号：1120060040)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3235</v>
      </c>
      <c r="C8" s="2563"/>
      <c r="D8" s="3590" t="s">
        <v>2677</v>
      </c>
      <c r="E8" s="2564"/>
      <c r="F8" s="2565"/>
      <c r="G8" s="2839"/>
      <c r="H8" s="2839"/>
      <c r="I8" s="2839"/>
      <c r="J8" s="2614"/>
      <c r="K8" s="2789"/>
      <c r="L8" s="2788"/>
      <c r="M8" s="2788"/>
      <c r="N8" s="2614"/>
      <c r="O8" s="2625"/>
      <c r="P8" s="2614"/>
      <c r="Q8" s="2614"/>
      <c r="R8" s="2614"/>
    </row>
    <row r="9" spans="1:28" ht="13.5" thickBot="1">
      <c r="A9" s="2566" t="s">
        <v>2678</v>
      </c>
      <c r="B9" s="2567" t="s">
        <v>3236</v>
      </c>
      <c r="C9" s="2568"/>
      <c r="D9" s="3591"/>
      <c r="E9" s="2567"/>
      <c r="F9" s="2569"/>
      <c r="G9" s="2841"/>
      <c r="H9" s="2841"/>
      <c r="I9" s="2841"/>
      <c r="J9" s="2614"/>
      <c r="K9" s="2791"/>
      <c r="L9" s="2788"/>
      <c r="M9" s="2788"/>
      <c r="N9" s="2614"/>
      <c r="O9" s="2625"/>
      <c r="P9" s="2614"/>
      <c r="Q9" s="2614"/>
      <c r="R9" s="2614"/>
    </row>
    <row r="10" spans="1:28" ht="13.5" thickTop="1">
      <c r="A10" s="2570" t="s">
        <v>2679</v>
      </c>
      <c r="B10" s="2571" t="s">
        <v>3237</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3238</v>
      </c>
      <c r="C11" s="2576"/>
      <c r="D11" s="2577"/>
      <c r="E11" s="2543"/>
      <c r="F11" s="2543"/>
      <c r="G11" s="2543"/>
      <c r="H11" s="2543"/>
      <c r="I11" s="2543"/>
      <c r="J11" s="2614"/>
      <c r="K11" s="2791"/>
      <c r="L11" s="2788"/>
      <c r="M11" s="2788"/>
      <c r="N11" s="2614"/>
      <c r="O11" s="2625"/>
      <c r="P11" s="2614"/>
      <c r="Q11" s="2614"/>
      <c r="R11" s="2614"/>
    </row>
    <row r="12" spans="1:28">
      <c r="A12" s="2578" t="s">
        <v>2682</v>
      </c>
      <c r="B12" s="2575" t="s">
        <v>3239</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v>63795</v>
      </c>
      <c r="E13" s="945">
        <v>52838</v>
      </c>
      <c r="F13" s="945"/>
      <c r="G13" s="945">
        <v>56489</v>
      </c>
      <c r="H13" s="945"/>
      <c r="I13" s="945"/>
      <c r="J13" s="2614"/>
      <c r="K13" s="2791"/>
      <c r="L13" s="2788"/>
      <c r="M13" s="2788"/>
      <c r="N13" s="2614"/>
      <c r="O13" s="2625"/>
      <c r="P13" s="2614"/>
      <c r="Q13" s="2614"/>
      <c r="R13" s="2614"/>
    </row>
    <row r="14" spans="1:28">
      <c r="A14" s="1193"/>
      <c r="B14" s="2580"/>
      <c r="C14" s="2581" t="s">
        <v>2691</v>
      </c>
      <c r="D14" s="2582">
        <v>70</v>
      </c>
      <c r="E14" s="2582">
        <v>40</v>
      </c>
      <c r="F14" s="2582">
        <v>50</v>
      </c>
      <c r="G14" s="2582">
        <v>50</v>
      </c>
      <c r="H14" s="2582">
        <v>50</v>
      </c>
      <c r="I14" s="2582"/>
      <c r="J14" s="2614"/>
      <c r="K14" s="2792"/>
      <c r="L14" s="2788"/>
      <c r="M14" s="2788"/>
      <c r="N14" s="2614"/>
      <c r="O14" s="2625"/>
      <c r="P14" s="2614"/>
      <c r="Q14" s="2614"/>
      <c r="R14" s="2614"/>
    </row>
    <row r="15" spans="1:28">
      <c r="A15" s="326"/>
      <c r="B15" s="2583"/>
      <c r="C15" s="2584" t="s">
        <v>2692</v>
      </c>
      <c r="D15" s="2585">
        <f>IF(B12="出让",IF(D13="","",ROUNDDOWN(MIN((D13-$D$3)/365,D14),2)),D14)</f>
        <v>51.85</v>
      </c>
      <c r="E15" s="2585">
        <f>IF(B12="出让",IF(E13="","",ROUNDDOWN(MIN((E13-$D$3)/365,E14),2)),E14)</f>
        <v>21.83</v>
      </c>
      <c r="F15" s="2585" t="str">
        <f>IF(B12="出让",IF(F13="","",ROUNDDOWN(MIN((F13-$D$3)/365,F14),2)),F14)</f>
        <v/>
      </c>
      <c r="G15" s="2585">
        <f>IF(B12="出让",IF(G13="","",ROUNDDOWN(MIN((G13-$D$3)/365,G14),2)),G14)</f>
        <v>31.83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597"/>
      <c r="C16" s="3598"/>
      <c r="D16" s="3599"/>
      <c r="E16" s="2588" t="s">
        <v>2694</v>
      </c>
      <c r="F16" s="3600"/>
      <c r="G16" s="3601"/>
      <c r="H16" s="3601"/>
      <c r="I16" s="3602"/>
      <c r="J16" s="2614"/>
      <c r="K16" s="2793"/>
      <c r="L16" s="2626"/>
      <c r="M16" s="2626"/>
      <c r="N16" s="2684"/>
      <c r="O16" s="2626"/>
      <c r="P16" s="2684"/>
      <c r="Q16" s="2614"/>
      <c r="R16" s="2614"/>
    </row>
    <row r="17" spans="1:28">
      <c r="A17" s="319" t="s">
        <v>2695</v>
      </c>
      <c r="B17" s="308" t="s">
        <v>2696</v>
      </c>
      <c r="C17" s="11">
        <f>'数据-汇总表'!E3</f>
        <v>58.81</v>
      </c>
      <c r="D17" s="2495" t="s">
        <v>2697</v>
      </c>
      <c r="E17" s="3603" t="s">
        <v>2698</v>
      </c>
      <c r="F17" s="3604"/>
      <c r="G17" s="3604"/>
      <c r="H17" s="3604"/>
      <c r="I17" s="3605"/>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606" t="s">
        <v>2702</v>
      </c>
      <c r="F18" s="3607"/>
      <c r="G18" s="3607"/>
      <c r="H18" s="3607"/>
      <c r="I18" s="3608"/>
      <c r="J18" s="2614"/>
      <c r="K18" s="2794"/>
      <c r="L18" s="2626"/>
      <c r="M18" s="2626"/>
      <c r="N18" s="2684"/>
      <c r="O18" s="2626"/>
      <c r="P18" s="2684"/>
      <c r="Q18" s="2614"/>
      <c r="R18" s="2614"/>
      <c r="S18" s="2614"/>
      <c r="T18" s="2614"/>
      <c r="U18" s="2614"/>
      <c r="V18" s="2614"/>
    </row>
    <row r="19" spans="1:28" ht="37.5" thickTop="1" thickBot="1">
      <c r="A19" s="333" t="s">
        <v>1500</v>
      </c>
      <c r="B19" s="313" t="s">
        <v>2703</v>
      </c>
      <c r="C19" s="1698" t="s">
        <v>3240</v>
      </c>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593" t="s">
        <v>2706</v>
      </c>
      <c r="C20" s="3594"/>
      <c r="D20" s="3595" t="s">
        <v>2707</v>
      </c>
      <c r="E20" s="3596"/>
      <c r="F20" s="2823" t="s">
        <v>1501</v>
      </c>
      <c r="G20" s="2840"/>
      <c r="H20" s="2840"/>
      <c r="I20" s="2840"/>
      <c r="J20" s="2614"/>
      <c r="K20" s="3592"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59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592"/>
      <c r="L22" s="69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610" t="s">
        <v>2714</v>
      </c>
      <c r="B27" s="326" t="s">
        <v>2715</v>
      </c>
      <c r="C27" s="2591" t="s">
        <v>3241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610"/>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610"/>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611"/>
      <c r="B30" s="308" t="s">
        <v>2718</v>
      </c>
      <c r="C30" s="3612"/>
      <c r="D30" s="3613"/>
      <c r="E30" s="2840"/>
      <c r="F30" s="2840"/>
      <c r="G30" s="2840"/>
      <c r="H30" s="2840"/>
      <c r="I30" s="2840"/>
      <c r="J30" s="2614"/>
      <c r="K30" s="2791"/>
      <c r="L30" s="2788"/>
      <c r="M30" s="2788"/>
      <c r="N30" s="2614"/>
      <c r="O30" s="2625"/>
      <c r="P30" s="2614"/>
      <c r="Q30" s="2614"/>
      <c r="R30" s="2614"/>
      <c r="S30" s="2614"/>
      <c r="T30" s="2614"/>
      <c r="U30" s="2614"/>
      <c r="V30" s="2614"/>
    </row>
    <row r="31" spans="1:28">
      <c r="A31" s="3614" t="s">
        <v>2719</v>
      </c>
      <c r="B31" s="2597" t="s">
        <v>3242</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61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61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609" t="s">
        <v>2728</v>
      </c>
      <c r="T34" s="2603" t="str">
        <f>NUMBERSTRING(7-K34,1)&amp;"通"</f>
        <v>七通</v>
      </c>
      <c r="U34" s="2614"/>
      <c r="V34" s="2614"/>
    </row>
    <row r="35" spans="1:30">
      <c r="A35" s="2604"/>
      <c r="B35" s="3616" t="s">
        <v>2729</v>
      </c>
      <c r="C35" s="3616"/>
      <c r="D35" s="3616"/>
      <c r="E35" s="3616"/>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609"/>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268</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290</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1700-000000000000}">
      <formula1>"自然人,企业"</formula1>
    </dataValidation>
    <dataValidation type="list" allowBlank="1" showInputMessage="1" showErrorMessage="1" sqref="B10" xr:uid="{00000000-0002-0000-1700-000001000000}">
      <formula1>"北京市,其他："</formula1>
    </dataValidation>
    <dataValidation type="list" allowBlank="1" showInputMessage="1" showErrorMessage="1" sqref="C27" xr:uid="{00000000-0002-0000-1700-000002000000}">
      <formula1>"居住项目,商业项目,办公项目,工业项目,综合项目（居住、综合）,综合项目（商业、办公）"</formula1>
    </dataValidation>
    <dataValidation type="list" allowBlank="1" showInputMessage="1" showErrorMessage="1" sqref="C29" xr:uid="{00000000-0002-0000-1700-000003000000}">
      <formula1>"否,全部为保障性住房,含保障性住房"</formula1>
    </dataValidation>
    <dataValidation type="list" allowBlank="1" showInputMessage="1" showErrorMessage="1" sqref="C28" xr:uid="{00000000-0002-0000-1700-000004000000}">
      <formula1>"无,低密度住宅,商场,酒店,旅游地产,仓储物流,高新技术产业用地,其他特殊："</formula1>
    </dataValidation>
    <dataValidation type="list" showInputMessage="1" showErrorMessage="1" sqref="B31:B33" xr:uid="{00000000-0002-0000-1700-000005000000}">
      <formula1>"现房,在建,土地,-"</formula1>
    </dataValidation>
    <dataValidation type="list" allowBlank="1" showInputMessage="1" showErrorMessage="1" sqref="B37:E37" xr:uid="{00000000-0002-0000-1700-000006000000}">
      <formula1>土地级别</formula1>
    </dataValidation>
    <dataValidation type="list" allowBlank="1" showInputMessage="1" showErrorMessage="1" sqref="E38" xr:uid="{00000000-0002-0000-1700-000007000000}">
      <formula1>INDIRECT($E$37)</formula1>
    </dataValidation>
    <dataValidation type="list" allowBlank="1" showInputMessage="1" showErrorMessage="1" sqref="B38" xr:uid="{00000000-0002-0000-1700-000008000000}">
      <formula1>INDIRECT(B37)</formula1>
    </dataValidation>
    <dataValidation type="list" allowBlank="1" showInputMessage="1" showErrorMessage="1" sqref="C38" xr:uid="{00000000-0002-0000-1700-000009000000}">
      <formula1>INDIRECT($C$37)</formula1>
    </dataValidation>
    <dataValidation type="list" allowBlank="1" showInputMessage="1" showErrorMessage="1" sqref="D38" xr:uid="{00000000-0002-0000-1700-00000A000000}">
      <formula1>INDIRECT($D$37)</formula1>
    </dataValidation>
    <dataValidation type="list" allowBlank="1" showInputMessage="1" showErrorMessage="1" sqref="B9" xr:uid="{00000000-0002-0000-1700-00000B000000}">
      <formula1>"房地产抵押价值,房地产市场价值"</formula1>
    </dataValidation>
    <dataValidation type="list" allowBlank="1" showInputMessage="1" showErrorMessage="1" sqref="B8" xr:uid="{00000000-0002-0000-1700-00000C000000}">
      <formula1>"抵押,核定资产,出让"</formula1>
    </dataValidation>
    <dataValidation type="list" allowBlank="1" showInputMessage="1" showErrorMessage="1" sqref="H4 B4 F4 D4" xr:uid="{00000000-0002-0000-1700-00000D000000}">
      <formula1>注册房地产估价师</formula1>
    </dataValidation>
    <dataValidation type="list" allowBlank="1" showInputMessage="1" showErrorMessage="1" sqref="E8" xr:uid="{00000000-0002-0000-1700-00000E000000}">
      <formula1>价值类型2</formula1>
    </dataValidation>
    <dataValidation type="list" allowBlank="1" showInputMessage="1" showErrorMessage="1" sqref="E9" xr:uid="{00000000-0002-0000-1700-00000F000000}">
      <formula1>"抵押净值,——"</formula1>
    </dataValidation>
    <dataValidation type="list" allowBlank="1" showInputMessage="1" showErrorMessage="1" sqref="B34:H34" xr:uid="{00000000-0002-0000-1700-000010000000}">
      <formula1>七通一平</formula1>
    </dataValidation>
    <dataValidation type="list" allowBlank="1" showInputMessage="1" showErrorMessage="1" sqref="C19 E19 G19" xr:uid="{00000000-0002-0000-1700-000011000000}">
      <formula1>判定</formula1>
    </dataValidation>
    <dataValidation type="list" allowBlank="1" showInputMessage="1" showErrorMessage="1" sqref="B21:B22" xr:uid="{00000000-0002-0000-1700-000012000000}">
      <formula1>"《房屋所有权证》,《国有土地使用证》,《不动产权证书》,——"</formula1>
    </dataValidation>
    <dataValidation type="list" allowBlank="1" showInputMessage="1" showErrorMessage="1" sqref="C21:C22 E21" xr:uid="{00000000-0002-0000-1700-000013000000}">
      <formula1>"原件,复印件,——"</formula1>
    </dataValidation>
    <dataValidation type="list" allowBlank="1" showInputMessage="1" showErrorMessage="1" sqref="B12" xr:uid="{00000000-0002-0000-1700-000014000000}">
      <formula1>"出让,划拨"</formula1>
    </dataValidation>
    <dataValidation type="list" allowBlank="1" showInputMessage="1" showErrorMessage="1" sqref="D14:I14" xr:uid="{00000000-0002-0000-1700-000015000000}">
      <formula1>法定最高年限</formula1>
    </dataValidation>
    <dataValidation type="list" allowBlank="1" showInputMessage="1" showErrorMessage="1" sqref="A18" xr:uid="{00000000-0002-0000-17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rgb="FFFFFF00"/>
    <pageSetUpPr fitToPage="1"/>
  </sheetPr>
  <dimension ref="A1:S33"/>
  <sheetViews>
    <sheetView view="pageBreakPreview" zoomScale="80" zoomScaleSheetLayoutView="80" workbookViewId="0">
      <selection activeCell="F23" sqref="F23"/>
    </sheetView>
  </sheetViews>
  <sheetFormatPr defaultColWidth="9.125" defaultRowHeight="14.25"/>
  <cols>
    <col min="1" max="1" width="12.125" style="1773" customWidth="1"/>
    <col min="2" max="2" width="10.1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1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626" t="s">
        <v>1576</v>
      </c>
      <c r="B2" s="3626"/>
      <c r="C2" s="3626"/>
      <c r="D2" s="884" t="s">
        <v>1552</v>
      </c>
      <c r="E2" s="1774" t="s">
        <v>1553</v>
      </c>
      <c r="F2" s="2835"/>
      <c r="G2" s="2826"/>
      <c r="H2" s="2827"/>
      <c r="I2" s="2498" t="s">
        <v>1577</v>
      </c>
      <c r="J2" s="2835"/>
      <c r="K2" s="2835"/>
      <c r="L2" s="2835"/>
      <c r="M2" s="2835"/>
      <c r="N2" s="2837"/>
      <c r="O2" s="2835"/>
      <c r="P2" s="2835"/>
    </row>
    <row r="3" spans="1:16" ht="15.75" thickBot="1">
      <c r="A3" s="3627" t="s">
        <v>1550</v>
      </c>
      <c r="B3" s="3627"/>
      <c r="C3" s="3627"/>
      <c r="D3" s="46">
        <f>'数据-基础表'!AY6</f>
        <v>0</v>
      </c>
      <c r="E3" s="46">
        <f>'数据-基础表'!AZ5</f>
        <v>58.81</v>
      </c>
      <c r="F3" s="2835"/>
      <c r="G3" s="1259"/>
      <c r="H3" s="1137" t="s">
        <v>1551</v>
      </c>
      <c r="I3" s="944" t="e">
        <f>ROUND('数据-基础表'!B3/'数据-基础表'!A3,2)</f>
        <v>#DIV/0!</v>
      </c>
      <c r="J3" s="2835"/>
      <c r="K3" s="2835"/>
      <c r="L3" s="2835"/>
      <c r="M3" s="2835"/>
      <c r="N3" s="2837"/>
      <c r="O3" s="2835"/>
      <c r="P3" s="2835"/>
    </row>
    <row r="4" spans="1:16" ht="15">
      <c r="A4" s="3628"/>
      <c r="B4" s="3629"/>
      <c r="C4" s="3630"/>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631" t="s">
        <v>1555</v>
      </c>
      <c r="C5" s="3631"/>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631" t="s">
        <v>1556</v>
      </c>
      <c r="C6" s="3631"/>
      <c r="D6" s="48">
        <f>ROUND($D$3*E6/$E$3,2)</f>
        <v>0</v>
      </c>
      <c r="E6" s="49">
        <f>E3-E5</f>
        <v>58.81</v>
      </c>
      <c r="F6" s="2835"/>
      <c r="G6" s="2829" t="s">
        <v>1557</v>
      </c>
      <c r="H6" s="1260" t="s">
        <v>1558</v>
      </c>
      <c r="I6" s="2830" t="e">
        <f>ROUND(F31/D31,2)</f>
        <v>#DIV/0!</v>
      </c>
      <c r="J6" s="2835"/>
      <c r="K6" s="2835"/>
      <c r="L6" s="2835"/>
      <c r="M6" s="2835"/>
      <c r="N6" s="2835"/>
      <c r="O6" s="2835"/>
      <c r="P6" s="2835"/>
    </row>
    <row r="7" spans="1:16" ht="15.75" thickBot="1">
      <c r="A7" s="3623"/>
      <c r="B7" s="3624"/>
      <c r="C7" s="3625"/>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58.81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58.81</v>
      </c>
      <c r="F16" s="2835"/>
      <c r="G16" s="2836"/>
      <c r="H16" s="1783" t="s">
        <v>1580</v>
      </c>
      <c r="I16" s="1784"/>
      <c r="J16" s="1253"/>
      <c r="K16" s="3620" t="s">
        <v>1580</v>
      </c>
      <c r="L16" s="3621"/>
      <c r="M16" s="3621"/>
      <c r="N16" s="3621"/>
      <c r="O16" s="3621"/>
      <c r="P16" s="3622"/>
    </row>
    <row r="17" spans="1:19" ht="15">
      <c r="A17" s="1785" t="s">
        <v>1581</v>
      </c>
      <c r="B17" s="1786" t="s">
        <v>1582</v>
      </c>
      <c r="C17" s="1787" t="s">
        <v>1583</v>
      </c>
      <c r="D17" s="1788" t="s">
        <v>1571</v>
      </c>
      <c r="E17" s="1789" t="s">
        <v>1572</v>
      </c>
      <c r="F17" s="1790"/>
      <c r="G17" s="1791"/>
      <c r="H17" s="1792" t="s">
        <v>1584</v>
      </c>
      <c r="I17" s="1793" t="s">
        <v>1569</v>
      </c>
      <c r="J17" s="1253"/>
      <c r="K17" s="3617" t="s">
        <v>1585</v>
      </c>
      <c r="L17" s="3618"/>
      <c r="M17" s="3619"/>
      <c r="N17" s="3617" t="s">
        <v>1586</v>
      </c>
      <c r="O17" s="3618"/>
      <c r="P17" s="3619"/>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t="s">
        <v>4709</v>
      </c>
      <c r="D19" s="48">
        <f>ROUND($D$3*E19/$E$3,2)</f>
        <v>0</v>
      </c>
      <c r="E19" s="56">
        <f t="shared" ref="E19:E26" si="1">SUM(F19:G19)</f>
        <v>58.81</v>
      </c>
      <c r="F19" s="2975">
        <f>'数据-基础表'!I13</f>
        <v>58.81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58.81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58.81</v>
      </c>
      <c r="F27" s="1254">
        <f>IF(SUM(F19:F26)=E8,SUM(F19:F26),"地上面积有误")</f>
        <v>58.81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58.81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58.81</v>
      </c>
      <c r="F31" s="685">
        <f>F27+F30</f>
        <v>58.81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800-000000000000}">
      <formula1>类别</formula1>
    </dataValidation>
    <dataValidation type="list" allowBlank="1" showInputMessage="1" showErrorMessage="1" sqref="I17" xr:uid="{00000000-0002-0000-18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J15" sqref="AJ15"/>
    </sheetView>
  </sheetViews>
  <sheetFormatPr defaultColWidth="13.625" defaultRowHeight="12.75"/>
  <cols>
    <col min="1" max="1" width="20.875" style="1881" customWidth="1"/>
    <col min="2" max="2" width="12" style="1818" customWidth="1"/>
    <col min="3" max="3" width="12.62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625" style="1818" customWidth="1"/>
    <col min="31" max="31" width="8" style="1818" customWidth="1"/>
    <col min="32" max="34" width="7.125" style="1818" customWidth="1"/>
    <col min="35" max="39" width="8" style="1818" customWidth="1"/>
    <col min="40" max="40" width="13.625" style="1817"/>
    <col min="41" max="41" width="11.625" style="1817" customWidth="1"/>
    <col min="42" max="42" width="9.625" style="1817" customWidth="1"/>
    <col min="43" max="67" width="13.625" style="1817"/>
    <col min="68" max="16384" width="13.62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44868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4710</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52838</v>
      </c>
      <c r="F6" s="68">
        <f>SUMIF(项目基本情况!D$12:I$12,C6,项目基本情况!D$15:I$15)</f>
        <v>21.83</v>
      </c>
      <c r="G6" s="69">
        <f>IF(ISERROR(ROUND(POWER(1+H6,D6-F6)*(POWER(1+H6,F6)-1)/(POWER(1+H6,D6)-1),3)),0,ROUND(POWER(1+H6,D6-F6)*(POWER(1+H6,F6)-1)/(POWER(1+H6,D6)-1),3))</f>
        <v>0.78100000000000003</v>
      </c>
      <c r="H6" s="740">
        <v>5.5E-2</v>
      </c>
      <c r="I6" s="3432">
        <v>0.05</v>
      </c>
      <c r="J6" s="70">
        <v>7.0000000000000007E-2</v>
      </c>
      <c r="K6" s="1141">
        <f>SUMIF('数据-汇总表'!C$19:C$33,A6,'数据-汇总表'!E$19:E$33)</f>
        <v>58.81</v>
      </c>
      <c r="L6" s="3433">
        <v>7300</v>
      </c>
      <c r="M6" s="71">
        <f t="shared" ref="M6:M14" si="0">ROUND(K6*L6/10000,0)</f>
        <v>43</v>
      </c>
      <c r="N6" s="3371">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286">
        <f>ROUND($L$14*S6/10000,0)</f>
        <v>0</v>
      </c>
      <c r="U6" s="74">
        <f>'比较法-商业'!C48</f>
        <v>11.66</v>
      </c>
      <c r="V6" s="3434">
        <v>3.5000000000000003E-2</v>
      </c>
      <c r="W6" s="75">
        <v>0.1</v>
      </c>
      <c r="X6" s="1151"/>
      <c r="Y6" s="76">
        <f>N6</f>
        <v>0.84</v>
      </c>
      <c r="Z6" s="77"/>
      <c r="AA6" s="70"/>
      <c r="AB6" s="70"/>
      <c r="AC6" s="1151"/>
      <c r="AD6" s="78">
        <f>Y6</f>
        <v>0.84</v>
      </c>
      <c r="AE6" s="3331">
        <f>F6</f>
        <v>21.83</v>
      </c>
      <c r="AF6" s="1482">
        <v>0</v>
      </c>
      <c r="AG6" s="143">
        <f>IF(AF6="",0,AE6-AF6)</f>
        <v>21.83</v>
      </c>
      <c r="AH6" s="79">
        <f>'数据-汇总表'!F19</f>
        <v>58.81</v>
      </c>
      <c r="AI6" s="81">
        <v>365</v>
      </c>
      <c r="AJ6" s="82"/>
      <c r="AK6" s="83">
        <v>5.0000000000000001E-3</v>
      </c>
      <c r="AL6" s="84">
        <v>5.0000000000000001E-4</v>
      </c>
      <c r="AM6" s="85">
        <v>5.0000000000000001E-3</v>
      </c>
      <c r="AN6" s="1851" t="s">
        <v>4486</v>
      </c>
      <c r="AO6" s="55">
        <f ca="1">SUMIF(INDIRECT("'"&amp;AN6&amp;"'"&amp;"!A:A"),"总价",INDIRECT("'"&amp;AN6&amp;"'"&amp;"!B:B"))</f>
        <v>346</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0.78100000000000003</v>
      </c>
      <c r="H16" s="95">
        <f>ROUND(SUMPRODUCT(H6:H13,K6:K13)/SUMPRODUCT((H6:H13&gt;0)*(K6:K13)),3)</f>
        <v>5.5E-2</v>
      </c>
      <c r="I16" s="96"/>
      <c r="J16" s="96"/>
      <c r="K16" s="97">
        <f>SUM(K6:K15)</f>
        <v>58.81</v>
      </c>
      <c r="L16" s="98">
        <f>ROUND(M16*10000/SUM(K6:K14),0)</f>
        <v>7312</v>
      </c>
      <c r="M16" s="98">
        <f>SUM(M6:M14)</f>
        <v>43</v>
      </c>
      <c r="N16" s="99">
        <f>ROUND(SUMPRODUCT(M6:M14,N6:N14)/M16,3)</f>
        <v>0.84</v>
      </c>
      <c r="O16" s="98">
        <f>SUM(O6:O14)</f>
        <v>0</v>
      </c>
      <c r="P16" s="98">
        <f>SUM(P6:P14)</f>
        <v>0</v>
      </c>
      <c r="Q16" s="100">
        <f>ROUND(SUMPRODUCT(Q6:Q13,K6:K13)/SUMPRODUCT((Q6:Q13&gt;0)*(K6:K13)),2)</f>
        <v>0.15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2803</v>
      </c>
      <c r="D20" s="2854"/>
      <c r="E20" s="2851"/>
      <c r="F20" s="2851"/>
      <c r="G20" s="2851"/>
      <c r="H20" s="2851"/>
      <c r="I20" s="2851"/>
      <c r="J20" s="2851"/>
      <c r="K20" s="2850"/>
      <c r="L20" s="2850"/>
      <c r="M20" s="2849"/>
      <c r="N20" s="2849">
        <f>ROUND(1-(2022-2004)/60,2)</f>
        <v>0.7</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f>ROUND((N20+N21)/2,2)</f>
        <v>0.8</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'成本法-商业'!C10</f>
        <v>1</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0.1</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4809</v>
      </c>
      <c r="B40" s="1190">
        <f ca="1">IF(A40="利息：取LPR",存贷款利率!G1,存贷款利率!G1+C40)</f>
        <v>4.7500000000000001E-2</v>
      </c>
      <c r="C40" s="2994">
        <v>1.0999999999999999E-2</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f>C55</f>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formatCells="0" formatColumns="0" formatRows="0"/>
  <phoneticPr fontId="3" type="noConversion"/>
  <dataValidations count="8">
    <dataValidation type="list" allowBlank="1" showInputMessage="1" showErrorMessage="1" sqref="B44" xr:uid="{00000000-0002-0000-1900-000000000000}">
      <formula1>"7%,5%,1%"</formula1>
    </dataValidation>
    <dataValidation type="list" allowBlank="1" showInputMessage="1" showErrorMessage="1" sqref="B53" xr:uid="{00000000-0002-0000-1900-000001000000}">
      <formula1>城镇土地纳税等级分级范围</formula1>
    </dataValidation>
    <dataValidation type="list" allowBlank="1" showInputMessage="1" showErrorMessage="1" sqref="N5" xr:uid="{00000000-0002-0000-1900-000002000000}">
      <formula1>"工程进度,成新度,工程进度/成新度"</formula1>
    </dataValidation>
    <dataValidation type="list" allowBlank="1" showInputMessage="1" showErrorMessage="1" sqref="C6:C15" xr:uid="{00000000-0002-0000-1900-000003000000}">
      <formula1>地类判定</formula1>
    </dataValidation>
    <dataValidation type="list" showInputMessage="1" showErrorMessage="1" sqref="AI6:AI13" xr:uid="{00000000-0002-0000-1900-000004000000}">
      <formula1>"365,12,1"</formula1>
    </dataValidation>
    <dataValidation type="list" allowBlank="1" showInputMessage="1" showErrorMessage="1" sqref="B14:B15" xr:uid="{00000000-0002-0000-1900-000005000000}">
      <formula1>类别</formula1>
    </dataValidation>
    <dataValidation type="list" allowBlank="1" showInputMessage="1" showErrorMessage="1" sqref="AN6:AN13" xr:uid="{00000000-0002-0000-1900-000006000000}">
      <formula1>估价方法</formula1>
    </dataValidation>
    <dataValidation type="list" allowBlank="1" showInputMessage="1" showErrorMessage="1" sqref="A40" xr:uid="{00000000-0002-0000-19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tabColor rgb="FFFF0000"/>
  </sheetPr>
  <dimension ref="A1:AJ512"/>
  <sheetViews>
    <sheetView view="pageBreakPreview" topLeftCell="A4" zoomScaleSheetLayoutView="100" zoomScalePageLayoutView="80" workbookViewId="0">
      <selection activeCell="I40" sqref="I40"/>
    </sheetView>
  </sheetViews>
  <sheetFormatPr defaultColWidth="12.625" defaultRowHeight="21.75" customHeight="1"/>
  <cols>
    <col min="1" max="2" width="12.625" style="1889"/>
    <col min="3" max="3" width="12.625" style="1889" customWidth="1"/>
    <col min="4" max="4" width="15.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4709</v>
      </c>
      <c r="D1" s="1883"/>
      <c r="E1" s="1883"/>
      <c r="F1" s="1885" t="s">
        <v>1708</v>
      </c>
      <c r="G1" s="1696" t="s">
        <v>4717</v>
      </c>
      <c r="H1" s="1886" t="str">
        <f>IF(G1="现房","——","估价对象范围")</f>
        <v>估价对象范围</v>
      </c>
      <c r="I1" s="1887" t="s">
        <v>4718</v>
      </c>
    </row>
    <row r="2" spans="1:12" ht="21.75" customHeight="1" thickBot="1">
      <c r="A2" s="3702" t="str">
        <f>项目基本情况!S2</f>
        <v>北京市房地产</v>
      </c>
      <c r="B2" s="3703"/>
      <c r="C2" s="3703"/>
      <c r="D2" s="3703"/>
      <c r="E2" s="3703"/>
      <c r="F2" s="3703"/>
      <c r="G2" s="3703"/>
      <c r="H2" s="3703"/>
      <c r="I2" s="3704"/>
    </row>
    <row r="3" spans="1:12" ht="12.75">
      <c r="A3" s="3706" t="s">
        <v>1709</v>
      </c>
      <c r="B3" s="3707"/>
      <c r="C3" s="3707"/>
      <c r="D3" s="3707"/>
      <c r="E3" s="3707"/>
      <c r="F3" s="3707"/>
      <c r="G3" s="3707"/>
      <c r="H3" s="3707"/>
      <c r="I3" s="3707"/>
    </row>
    <row r="4" spans="1:12" ht="14.25">
      <c r="A4" s="1890" t="s">
        <v>1710</v>
      </c>
      <c r="B4" s="1891" t="s">
        <v>1711</v>
      </c>
      <c r="C4" s="1892" t="s">
        <v>4486</v>
      </c>
      <c r="D4" s="1892" t="s">
        <v>4488</v>
      </c>
      <c r="E4" s="3714" t="s">
        <v>1712</v>
      </c>
      <c r="F4" s="3715"/>
      <c r="G4" s="3715"/>
      <c r="H4" s="3715"/>
      <c r="I4" s="3716"/>
      <c r="K4" s="151" t="str">
        <f>IF(ISNUMBER(FIND("比较法",'结果表-商业'!C4)),"比较法",IF(ISNUMBER(FIND("成本法",'结果表-商业'!C4)),"成本法",IF(ISNUMBER(FIND("假设开发法",'结果表-商业'!C4)),"假设开发法",IF(ISNUMBER(FIND("收益法",'结果表-商业'!C4)),"收益法","基准地价系数修正法"))))</f>
        <v>收益法</v>
      </c>
      <c r="L4" s="151"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3647" t="s">
        <v>1713</v>
      </c>
      <c r="B5" s="3705">
        <v>25</v>
      </c>
      <c r="C5" s="3710">
        <v>50</v>
      </c>
      <c r="D5" s="3713">
        <f>100-C5</f>
        <v>50</v>
      </c>
      <c r="E5" s="136" t="s">
        <v>1714</v>
      </c>
      <c r="F5" s="1893"/>
      <c r="G5" s="1893"/>
      <c r="H5" s="1893"/>
      <c r="I5" s="1507"/>
    </row>
    <row r="6" spans="1:12" ht="12.75">
      <c r="A6" s="3647"/>
      <c r="B6" s="3705"/>
      <c r="C6" s="3711"/>
      <c r="D6" s="3713"/>
      <c r="E6" s="136" t="s">
        <v>1715</v>
      </c>
      <c r="F6" s="1893"/>
      <c r="G6" s="1893"/>
      <c r="H6" s="1893"/>
      <c r="I6" s="1507"/>
    </row>
    <row r="7" spans="1:12" ht="12.75">
      <c r="A7" s="3647"/>
      <c r="B7" s="3705"/>
      <c r="C7" s="3712"/>
      <c r="D7" s="3713"/>
      <c r="E7" s="136" t="s">
        <v>1716</v>
      </c>
      <c r="F7" s="1893"/>
      <c r="G7" s="1893"/>
      <c r="H7" s="1893"/>
      <c r="I7" s="1507"/>
    </row>
    <row r="8" spans="1:12" ht="12.75">
      <c r="A8" s="3647" t="s">
        <v>1717</v>
      </c>
      <c r="B8" s="3705">
        <v>15</v>
      </c>
      <c r="C8" s="3708"/>
      <c r="D8" s="3696"/>
      <c r="E8" s="136" t="s">
        <v>1718</v>
      </c>
      <c r="F8" s="1893"/>
      <c r="G8" s="1893"/>
      <c r="H8" s="1893"/>
      <c r="I8" s="1507"/>
    </row>
    <row r="9" spans="1:12" ht="12.75">
      <c r="A9" s="3647"/>
      <c r="B9" s="3705"/>
      <c r="C9" s="3709"/>
      <c r="D9" s="3696"/>
      <c r="E9" s="136" t="s">
        <v>1719</v>
      </c>
      <c r="F9" s="1893"/>
      <c r="G9" s="1893"/>
      <c r="H9" s="1893"/>
      <c r="I9" s="1507"/>
    </row>
    <row r="10" spans="1:12" ht="12.75">
      <c r="A10" s="3647" t="s">
        <v>1720</v>
      </c>
      <c r="B10" s="3705">
        <v>15</v>
      </c>
      <c r="C10" s="3708"/>
      <c r="D10" s="3696"/>
      <c r="E10" s="136" t="s">
        <v>1721</v>
      </c>
      <c r="F10" s="1893"/>
      <c r="G10" s="1893"/>
      <c r="H10" s="1893"/>
      <c r="I10" s="1507"/>
    </row>
    <row r="11" spans="1:12" ht="12.75">
      <c r="A11" s="3647"/>
      <c r="B11" s="3705"/>
      <c r="C11" s="3709"/>
      <c r="D11" s="3696"/>
      <c r="E11" s="136" t="s">
        <v>1722</v>
      </c>
      <c r="F11" s="1893"/>
      <c r="G11" s="1893"/>
      <c r="H11" s="1893"/>
      <c r="I11" s="1507"/>
    </row>
    <row r="12" spans="1:12" ht="12.75">
      <c r="A12" s="3647" t="s">
        <v>1723</v>
      </c>
      <c r="B12" s="3705">
        <v>15</v>
      </c>
      <c r="C12" s="3708"/>
      <c r="D12" s="3696"/>
      <c r="E12" s="136" t="s">
        <v>1724</v>
      </c>
      <c r="F12" s="1893"/>
      <c r="G12" s="1893"/>
      <c r="H12" s="1893"/>
      <c r="I12" s="1507"/>
    </row>
    <row r="13" spans="1:12" ht="12.75">
      <c r="A13" s="3647"/>
      <c r="B13" s="3705"/>
      <c r="C13" s="3709"/>
      <c r="D13" s="3696"/>
      <c r="E13" s="136" t="s">
        <v>1725</v>
      </c>
      <c r="F13" s="1893"/>
      <c r="G13" s="1893"/>
      <c r="H13" s="1893"/>
      <c r="I13" s="1507"/>
    </row>
    <row r="14" spans="1:12" ht="12.75">
      <c r="A14" s="3647" t="s">
        <v>1726</v>
      </c>
      <c r="B14" s="3705">
        <v>30</v>
      </c>
      <c r="C14" s="3708"/>
      <c r="D14" s="3696"/>
      <c r="E14" s="136" t="s">
        <v>1727</v>
      </c>
      <c r="F14" s="1893"/>
      <c r="G14" s="1893"/>
      <c r="H14" s="1893"/>
      <c r="I14" s="1507"/>
    </row>
    <row r="15" spans="1:12" ht="12.75">
      <c r="A15" s="3647"/>
      <c r="B15" s="3705"/>
      <c r="C15" s="3727"/>
      <c r="D15" s="3696"/>
      <c r="E15" s="136" t="s">
        <v>1728</v>
      </c>
      <c r="F15" s="1893"/>
      <c r="G15" s="1893"/>
      <c r="H15" s="1893"/>
      <c r="I15" s="1507"/>
    </row>
    <row r="16" spans="1:12" ht="12.75">
      <c r="A16" s="3647"/>
      <c r="B16" s="3705"/>
      <c r="C16" s="3709"/>
      <c r="D16" s="3696"/>
      <c r="E16" s="136" t="s">
        <v>1729</v>
      </c>
      <c r="F16" s="1893"/>
      <c r="G16" s="1893"/>
      <c r="H16" s="1893"/>
      <c r="I16" s="1507"/>
    </row>
    <row r="17" spans="1:36" ht="15">
      <c r="A17" s="1894" t="s">
        <v>1730</v>
      </c>
      <c r="B17" s="60"/>
      <c r="C17" s="137">
        <f>SUM(C5:C16)</f>
        <v>50</v>
      </c>
      <c r="D17" s="137">
        <f>SUM(D5:D16)</f>
        <v>50</v>
      </c>
      <c r="E17" s="134"/>
      <c r="F17" s="134"/>
      <c r="G17" s="134"/>
      <c r="H17" s="134"/>
      <c r="I17" s="134"/>
      <c r="K17" s="308"/>
      <c r="L17" s="308" t="s">
        <v>1731</v>
      </c>
      <c r="M17" s="308" t="s">
        <v>1732</v>
      </c>
    </row>
    <row r="18" spans="1:36" ht="32.1" customHeight="1" thickBot="1">
      <c r="A18" s="1895" t="s">
        <v>1733</v>
      </c>
      <c r="B18" s="1896"/>
      <c r="C18" s="138">
        <f>ROUND(C17/SUM(C17:D17),2)</f>
        <v>0.5</v>
      </c>
      <c r="D18" s="138">
        <f>1-C18</f>
        <v>0.5</v>
      </c>
      <c r="E18" s="3731" t="s">
        <v>2631</v>
      </c>
      <c r="F18" s="3732"/>
      <c r="G18" s="3732"/>
      <c r="H18" s="3732"/>
      <c r="I18" s="3732"/>
      <c r="K18" s="308" t="s">
        <v>1734</v>
      </c>
      <c r="L18" s="308">
        <f>IF(C1="",'数据-汇总表'!E3,SUMIF(项目类型,C1,'数据-汇总表'!E17:E26)+SUMIF(项目类型,C1,'数据-汇总表'!I17:I26))</f>
        <v>58.81</v>
      </c>
      <c r="M18" s="308">
        <f>IF(C1="",'数据-汇总表'!E3,SUMIF(项目类型,C1,'数据-汇总表'!E17:E26))</f>
        <v>58.81</v>
      </c>
    </row>
    <row r="19" spans="1:36" ht="15">
      <c r="A19" s="1897" t="s">
        <v>1735</v>
      </c>
      <c r="B19" s="1898" t="s">
        <v>1736</v>
      </c>
      <c r="C19" s="139">
        <f ca="1">SUMIF(INDIRECT("'"&amp;C4&amp;"'"&amp;"!A:A"),'结果表-商业'!B19,INDIRECT("'"&amp;C4&amp;"'"&amp;"!B:B"))</f>
        <v>346</v>
      </c>
      <c r="D19" s="140">
        <f ca="1">SUMIF(INDIRECT("'"&amp;D4&amp;"'"&amp;"!A:A"),'结果表-商业'!B19,INDIRECT("'"&amp;D4&amp;"'"&amp;"!B:B"))</f>
        <v>345</v>
      </c>
      <c r="E19" s="1897" t="s">
        <v>1737</v>
      </c>
      <c r="F19" s="1898" t="s">
        <v>1736</v>
      </c>
      <c r="G19" s="141">
        <f ca="1">ROUND(C19*$C$18+D19*$D$18,0)</f>
        <v>346</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SUMIF(INDIRECT("'"&amp;C4&amp;"'"&amp;"!A:A"),'结果表-商业'!B20,INDIRECT("'"&amp;C4&amp;"'"&amp;"!B:B"))</f>
        <v>58834</v>
      </c>
      <c r="D20" s="143">
        <f ca="1">SUMIF(INDIRECT("'"&amp;D4&amp;"'"&amp;"!A:A"),'结果表-商业'!B20,INDIRECT("'"&amp;D4&amp;"'"&amp;"!B:B"))</f>
        <v>58663</v>
      </c>
      <c r="E20" s="1900"/>
      <c r="F20" s="1137" t="s">
        <v>1740</v>
      </c>
      <c r="G20" s="144">
        <f ca="1">ROUND(C20*$C$18+D20*$D$18,0)</f>
        <v>58749</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2.8985507246377384E-3</v>
      </c>
      <c r="E22" s="134"/>
      <c r="F22" s="134"/>
      <c r="G22" s="134"/>
      <c r="H22" s="134"/>
      <c r="I22" s="134"/>
    </row>
    <row r="23" spans="1:36" ht="13.5" thickBot="1">
      <c r="A23" s="1883"/>
      <c r="B23" s="1883"/>
      <c r="C23" s="1883"/>
      <c r="D23" s="1883"/>
      <c r="E23" s="134"/>
      <c r="F23" s="134"/>
      <c r="G23" s="134"/>
      <c r="H23" s="134"/>
      <c r="I23" s="134"/>
      <c r="J23" s="733">
        <f ca="1">C20-D20</f>
        <v>171</v>
      </c>
    </row>
    <row r="24" spans="1:36" ht="14.25">
      <c r="A24" s="3723" t="s">
        <v>1744</v>
      </c>
      <c r="B24" s="1898" t="s">
        <v>1736</v>
      </c>
      <c r="C24" s="141">
        <f>IF(B30=0,0,D30)</f>
        <v>0</v>
      </c>
      <c r="D24" s="1905"/>
      <c r="E24" s="134"/>
      <c r="F24" s="134"/>
      <c r="G24" s="134"/>
      <c r="H24" s="134"/>
      <c r="I24" s="134"/>
      <c r="J24" s="733">
        <f ca="1">J23/D20</f>
        <v>2.9149549119547244E-3</v>
      </c>
    </row>
    <row r="25" spans="1:36" ht="14.25">
      <c r="A25" s="3724"/>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58749</v>
      </c>
      <c r="D32" s="1911"/>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697" t="s">
        <v>1757</v>
      </c>
      <c r="B36" s="1923" t="s">
        <v>1758</v>
      </c>
      <c r="C36" s="150"/>
      <c r="D36" s="1924"/>
      <c r="E36" s="1925"/>
      <c r="F36" s="1926"/>
      <c r="G36" s="134"/>
      <c r="H36" s="134"/>
      <c r="I36" s="134"/>
    </row>
    <row r="37" spans="1:15" ht="15.75" thickBot="1">
      <c r="A37" s="3698"/>
      <c r="B37" s="1810" t="s">
        <v>1759</v>
      </c>
      <c r="C37" s="152"/>
      <c r="D37" s="1253"/>
      <c r="E37" s="1253"/>
      <c r="F37" s="1926"/>
      <c r="G37" s="134"/>
      <c r="H37" s="134"/>
      <c r="I37" s="134"/>
    </row>
    <row r="38" spans="1:15" ht="15.75" thickBot="1">
      <c r="A38" s="3699"/>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720" t="s">
        <v>1771</v>
      </c>
      <c r="B45" s="3721"/>
      <c r="C45" s="3722"/>
      <c r="D45" s="160" t="e">
        <f ca="1">ROUND(H101*F45,0)</f>
        <v>#REF!</v>
      </c>
      <c r="E45" s="161" t="s">
        <v>1772</v>
      </c>
      <c r="F45" s="162">
        <v>1</v>
      </c>
      <c r="G45" s="163" t="s">
        <v>1773</v>
      </c>
      <c r="H45" s="134"/>
      <c r="I45" s="134"/>
      <c r="J45" s="3634" t="s">
        <v>1774</v>
      </c>
      <c r="K45" s="3634"/>
      <c r="L45" s="3634"/>
      <c r="M45" s="3634"/>
      <c r="N45" s="3634"/>
      <c r="O45" s="3634"/>
    </row>
    <row r="46" spans="1:15" ht="14.25" customHeight="1">
      <c r="A46" s="3717" t="s">
        <v>1775</v>
      </c>
      <c r="B46" s="3718"/>
      <c r="C46" s="3718"/>
      <c r="D46" s="3718"/>
      <c r="E46" s="3718"/>
      <c r="F46" s="3718"/>
      <c r="G46" s="3719"/>
      <c r="H46" s="1942"/>
      <c r="I46" s="164"/>
      <c r="J46" s="2698">
        <v>1</v>
      </c>
      <c r="K46" s="3635" t="s">
        <v>1776</v>
      </c>
      <c r="L46" s="3635"/>
      <c r="M46" s="3636"/>
      <c r="N46" s="3636"/>
      <c r="O46" s="3636"/>
    </row>
    <row r="47" spans="1:15" ht="12" customHeight="1">
      <c r="A47" s="165" t="s">
        <v>1777</v>
      </c>
      <c r="B47" s="166"/>
      <c r="C47" s="167"/>
      <c r="D47" s="1199" t="s">
        <v>1778</v>
      </c>
      <c r="E47" s="308" t="s">
        <v>1779</v>
      </c>
      <c r="F47" s="168" t="s">
        <v>1780</v>
      </c>
      <c r="G47" s="2721" t="s">
        <v>1781</v>
      </c>
      <c r="H47" s="2722"/>
      <c r="I47" s="164"/>
      <c r="J47" s="2698">
        <v>2</v>
      </c>
      <c r="K47" s="3635" t="s">
        <v>1782</v>
      </c>
      <c r="L47" s="3635"/>
      <c r="M47" s="3637">
        <f>'数据-取费表'!B2</f>
        <v>44868</v>
      </c>
      <c r="N47" s="3637"/>
      <c r="O47" s="3637"/>
    </row>
    <row r="48" spans="1:15" ht="25.5">
      <c r="A48" s="3700" t="s">
        <v>1783</v>
      </c>
      <c r="B48" s="3701"/>
      <c r="C48" s="3701"/>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635" t="s">
        <v>1785</v>
      </c>
      <c r="L48" s="3635"/>
      <c r="M48" s="3638" t="e">
        <f ca="1">H101</f>
        <v>#REF!</v>
      </c>
      <c r="N48" s="3638"/>
      <c r="O48" s="3638"/>
    </row>
    <row r="49" spans="1:35" ht="25.5" customHeight="1">
      <c r="A49" s="2506" t="s">
        <v>1786</v>
      </c>
      <c r="B49" s="3683" t="s">
        <v>1787</v>
      </c>
      <c r="C49" s="3683"/>
      <c r="D49" s="1725">
        <v>0</v>
      </c>
      <c r="E49" s="330" t="s">
        <v>1788</v>
      </c>
      <c r="F49" s="2599" t="s">
        <v>34</v>
      </c>
      <c r="G49" s="3666"/>
      <c r="H49" s="2478" t="s">
        <v>2634</v>
      </c>
      <c r="I49" s="2479"/>
      <c r="J49" s="2698">
        <v>4</v>
      </c>
      <c r="K49" s="3635" t="str">
        <f>IF(项目基本情况!E8="房地产抵押价值","房地产抵押价值","抵押担保权已注销时的房地产抵押价值")</f>
        <v>抵押担保权已注销时的房地产抵押价值</v>
      </c>
      <c r="L49" s="3635"/>
      <c r="M49" s="3638" t="str">
        <f>IF(项目基本情况!E8="房地产抵押价值",H107,H109)</f>
        <v>——</v>
      </c>
      <c r="N49" s="3638"/>
      <c r="O49" s="3638"/>
    </row>
    <row r="50" spans="1:35" ht="25.5" customHeight="1">
      <c r="A50" s="2726"/>
      <c r="B50" s="3683" t="s">
        <v>1789</v>
      </c>
      <c r="C50" s="3683"/>
      <c r="D50" s="2727"/>
      <c r="E50" s="338"/>
      <c r="F50" s="2599"/>
      <c r="G50" s="3667"/>
      <c r="H50" s="2480" t="s">
        <v>2635</v>
      </c>
      <c r="I50" s="2479"/>
      <c r="J50" s="3634" t="s">
        <v>1790</v>
      </c>
      <c r="K50" s="3634"/>
      <c r="L50" s="3634"/>
      <c r="M50" s="3634"/>
      <c r="N50" s="3634"/>
      <c r="O50" s="3634"/>
    </row>
    <row r="51" spans="1:35" ht="20.45" customHeight="1">
      <c r="A51" s="2728"/>
      <c r="B51" s="3683" t="s">
        <v>1791</v>
      </c>
      <c r="C51" s="3683"/>
      <c r="D51" s="1199"/>
      <c r="E51" s="333"/>
      <c r="F51" s="2599"/>
      <c r="G51" s="3668"/>
      <c r="H51" s="2480" t="s">
        <v>2636</v>
      </c>
      <c r="I51" s="2479"/>
      <c r="J51" s="2699" t="s">
        <v>1792</v>
      </c>
      <c r="K51" s="3635" t="s">
        <v>1793</v>
      </c>
      <c r="L51" s="3635"/>
      <c r="M51" s="2699" t="s">
        <v>1794</v>
      </c>
      <c r="N51" s="2699" t="s">
        <v>1795</v>
      </c>
      <c r="O51" s="2699" t="s">
        <v>1796</v>
      </c>
    </row>
    <row r="52" spans="1:35" ht="24" customHeight="1">
      <c r="A52" s="2508" t="s">
        <v>1797</v>
      </c>
      <c r="B52" s="3683" t="s">
        <v>1798</v>
      </c>
      <c r="C52" s="3683"/>
      <c r="D52" s="1199" t="e">
        <f ca="1">ROUND(D45*'数据-取费表'!B41/(1+'数据-取费表'!C42),0)</f>
        <v>#REF!</v>
      </c>
      <c r="E52" s="2507" t="s">
        <v>1799</v>
      </c>
      <c r="F52" s="2729">
        <f>'数据-取费表'!B41</f>
        <v>5.6000000000000001E-2</v>
      </c>
      <c r="G52" s="2730"/>
      <c r="H52" s="2719"/>
      <c r="I52" s="1943"/>
      <c r="J52" s="2698">
        <v>1</v>
      </c>
      <c r="K52" s="3660" t="s">
        <v>1800</v>
      </c>
      <c r="L52" s="3660"/>
      <c r="M52" s="2700" t="b">
        <f>D48</f>
        <v>0</v>
      </c>
      <c r="N52" s="2698" t="str">
        <f>E48</f>
        <v>销售额×税（费）率</v>
      </c>
      <c r="O52" s="2701">
        <f>F48</f>
        <v>5.6000000000000001E-2</v>
      </c>
    </row>
    <row r="53" spans="1:35" ht="12" customHeight="1">
      <c r="A53" s="2508" t="s">
        <v>1801</v>
      </c>
      <c r="B53" s="3684" t="s">
        <v>2791</v>
      </c>
      <c r="C53" s="3685"/>
      <c r="D53" s="1199" t="e">
        <f ca="1">ROUND(D45*'数据-取费表'!B41/(1+'数据-取费表'!C42),0)</f>
        <v>#REF!</v>
      </c>
      <c r="E53" s="2507" t="s">
        <v>1799</v>
      </c>
      <c r="F53" s="2729">
        <f>'数据-取费表'!B41</f>
        <v>5.6000000000000001E-2</v>
      </c>
      <c r="G53" s="2730"/>
      <c r="H53" s="2719"/>
      <c r="I53" s="1943"/>
      <c r="J53" s="2698">
        <v>2</v>
      </c>
      <c r="K53" s="3660" t="s">
        <v>1802</v>
      </c>
      <c r="L53" s="3660"/>
      <c r="M53" s="2700" t="e">
        <f t="shared" ref="M53:O54" ca="1" si="0">D55</f>
        <v>#REF!</v>
      </c>
      <c r="N53" s="2698" t="str">
        <f t="shared" si="0"/>
        <v>销售额×税（费）率</v>
      </c>
      <c r="O53" s="2701" t="str">
        <f t="shared" si="0"/>
        <v>免征</v>
      </c>
    </row>
    <row r="54" spans="1:35" ht="12" customHeight="1">
      <c r="A54" s="2508" t="s">
        <v>1803</v>
      </c>
      <c r="B54" s="3684" t="s">
        <v>2792</v>
      </c>
      <c r="C54" s="3685"/>
      <c r="D54" s="1199" t="e">
        <f ca="1">C68</f>
        <v>#REF!</v>
      </c>
      <c r="E54" s="333" t="s">
        <v>1804</v>
      </c>
      <c r="F54" s="2729">
        <f>'数据-取费表'!B41</f>
        <v>5.6000000000000001E-2</v>
      </c>
      <c r="G54" s="2730"/>
      <c r="H54" s="2731"/>
      <c r="I54" s="1943"/>
      <c r="J54" s="2698">
        <v>3</v>
      </c>
      <c r="K54" s="3660" t="s">
        <v>1805</v>
      </c>
      <c r="L54" s="3660"/>
      <c r="M54" s="2700" t="e">
        <f t="shared" ca="1" si="0"/>
        <v>#REF!</v>
      </c>
      <c r="N54" s="2698" t="str">
        <f t="shared" si="0"/>
        <v>增值额×税（费）率</v>
      </c>
      <c r="O54" s="2702" t="str">
        <f t="shared" si="0"/>
        <v>免征</v>
      </c>
    </row>
    <row r="55" spans="1:35" ht="24" customHeight="1">
      <c r="A55" s="3726" t="s">
        <v>1806</v>
      </c>
      <c r="B55" s="3701"/>
      <c r="C55" s="3701"/>
      <c r="D55" s="2497" t="e">
        <f ca="1">IF(H55="个人住宅",0,ROUND(D45*I55,0))</f>
        <v>#REF!</v>
      </c>
      <c r="E55" s="2507" t="s">
        <v>1807</v>
      </c>
      <c r="F55" s="2729" t="str">
        <f>IF(H55="正常",I55,"免征")</f>
        <v>免征</v>
      </c>
      <c r="G55" s="2730"/>
      <c r="H55" s="2725"/>
      <c r="I55" s="170">
        <f>'数据-取费表'!B49</f>
        <v>5.0000000000000001E-4</v>
      </c>
      <c r="J55" s="2698">
        <f>IF(H59="非个人房产","",4)</f>
        <v>4</v>
      </c>
      <c r="K55" s="3660" t="str">
        <f>IF(H59="非个人房产","——","个人所得税")</f>
        <v>个人所得税</v>
      </c>
      <c r="L55" s="3660"/>
      <c r="M55" s="2703" t="e">
        <f ca="1">D59</f>
        <v>#REF!</v>
      </c>
      <c r="N55" s="2178" t="str">
        <f>E59</f>
        <v>差额计税</v>
      </c>
      <c r="O55" s="2704">
        <f>F59</f>
        <v>0.01</v>
      </c>
    </row>
    <row r="56" spans="1:35" ht="24.75">
      <c r="A56" s="3726" t="s">
        <v>1808</v>
      </c>
      <c r="B56" s="3701"/>
      <c r="C56" s="3701"/>
      <c r="D56" s="2497" t="e">
        <f ca="1">IF(H56="个人住宅",D57,D58)</f>
        <v>#REF!</v>
      </c>
      <c r="E56" s="2507" t="s">
        <v>1809</v>
      </c>
      <c r="F56" s="2729" t="str">
        <f>IF(H56="正常",F58,"免征")</f>
        <v>免征</v>
      </c>
      <c r="G56" s="2732" t="s">
        <v>1810</v>
      </c>
      <c r="H56" s="2733"/>
      <c r="I56" s="1944"/>
      <c r="J56" s="2698" t="str">
        <f>IF(项目基本情况!K6="上海银行",IF(J55="",4,J55+1),"")</f>
        <v/>
      </c>
      <c r="K56" s="3641" t="str">
        <f>IF(项目基本情况!K6="上海银行","其他处置费用","")</f>
        <v/>
      </c>
      <c r="L56" s="3642"/>
      <c r="M56" s="2700" t="str">
        <f>IF(项目基本情况!K6="上海银行",M69,"")</f>
        <v/>
      </c>
      <c r="N56" s="3641" t="str">
        <f>IF(项目基本情况!K6="上海银行","包含处置中涉及的律师、诉讼、拍卖、评估等费用","")</f>
        <v/>
      </c>
      <c r="O56" s="3644"/>
    </row>
    <row r="57" spans="1:35" ht="12.75">
      <c r="A57" s="2508" t="s">
        <v>1786</v>
      </c>
      <c r="B57" s="3684" t="s">
        <v>1811</v>
      </c>
      <c r="C57" s="3685"/>
      <c r="D57" s="1725">
        <v>0</v>
      </c>
      <c r="E57" s="330" t="s">
        <v>1788</v>
      </c>
      <c r="F57" s="308"/>
      <c r="G57" s="2730"/>
      <c r="H57" s="2734"/>
      <c r="I57" s="1944"/>
      <c r="J57" s="3660">
        <f>IF(AND(J55="",J56=""),4,IF(项目基本情况!K6="上海银行",'结果表-商业'!J56+1,'结果表-商业'!J55+1))</f>
        <v>5</v>
      </c>
      <c r="K57" s="3660" t="s">
        <v>1812</v>
      </c>
      <c r="L57" s="2705" t="s">
        <v>1813</v>
      </c>
      <c r="M57" s="2706"/>
      <c r="N57" s="2707">
        <f ca="1">SUMIF(M52:M56,"&lt;9e307")</f>
        <v>0</v>
      </c>
      <c r="O57" s="2708"/>
      <c r="P57" s="2868" t="e">
        <f ca="1">N57/M49</f>
        <v>#VALUE!</v>
      </c>
    </row>
    <row r="58" spans="1:35" ht="24.75">
      <c r="A58" s="2508" t="s">
        <v>1797</v>
      </c>
      <c r="B58" s="3684" t="s">
        <v>1814</v>
      </c>
      <c r="C58" s="3683"/>
      <c r="D58" s="2497" t="e">
        <f ca="1">IF(H58="转让取得",C81,C97)</f>
        <v>#REF!</v>
      </c>
      <c r="E58" s="2507" t="s">
        <v>1809</v>
      </c>
      <c r="F58" s="308" t="s">
        <v>34</v>
      </c>
      <c r="G58" s="2730"/>
      <c r="H58" s="2733"/>
      <c r="I58" s="1944"/>
      <c r="J58" s="3660"/>
      <c r="K58" s="3660"/>
      <c r="L58" s="2705" t="s">
        <v>1815</v>
      </c>
      <c r="M58" s="2709"/>
      <c r="N58" s="2710" t="str">
        <f ca="1">NUMBERSTRING(INT(N57*10000),2)&amp;"元整"</f>
        <v>零元整</v>
      </c>
      <c r="O58" s="2711"/>
    </row>
    <row r="59" spans="1:35" ht="24.75" thickBot="1">
      <c r="A59" s="3664" t="s">
        <v>1816</v>
      </c>
      <c r="B59" s="3665"/>
      <c r="C59" s="3665"/>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662">
        <f>J57+1</f>
        <v>6</v>
      </c>
      <c r="K59" s="3660" t="s">
        <v>1817</v>
      </c>
      <c r="L59" s="2698" t="s">
        <v>1813</v>
      </c>
      <c r="M59" s="2712"/>
      <c r="N59" s="2713" t="e">
        <f ca="1">M49-N57</f>
        <v>#VALUE!</v>
      </c>
      <c r="O59" s="2714"/>
    </row>
    <row r="60" spans="1:35" ht="12" customHeight="1">
      <c r="A60" s="1945"/>
      <c r="B60" s="1883"/>
      <c r="C60" s="1883"/>
      <c r="D60" s="1883"/>
      <c r="E60" s="1713"/>
      <c r="F60" s="1944"/>
      <c r="G60" s="1944"/>
      <c r="H60" s="1946"/>
      <c r="I60" s="134"/>
      <c r="J60" s="3663"/>
      <c r="K60" s="3660"/>
      <c r="L60" s="2705" t="s">
        <v>1815</v>
      </c>
      <c r="M60" s="2709"/>
      <c r="N60" s="2710" t="e">
        <f ca="1">NUMBERSTRING(INT(N59*10000),2)&amp;"元整"</f>
        <v>#VALUE!</v>
      </c>
      <c r="O60" s="2711"/>
    </row>
    <row r="61" spans="1:35" ht="13.5" thickBot="1">
      <c r="A61" s="3725" t="s">
        <v>1818</v>
      </c>
      <c r="B61" s="3725"/>
      <c r="C61" s="3725"/>
      <c r="D61" s="3725"/>
      <c r="E61" s="3725"/>
      <c r="F61" s="1944"/>
      <c r="G61" s="1944"/>
      <c r="H61" s="1946"/>
      <c r="I61" s="134"/>
      <c r="J61" s="2698">
        <f>J59+1</f>
        <v>7</v>
      </c>
      <c r="K61" s="3660" t="s">
        <v>1819</v>
      </c>
      <c r="L61" s="3660"/>
      <c r="M61" s="2715"/>
      <c r="N61" s="2716" t="e">
        <f ca="1">ROUND(N59*10000/'数据-汇总表'!E3,0)</f>
        <v>#VALUE!</v>
      </c>
      <c r="O61" s="2717"/>
    </row>
    <row r="62" spans="1:35" ht="12.75">
      <c r="A62" s="3679" t="s">
        <v>1820</v>
      </c>
      <c r="B62" s="3680"/>
      <c r="C62" s="2159"/>
      <c r="D62" s="2159"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643"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t="e">
        <f ca="1">D45</f>
        <v>#REF!</v>
      </c>
      <c r="D64" s="175" t="s">
        <v>32</v>
      </c>
      <c r="E64" s="177"/>
      <c r="F64" s="1944"/>
      <c r="G64" s="1944"/>
      <c r="H64" s="1946"/>
      <c r="I64" s="134"/>
      <c r="J64" s="3643"/>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643"/>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643"/>
      <c r="K66" s="1452" t="s">
        <v>1832</v>
      </c>
      <c r="L66" s="1452" t="e">
        <f>M49*0.5%</f>
        <v>#VALUE!</v>
      </c>
      <c r="M66" s="308" t="e">
        <f>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643"/>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t="e">
        <f ca="1">IF(C67&lt;=0,0,ROUND(C67*D68,0))</f>
        <v>#REF!</v>
      </c>
      <c r="D68" s="2745">
        <f>'数据-取费表'!B41</f>
        <v>5.6000000000000001E-2</v>
      </c>
      <c r="E68" s="184"/>
      <c r="F68" s="1944"/>
      <c r="G68" s="1944"/>
      <c r="H68" s="1946"/>
      <c r="I68" s="134"/>
      <c r="J68" s="3643"/>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643"/>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687" t="s">
        <v>1839</v>
      </c>
      <c r="B70" s="3688"/>
      <c r="C70" s="3688"/>
      <c r="D70" s="3688"/>
      <c r="E70" s="3688"/>
      <c r="F70" s="3688"/>
      <c r="G70" s="3688"/>
      <c r="H70" s="3688"/>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679" t="s">
        <v>1820</v>
      </c>
      <c r="B71" s="3680"/>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684" t="s">
        <v>1847</v>
      </c>
      <c r="F76" s="3683"/>
      <c r="G76" s="3683"/>
      <c r="H76" s="368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6.000000000000001E-3</v>
      </c>
      <c r="E78" s="3676" t="s">
        <v>1851</v>
      </c>
      <c r="F78" s="3677"/>
      <c r="G78" s="3677"/>
      <c r="H78" s="367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687" t="s">
        <v>1855</v>
      </c>
      <c r="B83" s="3688"/>
      <c r="C83" s="3688"/>
      <c r="D83" s="3688"/>
      <c r="E83" s="3688"/>
      <c r="F83" s="3688"/>
      <c r="G83" s="3688"/>
      <c r="H83" s="368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679" t="s">
        <v>1820</v>
      </c>
      <c r="B84" s="3680"/>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645" t="s">
        <v>2629</v>
      </c>
      <c r="H90" s="3646"/>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IF(H91="——",'成本法-商业'!C33,I91)</f>
        <v>0</v>
      </c>
      <c r="D91" s="2752"/>
      <c r="E91" s="3676" t="s">
        <v>1864</v>
      </c>
      <c r="F91" s="3677"/>
      <c r="G91" s="367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676" t="s">
        <v>1867</v>
      </c>
      <c r="F92" s="3677"/>
      <c r="G92" s="3677"/>
      <c r="H92" s="3678"/>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6.000000000000001E-3</v>
      </c>
      <c r="E93" s="3676" t="s">
        <v>1851</v>
      </c>
      <c r="F93" s="3677"/>
      <c r="G93" s="3677"/>
      <c r="H93" s="367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728" t="s">
        <v>1871</v>
      </c>
      <c r="F94" s="3729"/>
      <c r="G94" s="3729"/>
      <c r="H94" s="373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628" t="s">
        <v>1873</v>
      </c>
      <c r="B100" s="3629"/>
      <c r="C100" s="3629"/>
      <c r="D100" s="3661"/>
      <c r="E100" s="3629" t="s">
        <v>1874</v>
      </c>
      <c r="F100" s="3629"/>
      <c r="G100" s="3629"/>
      <c r="H100" s="3661"/>
      <c r="I100" s="134"/>
    </row>
    <row r="101" spans="1:35" ht="18.75" customHeight="1">
      <c r="A101" s="3669" t="s">
        <v>1875</v>
      </c>
      <c r="B101" s="3670"/>
      <c r="C101" s="2760" t="str">
        <f>C4</f>
        <v>收益法-商业</v>
      </c>
      <c r="D101" s="2761" t="str">
        <f>D4</f>
        <v>成本法-商业</v>
      </c>
      <c r="E101" s="3639" t="s">
        <v>1876</v>
      </c>
      <c r="F101" s="3640"/>
      <c r="G101" s="1963" t="s">
        <v>1877</v>
      </c>
      <c r="H101" s="2770" t="e">
        <f ca="1">H118</f>
        <v>#REF!</v>
      </c>
      <c r="I101" s="134"/>
    </row>
    <row r="102" spans="1:35" ht="18.75" customHeight="1">
      <c r="A102" s="3671" t="s">
        <v>1878</v>
      </c>
      <c r="B102" s="2759" t="s">
        <v>1877</v>
      </c>
      <c r="C102" s="2760">
        <f ca="1">C19</f>
        <v>346</v>
      </c>
      <c r="D102" s="2761">
        <f ca="1">D19</f>
        <v>345</v>
      </c>
      <c r="E102" s="3639"/>
      <c r="F102" s="3640"/>
      <c r="G102" s="1963" t="s">
        <v>1879</v>
      </c>
      <c r="H102" s="2730" t="e">
        <f ca="1">I118</f>
        <v>#REF!</v>
      </c>
      <c r="I102" s="134"/>
    </row>
    <row r="103" spans="1:35" ht="42.75" customHeight="1">
      <c r="A103" s="3671"/>
      <c r="B103" s="2759" t="s">
        <v>1879</v>
      </c>
      <c r="C103" s="2762">
        <f ca="1">C20</f>
        <v>58834</v>
      </c>
      <c r="D103" s="2763">
        <f ca="1">D20</f>
        <v>58663</v>
      </c>
      <c r="E103" s="3632" t="s">
        <v>1880</v>
      </c>
      <c r="F103" s="3633"/>
      <c r="G103" s="1964" t="s">
        <v>1881</v>
      </c>
      <c r="H103" s="2770">
        <f>IF(D36="正常操作",H104+H105+H106,H105+H106)</f>
        <v>0</v>
      </c>
      <c r="I103" s="134"/>
    </row>
    <row r="104" spans="1:35" ht="18.75" customHeight="1">
      <c r="A104" s="3671" t="s">
        <v>1882</v>
      </c>
      <c r="B104" s="2764" t="s">
        <v>1877</v>
      </c>
      <c r="C104" s="2765" t="e">
        <f ca="1">H118</f>
        <v>#REF!</v>
      </c>
      <c r="D104" s="2766"/>
      <c r="E104" s="1810" t="s">
        <v>1883</v>
      </c>
      <c r="F104" s="1801"/>
      <c r="G104" s="1964" t="s">
        <v>1881</v>
      </c>
      <c r="H104" s="2771">
        <f>IF(D36="同一抵押权人同一抵押物续贷",C36&amp;"（续贷，未扣减，详见特别提示）",C36)</f>
        <v>0</v>
      </c>
      <c r="I104" s="134"/>
    </row>
    <row r="105" spans="1:35" ht="18.75" customHeight="1" thickBot="1">
      <c r="A105" s="3681"/>
      <c r="B105" s="2767" t="s">
        <v>1879</v>
      </c>
      <c r="C105" s="2768" t="e">
        <f ca="1">I118</f>
        <v>#REF!</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672" t="str">
        <f>IF(项目基本情况!E8="已注销","——","3.房地产抵押价值")</f>
        <v>3.房地产抵押价值</v>
      </c>
      <c r="F107" s="3640"/>
      <c r="G107" s="1963" t="s">
        <v>1877</v>
      </c>
      <c r="H107" s="2770" t="e">
        <f ca="1">IF(E107="——","——",H101-H103)</f>
        <v>#REF!</v>
      </c>
      <c r="I107" s="134"/>
    </row>
    <row r="108" spans="1:35" ht="18.75" customHeight="1">
      <c r="A108" s="134"/>
      <c r="B108" s="134"/>
      <c r="C108" s="134"/>
      <c r="D108" s="134"/>
      <c r="E108" s="3672"/>
      <c r="F108" s="3640"/>
      <c r="G108" s="1963" t="s">
        <v>1879</v>
      </c>
      <c r="H108" s="2730" t="e">
        <f ca="1">ROUND(H107*10000/'数据-汇总表'!E3,0)</f>
        <v>#REF!</v>
      </c>
      <c r="I108" s="134"/>
    </row>
    <row r="109" spans="1:35" ht="18.75" customHeight="1">
      <c r="A109" s="134"/>
      <c r="B109" s="134"/>
      <c r="C109" s="134"/>
      <c r="D109" s="134"/>
      <c r="E109" s="3672" t="str">
        <f>IF(项目基本情况!E8="已注销及未注销","4.抵押担保权已注销时的房地产抵押价值",IF(项目基本情况!E8="已注销","3.抵押担保权已注销时的房地产抵押价值","——"))</f>
        <v>——</v>
      </c>
      <c r="F109" s="3640"/>
      <c r="G109" s="1963" t="s">
        <v>1877</v>
      </c>
      <c r="H109" s="2773" t="str">
        <f>IF(E109="——","——",H101-H105-H106)</f>
        <v>——</v>
      </c>
      <c r="I109" s="134"/>
    </row>
    <row r="110" spans="1:35" ht="18.75" customHeight="1">
      <c r="A110" s="134"/>
      <c r="B110" s="134"/>
      <c r="C110" s="134"/>
      <c r="D110" s="134"/>
      <c r="E110" s="3672"/>
      <c r="F110" s="3640"/>
      <c r="G110" s="1963" t="s">
        <v>1879</v>
      </c>
      <c r="H110" s="2730" t="str">
        <f>IF(H109="——","——",ROUND(H109*10000/'数据-汇总表'!E3,0))</f>
        <v>——</v>
      </c>
      <c r="I110" s="134"/>
    </row>
    <row r="111" spans="1:35" ht="18.75" customHeight="1">
      <c r="A111" s="134"/>
      <c r="B111" s="134"/>
      <c r="C111" s="134"/>
      <c r="D111" s="134"/>
      <c r="E111" s="3673" t="str">
        <f>IF(项目基本情况!E9="抵押净值",IF(OR(项目基本情况!E8="已注销",项目基本情况!E8="房地产抵押价值"),"4.抵押净值","5.抵押净值"),"——")</f>
        <v>——</v>
      </c>
      <c r="F111" s="3659"/>
      <c r="G111" s="1963" t="s">
        <v>1877</v>
      </c>
      <c r="H111" s="2770" t="str">
        <f>IF(E111="——","——",N59)</f>
        <v>——</v>
      </c>
      <c r="I111" s="134"/>
    </row>
    <row r="112" spans="1:35" ht="18.75" customHeight="1" thickBot="1">
      <c r="A112" s="134"/>
      <c r="B112" s="134"/>
      <c r="C112" s="134"/>
      <c r="D112" s="134"/>
      <c r="E112" s="3674"/>
      <c r="F112" s="3675"/>
      <c r="G112" s="1966" t="s">
        <v>1879</v>
      </c>
      <c r="H112" s="2774" t="str">
        <f>IF(E111="——","——",N61)</f>
        <v>——</v>
      </c>
      <c r="I112" s="134"/>
    </row>
    <row r="113" spans="1:27" ht="18.75" customHeight="1">
      <c r="A113" s="134"/>
      <c r="B113" s="134"/>
      <c r="C113" s="134"/>
      <c r="D113" s="134"/>
      <c r="E113" s="3682" t="s">
        <v>1885</v>
      </c>
      <c r="F113" s="3682"/>
      <c r="G113" s="3682"/>
      <c r="H113" s="3682"/>
      <c r="I113" s="134"/>
    </row>
    <row r="114" spans="1:27" ht="3.75" customHeight="1">
      <c r="A114" s="1883"/>
      <c r="B114" s="1883"/>
      <c r="C114" s="1883"/>
      <c r="D114" s="1883"/>
      <c r="E114" s="1945"/>
      <c r="F114" s="1945"/>
      <c r="G114" s="1945"/>
      <c r="H114" s="1945"/>
      <c r="I114" s="1883"/>
    </row>
    <row r="115" spans="1:27" ht="18.75" customHeight="1">
      <c r="A115" s="3693" t="s">
        <v>1887</v>
      </c>
      <c r="B115" s="3694"/>
      <c r="C115" s="3694"/>
      <c r="D115" s="3694"/>
      <c r="E115" s="3694"/>
      <c r="F115" s="3694"/>
      <c r="G115" s="3694"/>
      <c r="H115" s="3694"/>
      <c r="I115" s="3695"/>
    </row>
    <row r="116" spans="1:27" ht="27" customHeight="1">
      <c r="A116" s="3647" t="s">
        <v>1888</v>
      </c>
      <c r="B116" s="3651" t="s">
        <v>1889</v>
      </c>
      <c r="C116" s="3651" t="s">
        <v>1890</v>
      </c>
      <c r="D116" s="3657" t="s">
        <v>1891</v>
      </c>
      <c r="E116" s="3658"/>
      <c r="F116" s="3689" t="s">
        <v>1892</v>
      </c>
      <c r="G116" s="3689"/>
      <c r="H116" s="3647" t="s">
        <v>1893</v>
      </c>
      <c r="I116" s="3647"/>
    </row>
    <row r="117" spans="1:27" ht="18.75" customHeight="1">
      <c r="A117" s="3647"/>
      <c r="B117" s="3652"/>
      <c r="C117" s="3652"/>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58.81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647" t="s">
        <v>1897</v>
      </c>
      <c r="B119" s="3647"/>
      <c r="C119" s="3647"/>
      <c r="D119" s="3653" t="e">
        <f ca="1">NUMBERSTRING(INT(D118*10000),2)&amp;"元整"</f>
        <v>#REF!</v>
      </c>
      <c r="E119" s="3654"/>
      <c r="F119" s="3653" t="e">
        <f ca="1">NUMBERSTRING(INT(F118*10000),2)&amp;"元整"</f>
        <v>#REF!</v>
      </c>
      <c r="G119" s="3654"/>
      <c r="H119" s="3653" t="e">
        <f ca="1">NUMBERSTRING(INT(H118*10000),2)&amp;"元整"</f>
        <v>#REF!</v>
      </c>
      <c r="I119" s="3654"/>
    </row>
    <row r="120" spans="1:27" ht="18.75" customHeight="1">
      <c r="A120" s="3648" t="str">
        <f>IF(项目基本情况!B9="房地产市场价值","",MID(E103,3,LEN(E103)-2))</f>
        <v/>
      </c>
      <c r="B120" s="3649"/>
      <c r="C120" s="3650"/>
      <c r="D120" s="3648">
        <f>H103</f>
        <v>0</v>
      </c>
      <c r="E120" s="3649"/>
      <c r="F120" s="3649"/>
      <c r="G120" s="3649"/>
      <c r="H120" s="3649"/>
      <c r="I120" s="3650"/>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690" t="s">
        <v>1897</v>
      </c>
      <c r="B121" s="3691"/>
      <c r="C121" s="3692"/>
      <c r="D121" s="3653" t="str">
        <f>IF(D120=0,"零元整",NUMBERSTRING(INT(D120*10000),2)&amp;"元整")</f>
        <v>零元整</v>
      </c>
      <c r="E121" s="3655"/>
      <c r="F121" s="3655"/>
      <c r="G121" s="3655"/>
      <c r="H121" s="3655"/>
      <c r="I121" s="3654"/>
      <c r="AA121" s="733"/>
    </row>
    <row r="122" spans="1:27" ht="18.75" customHeight="1">
      <c r="A122" s="3659" t="str">
        <f>IF(项目基本情况!B9="房地产市场价值","",MID(E107,3,LEN(E107)-2))</f>
        <v/>
      </c>
      <c r="B122" s="3659"/>
      <c r="C122" s="3659"/>
      <c r="D122" s="3648" t="e">
        <f ca="1">H107</f>
        <v>#REF!</v>
      </c>
      <c r="E122" s="3649"/>
      <c r="F122" s="3649"/>
      <c r="G122" s="3649"/>
      <c r="H122" s="3649"/>
      <c r="I122" s="3650"/>
      <c r="AA122" s="733"/>
    </row>
    <row r="123" spans="1:27" ht="18.75" customHeight="1">
      <c r="A123" s="3647" t="s">
        <v>1897</v>
      </c>
      <c r="B123" s="3647"/>
      <c r="C123" s="3647"/>
      <c r="D123" s="3653" t="e">
        <f ca="1">NUMBERSTRING(INT(D122*10000),2)&amp;"元整"</f>
        <v>#REF!</v>
      </c>
      <c r="E123" s="3655"/>
      <c r="F123" s="3655"/>
      <c r="G123" s="3655"/>
      <c r="H123" s="3655"/>
      <c r="I123" s="3654"/>
      <c r="AA123" s="733"/>
    </row>
    <row r="124" spans="1:27" ht="18.75" customHeight="1">
      <c r="A124" s="3659" t="str">
        <f>IF(项目基本情况!B9="房地产市场价值","",MID(E109,3,LEN(E109)-2))</f>
        <v/>
      </c>
      <c r="B124" s="3659"/>
      <c r="C124" s="3659"/>
      <c r="D124" s="3648" t="str">
        <f>H109</f>
        <v>——</v>
      </c>
      <c r="E124" s="3649"/>
      <c r="F124" s="3649"/>
      <c r="G124" s="3649"/>
      <c r="H124" s="3649"/>
      <c r="I124" s="3650"/>
      <c r="AA124" s="733"/>
    </row>
    <row r="125" spans="1:27" ht="18.75" customHeight="1">
      <c r="A125" s="3647" t="s">
        <v>1897</v>
      </c>
      <c r="B125" s="3647"/>
      <c r="C125" s="3647"/>
      <c r="D125" s="3653" t="e">
        <f>NUMBERSTRING(INT(D124*10000),2)&amp;"元整"</f>
        <v>#VALUE!</v>
      </c>
      <c r="E125" s="3655"/>
      <c r="F125" s="3655"/>
      <c r="G125" s="3655"/>
      <c r="H125" s="3655"/>
      <c r="I125" s="3654"/>
      <c r="AA125" s="733"/>
    </row>
    <row r="126" spans="1:27" ht="18.75" customHeight="1">
      <c r="A126" s="3659" t="str">
        <f>IF(项目基本情况!B9="房地产市场价值","",MID(E111,3,LEN(E111)-2))</f>
        <v/>
      </c>
      <c r="B126" s="3659"/>
      <c r="C126" s="3659"/>
      <c r="D126" s="3648" t="str">
        <f>H111</f>
        <v>——</v>
      </c>
      <c r="E126" s="3649"/>
      <c r="F126" s="3649"/>
      <c r="G126" s="3649"/>
      <c r="H126" s="3649"/>
      <c r="I126" s="3650"/>
      <c r="AA126" s="733"/>
    </row>
    <row r="127" spans="1:27" ht="18.75" customHeight="1">
      <c r="A127" s="3647" t="s">
        <v>1897</v>
      </c>
      <c r="B127" s="3647"/>
      <c r="C127" s="3647"/>
      <c r="D127" s="3653" t="e">
        <f>NUMBERSTRING(INT(D126*10000),2)&amp;"元整"</f>
        <v>#VALUE!</v>
      </c>
      <c r="E127" s="3655"/>
      <c r="F127" s="3655"/>
      <c r="G127" s="3655"/>
      <c r="H127" s="3655"/>
      <c r="I127" s="3654"/>
      <c r="AA127" s="733"/>
    </row>
    <row r="128" spans="1:27" ht="21.75" customHeight="1">
      <c r="A128" s="3656" t="s">
        <v>1898</v>
      </c>
      <c r="B128" s="3656"/>
      <c r="C128" s="3656"/>
      <c r="D128" s="3656"/>
      <c r="E128" s="3656"/>
      <c r="F128" s="3656"/>
      <c r="G128" s="3656"/>
      <c r="H128" s="3656"/>
      <c r="I128" s="3656"/>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A00-000000000000}">
      <formula1>估价方法</formula1>
    </dataValidation>
    <dataValidation type="list" allowBlank="1" showInputMessage="1" showErrorMessage="1" sqref="H55:H56" xr:uid="{00000000-0002-0000-1A00-000001000000}">
      <formula1>"个人住宅,正常"</formula1>
    </dataValidation>
    <dataValidation type="list" allowBlank="1" showInputMessage="1" showErrorMessage="1" sqref="H48" xr:uid="{00000000-0002-0000-1A00-000002000000}">
      <formula1>"情况1,情况2,情况3,情况4"</formula1>
    </dataValidation>
    <dataValidation type="list" allowBlank="1" showInputMessage="1" showErrorMessage="1" sqref="H58" xr:uid="{00000000-0002-0000-1A00-000003000000}">
      <formula1>"转让取得,自行开发建设"</formula1>
    </dataValidation>
    <dataValidation type="list" allowBlank="1" showInputMessage="1" showErrorMessage="1" sqref="D32" xr:uid="{00000000-0002-0000-1A00-000004000000}">
      <formula1>"总价,楼面单价"</formula1>
    </dataValidation>
    <dataValidation type="list" allowBlank="1" showInputMessage="1" showErrorMessage="1" sqref="F45" xr:uid="{00000000-0002-0000-1A00-000005000000}">
      <formula1>"100%,70%,56%"</formula1>
    </dataValidation>
    <dataValidation type="list" allowBlank="1" showInputMessage="1" showErrorMessage="1" sqref="C33" xr:uid="{00000000-0002-0000-1A00-000006000000}">
      <formula1>"成本比率,收益比率,自定义"</formula1>
    </dataValidation>
    <dataValidation type="list" allowBlank="1" showInputMessage="1" showErrorMessage="1" sqref="H91" xr:uid="{00000000-0002-0000-1A00-000007000000}">
      <formula1>"企业提供（在右侧录入）,——"</formula1>
    </dataValidation>
    <dataValidation type="list" allowBlank="1" showInputMessage="1" showErrorMessage="1" sqref="H88" xr:uid="{00000000-0002-0000-1A00-000008000000}">
      <formula1>"仅含出让金,出让金+开发费"</formula1>
    </dataValidation>
    <dataValidation type="list" allowBlank="1" showInputMessage="1" showErrorMessage="1" sqref="F75" xr:uid="{00000000-0002-0000-1A00-000009000000}">
      <formula1>"买卖合同,购房发票"</formula1>
    </dataValidation>
    <dataValidation type="list" allowBlank="1" showInputMessage="1" showErrorMessage="1" sqref="D36" xr:uid="{00000000-0002-0000-1A00-00000A000000}">
      <formula1>"同一抵押权人同一抵押物续贷,注销后放款,正常操作"</formula1>
    </dataValidation>
    <dataValidation type="list" allowBlank="1" showInputMessage="1" showErrorMessage="1" sqref="B116:B117" xr:uid="{00000000-0002-0000-1A00-00000B000000}">
      <formula1>"建筑面积,规划建筑面积,（规划）建筑面积"</formula1>
    </dataValidation>
    <dataValidation type="list" allowBlank="1" showInputMessage="1" showErrorMessage="1" sqref="C116:C117" xr:uid="{00000000-0002-0000-1A00-00000C000000}">
      <formula1>"土地面积,分摊土地面积,（分摊）土地面积"</formula1>
    </dataValidation>
    <dataValidation type="list" allowBlank="1" showInputMessage="1" showErrorMessage="1" sqref="D116:E116" xr:uid="{00000000-0002-0000-1A00-00000D000000}">
      <formula1>"出让国有建设用地使用权价值,划拨国有建设用地使用权价值"</formula1>
    </dataValidation>
    <dataValidation type="list" allowBlank="1" showInputMessage="1" showErrorMessage="1" sqref="F116:G116" xr:uid="{00000000-0002-0000-1A00-00000E000000}">
      <formula1>"建筑物价值,在建建筑物价值,建筑物/在建建筑物价值"</formula1>
    </dataValidation>
    <dataValidation type="list" allowBlank="1" showInputMessage="1" showErrorMessage="1" sqref="C129" xr:uid="{00000000-0002-0000-1A00-00000F000000}">
      <formula1>"无,有"</formula1>
    </dataValidation>
    <dataValidation type="list" showInputMessage="1" showErrorMessage="1" sqref="G1" xr:uid="{00000000-0002-0000-1A00-000010000000}">
      <formula1>"现房,在建,土地,-"</formula1>
    </dataValidation>
    <dataValidation type="list" allowBlank="1" showInputMessage="1" showErrorMessage="1" sqref="I1" xr:uid="{00000000-0002-0000-1A00-000011000000}">
      <formula1>"项目局部,项目全部,——"</formula1>
    </dataValidation>
    <dataValidation type="list" allowBlank="1" showInputMessage="1" showErrorMessage="1" sqref="C1" xr:uid="{00000000-0002-0000-1A00-000012000000}">
      <formula1>项目类型</formula1>
    </dataValidation>
    <dataValidation type="list" allowBlank="1" showInputMessage="1" showErrorMessage="1" sqref="G77" xr:uid="{00000000-0002-0000-1A00-000013000000}">
      <formula1>"个人住宅,2016年5月1日前购买,2016年5月1日后购买"</formula1>
    </dataValidation>
    <dataValidation type="list" allowBlank="1" showInputMessage="1" showErrorMessage="1" sqref="E103" xr:uid="{00000000-0002-0000-1A00-000014000000}">
      <formula1>"2.估价师知悉的法定优先受偿款,2.估价师知悉的除抵押担保权以外的法定优先受偿款"</formula1>
    </dataValidation>
    <dataValidation type="list" allowBlank="1" showInputMessage="1" showErrorMessage="1" sqref="H59" xr:uid="{00000000-0002-0000-1A00-000015000000}">
      <formula1>"非个人房产,个人住宅（满五唯一有凭证）,个人其他（有凭证）,个人其他（无凭证）"</formula1>
    </dataValidation>
    <dataValidation type="list" allowBlank="1" showInputMessage="1" showErrorMessage="1" sqref="D92" xr:uid="{00000000-0002-0000-1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90" zoomScaleNormal="70" zoomScaleSheetLayoutView="90" workbookViewId="0">
      <selection activeCell="D10" sqref="D1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2" customWidth="1"/>
    <col min="12" max="12" width="16.375" style="264" customWidth="1"/>
    <col min="13" max="13" width="13" style="264" customWidth="1"/>
    <col min="14" max="14" width="13.625" style="1518" customWidth="1"/>
    <col min="15" max="15" width="5.125" style="1518" customWidth="1"/>
    <col min="16" max="16" width="25.625" style="1518" customWidth="1"/>
    <col min="17" max="17" width="13.625" style="1518" customWidth="1"/>
    <col min="18" max="18" width="20.5" style="1518" customWidth="1"/>
    <col min="19" max="19" width="13.125" style="1518" customWidth="1"/>
    <col min="20" max="37" width="9" style="1518"/>
    <col min="38" max="16384" width="9" style="264"/>
  </cols>
  <sheetData>
    <row r="1" spans="1:37" s="299" customFormat="1" ht="21">
      <c r="A1" s="1509" t="s">
        <v>1313</v>
      </c>
      <c r="B1" s="721"/>
      <c r="C1" s="1513" t="s">
        <v>4709</v>
      </c>
      <c r="D1" s="1496" t="s">
        <v>70</v>
      </c>
      <c r="E1" s="1497" t="s">
        <v>1111</v>
      </c>
      <c r="F1" s="1173">
        <f ca="1">J53</f>
        <v>21.83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346</v>
      </c>
      <c r="C2" s="1521" t="s">
        <v>1240</v>
      </c>
      <c r="D2" s="1521"/>
      <c r="E2" s="1522"/>
      <c r="F2" s="1523"/>
      <c r="G2" s="2884"/>
      <c r="H2" s="2873"/>
      <c r="I2" s="2873"/>
      <c r="J2" s="2873"/>
      <c r="K2" s="2874"/>
      <c r="L2" s="2873"/>
      <c r="M2" s="2873"/>
    </row>
    <row r="3" spans="1:37" ht="18" customHeight="1" thickBot="1">
      <c r="A3" s="1524" t="s">
        <v>1241</v>
      </c>
      <c r="B3" s="1525">
        <f ca="1">IF(ISERROR(B2*10000/F43),0,ROUND(B2*10000/F43,0))</f>
        <v>58834</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23</v>
      </c>
      <c r="D5" s="1498" t="s">
        <v>1126</v>
      </c>
      <c r="E5" s="1183"/>
      <c r="F5" s="1184"/>
      <c r="G5" s="1518"/>
      <c r="H5" s="305">
        <v>1</v>
      </c>
      <c r="I5" s="306" t="s">
        <v>1125</v>
      </c>
      <c r="J5" s="1182">
        <f ca="1">J6+J10+J12</f>
        <v>0</v>
      </c>
      <c r="K5" s="1498" t="s">
        <v>1126</v>
      </c>
      <c r="L5" s="1183"/>
      <c r="M5" s="1184"/>
    </row>
    <row r="6" spans="1:37" ht="18" customHeight="1">
      <c r="A6" s="1181" t="s">
        <v>822</v>
      </c>
      <c r="B6" s="3735" t="s">
        <v>1127</v>
      </c>
      <c r="C6" s="1186">
        <f ca="1">ROUND(F6*F8*F7*(1-F9)/10000,0)</f>
        <v>23</v>
      </c>
      <c r="D6" s="160" t="s">
        <v>2608</v>
      </c>
      <c r="E6" s="308" t="s">
        <v>1129</v>
      </c>
      <c r="F6" s="309">
        <f ca="1">INDIRECT("'数据-取费表'!u"&amp;$G$1)</f>
        <v>11.66</v>
      </c>
      <c r="G6" s="1518"/>
      <c r="H6" s="1181" t="s">
        <v>822</v>
      </c>
      <c r="I6" s="3735" t="s">
        <v>1127</v>
      </c>
      <c r="J6" s="307">
        <f ca="1">ROUND(M6*M8*M7*(1-M9)/10000,0)</f>
        <v>0</v>
      </c>
      <c r="K6" s="160" t="s">
        <v>2607</v>
      </c>
      <c r="L6" s="308" t="s">
        <v>1129</v>
      </c>
      <c r="M6" s="309">
        <f ca="1">INDIRECT("'数据-取费表'!z"&amp;$G$1)</f>
        <v>0</v>
      </c>
    </row>
    <row r="7" spans="1:37" ht="18" customHeight="1">
      <c r="A7" s="1185"/>
      <c r="B7" s="3736"/>
      <c r="C7" s="1187"/>
      <c r="D7" s="313"/>
      <c r="E7" s="1188" t="s">
        <v>1130</v>
      </c>
      <c r="F7" s="309">
        <f ca="1">IF(INDIRECT("'数据-取费表'!ah"&amp;$G$1)="",INDIRECT("'数据-取费表'!k"&amp;$G$1),INDIRECT("'数据-取费表'!ah"&amp;$G$1))</f>
        <v>58.81</v>
      </c>
      <c r="G7" s="1518"/>
      <c r="H7" s="310"/>
      <c r="I7" s="3736"/>
      <c r="J7" s="312"/>
      <c r="K7" s="313"/>
      <c r="L7" s="308" t="s">
        <v>1130</v>
      </c>
      <c r="M7" s="309">
        <f ca="1">F7</f>
        <v>58.81</v>
      </c>
    </row>
    <row r="8" spans="1:37" ht="18" customHeight="1">
      <c r="A8" s="310"/>
      <c r="B8" s="3736"/>
      <c r="C8" s="312"/>
      <c r="D8" s="313"/>
      <c r="E8" s="308" t="s">
        <v>1131</v>
      </c>
      <c r="F8" s="309">
        <f ca="1">INDIRECT("'数据-取费表'!ai"&amp;$G$1)</f>
        <v>365</v>
      </c>
      <c r="G8" s="1518"/>
      <c r="H8" s="310"/>
      <c r="I8" s="3736"/>
      <c r="J8" s="312"/>
      <c r="K8" s="313"/>
      <c r="L8" s="308" t="s">
        <v>1131</v>
      </c>
      <c r="M8" s="309">
        <f ca="1">INDIRECT("'数据-取费表'!ai"&amp;$G$1)</f>
        <v>365</v>
      </c>
    </row>
    <row r="9" spans="1:37" ht="18" customHeight="1">
      <c r="A9" s="310"/>
      <c r="B9" s="3737"/>
      <c r="C9" s="312"/>
      <c r="D9" s="313"/>
      <c r="E9" s="308" t="s">
        <v>1132</v>
      </c>
      <c r="F9" s="318">
        <f ca="1">INDIRECT("'数据-取费表'!w"&amp;$G$1)</f>
        <v>0.1</v>
      </c>
      <c r="G9" s="1518"/>
      <c r="H9" s="310"/>
      <c r="I9" s="3737"/>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5601</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51</v>
      </c>
      <c r="D13" s="1193" t="s">
        <v>1139</v>
      </c>
      <c r="E13" s="1193" t="s">
        <v>1140</v>
      </c>
      <c r="F13" s="1194">
        <f ca="1">INDIRECT("'数据-取费表'!y"&amp;$G$1)</f>
        <v>0.84</v>
      </c>
      <c r="G13" s="1518"/>
      <c r="H13" s="1191">
        <v>2</v>
      </c>
      <c r="I13" s="1192" t="s">
        <v>1138</v>
      </c>
      <c r="J13" s="1180">
        <f ca="1">ROUND(J14*J15,0)</f>
        <v>51</v>
      </c>
      <c r="K13" s="1199" t="s">
        <v>1139</v>
      </c>
      <c r="L13" s="1526"/>
      <c r="M13" s="1527"/>
    </row>
    <row r="14" spans="1:37" ht="18" customHeight="1">
      <c r="A14" s="1093" t="s">
        <v>821</v>
      </c>
      <c r="B14" s="308" t="s">
        <v>1141</v>
      </c>
      <c r="C14" s="324">
        <f ca="1">INDIRECT("'数据-取费表'!m"&amp;$G$1)+INDIRECT("'数据-取费表'!t"&amp;$G$1)</f>
        <v>43</v>
      </c>
      <c r="D14" s="1479" t="s">
        <v>1142</v>
      </c>
      <c r="E14" s="1476"/>
      <c r="F14" s="325"/>
      <c r="G14" s="1518"/>
      <c r="H14" s="1093" t="s">
        <v>822</v>
      </c>
      <c r="I14" s="308" t="s">
        <v>1143</v>
      </c>
      <c r="J14" s="24">
        <f ca="1">C29</f>
        <v>61</v>
      </c>
      <c r="K14" s="15"/>
      <c r="L14" s="896"/>
      <c r="M14" s="897"/>
    </row>
    <row r="15" spans="1:37" s="1531" customFormat="1" ht="18" customHeight="1" thickBot="1">
      <c r="A15" s="1093" t="s">
        <v>823</v>
      </c>
      <c r="B15" s="308" t="s">
        <v>1144</v>
      </c>
      <c r="C15" s="24">
        <f ca="1">ROUND(C14*F15,0)</f>
        <v>1</v>
      </c>
      <c r="D15" s="326" t="s">
        <v>1145</v>
      </c>
      <c r="E15" s="326" t="s">
        <v>1146</v>
      </c>
      <c r="F15" s="327">
        <f>'数据-取费表'!B33</f>
        <v>0.03</v>
      </c>
      <c r="G15" s="1530"/>
      <c r="H15" s="1201" t="s">
        <v>826</v>
      </c>
      <c r="I15" s="1202" t="s">
        <v>1140</v>
      </c>
      <c r="J15" s="1211">
        <f ca="1">INDIRECT("'数据-取费表'!ad"&amp;$G$1)</f>
        <v>0.84</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ROUND(F17*(F43+INDIRECT("'数据-取费表'!S"&amp;$G$1))/10000,0)</f>
        <v>1</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1</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46</v>
      </c>
      <c r="D19" s="136" t="s">
        <v>1160</v>
      </c>
      <c r="E19" s="1494"/>
      <c r="F19" s="26"/>
      <c r="G19" s="1518"/>
      <c r="H19" s="1093" t="s">
        <v>823</v>
      </c>
      <c r="I19" s="308" t="s">
        <v>1161</v>
      </c>
      <c r="J19" s="24">
        <f ca="1">IF(K19="按租金收入计税",ROUND(J6*M19/(1+'数据-取费表'!C42),2),ROUND(C29*M19*0.7,2))</f>
        <v>0</v>
      </c>
      <c r="K19" s="1504" t="s">
        <v>4714</v>
      </c>
      <c r="L19" s="308" t="s">
        <v>1146</v>
      </c>
      <c r="M19" s="328">
        <f>IF(K19="按租金收入计税",'数据-取费表'!B51,'数据-取费表'!B50)</f>
        <v>0.12</v>
      </c>
    </row>
    <row r="20" spans="1:37" s="1531" customFormat="1" ht="18" customHeight="1">
      <c r="A20" s="1093" t="s">
        <v>826</v>
      </c>
      <c r="B20" s="308" t="s">
        <v>1163</v>
      </c>
      <c r="C20" s="24">
        <f ca="1">ROUND(C19*F20,0)</f>
        <v>1</v>
      </c>
      <c r="D20" s="329" t="s">
        <v>1164</v>
      </c>
      <c r="E20" s="308" t="s">
        <v>1146</v>
      </c>
      <c r="F20" s="328">
        <f>'数据-取费表'!B37</f>
        <v>0.02</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0.3</v>
      </c>
      <c r="K22" s="1478" t="s">
        <v>1174</v>
      </c>
      <c r="L22" s="308" t="s">
        <v>1146</v>
      </c>
      <c r="M22" s="334">
        <f ca="1">INDIRECT("'数据-取费表'!Ak"&amp;$G$1)</f>
        <v>5.0000000000000001E-3</v>
      </c>
    </row>
    <row r="23" spans="1:37" s="1531" customFormat="1" ht="18" customHeight="1">
      <c r="A23" s="1093" t="s">
        <v>821</v>
      </c>
      <c r="B23" s="308" t="s">
        <v>1175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5.0000000000000001E-4</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4.7500000000000001E-2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c r="A26" s="1093" t="s">
        <v>821</v>
      </c>
      <c r="B26" s="308" t="s">
        <v>1189</v>
      </c>
      <c r="C26" s="24">
        <f ca="1">ROUND((C19+C20)*F26,0)</f>
        <v>7</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21.83</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61</v>
      </c>
      <c r="D29" s="1204"/>
      <c r="E29" s="1202"/>
      <c r="F29" s="1205"/>
      <c r="G29" s="1530"/>
      <c r="H29" s="340" t="s">
        <v>820</v>
      </c>
      <c r="I29" s="341" t="s">
        <v>1203</v>
      </c>
      <c r="J29" s="342">
        <f ca="1">ROUND(J26/(1+F40)^F41,0)</f>
        <v>0</v>
      </c>
      <c r="K29" s="343" t="s">
        <v>1204</v>
      </c>
      <c r="L29" s="344"/>
      <c r="M29" s="345">
        <f ca="1">INDIRECT("'数据-取费表'!k"&amp;$G$1)</f>
        <v>58.81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4</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1.23</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2.63</v>
      </c>
      <c r="D33" s="1504" t="s">
        <v>4714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0.3</v>
      </c>
      <c r="D36" s="1478" t="s">
        <v>1206</v>
      </c>
      <c r="E36" s="308" t="s">
        <v>1146</v>
      </c>
      <c r="F36" s="334">
        <f ca="1">INDIRECT("'数据-取费表'!Ak"&amp;$G$1)</f>
        <v>5.0000000000000001E-3</v>
      </c>
      <c r="G36" s="1518"/>
      <c r="H36" s="2878"/>
      <c r="I36" s="1532"/>
      <c r="J36" s="1533"/>
      <c r="K36" s="2719"/>
      <c r="L36" s="2878"/>
      <c r="M36" s="2878"/>
    </row>
    <row r="37" spans="1:18" ht="18" customHeight="1">
      <c r="A37" s="1093" t="s">
        <v>862</v>
      </c>
      <c r="B37" s="308" t="s">
        <v>1177</v>
      </c>
      <c r="C37" s="24">
        <f ca="1">ROUND(C13*F37,1)</f>
        <v>0</v>
      </c>
      <c r="D37" s="1478" t="s">
        <v>1178</v>
      </c>
      <c r="E37" s="308" t="s">
        <v>1179</v>
      </c>
      <c r="F37" s="336">
        <f ca="1">INDIRECT("'数据-取费表'!Al"&amp;$G$1)</f>
        <v>5.0000000000000001E-4</v>
      </c>
      <c r="G37" s="1518"/>
      <c r="H37" s="2878"/>
      <c r="I37" s="1532"/>
      <c r="J37" s="1533"/>
      <c r="K37" s="2719"/>
      <c r="L37" s="2878"/>
      <c r="M37" s="2878"/>
    </row>
    <row r="38" spans="1:18" ht="18" customHeight="1" thickBot="1">
      <c r="A38" s="1201" t="s">
        <v>1117</v>
      </c>
      <c r="B38" s="1202" t="s">
        <v>1163</v>
      </c>
      <c r="C38" s="1203">
        <f ca="1">ROUND(C5*F38,1)</f>
        <v>0.1</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6">
        <f ca="1">C5-C30</f>
        <v>19</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341</v>
      </c>
      <c r="D40" s="330" t="s">
        <v>1193</v>
      </c>
      <c r="E40" s="308" t="s">
        <v>1194</v>
      </c>
      <c r="F40" s="318">
        <f ca="1">INDIRECT("'数据-取费表'!I"&amp;$G$1)</f>
        <v>0.05</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21.83</v>
      </c>
      <c r="G41" s="1518"/>
      <c r="H41" s="1305"/>
      <c r="I41" s="1532"/>
      <c r="J41" s="1533"/>
      <c r="K41" s="2719"/>
      <c r="L41" s="1305"/>
      <c r="M41" s="1305"/>
    </row>
    <row r="42" spans="1:18" ht="18" customHeight="1">
      <c r="A42" s="314"/>
      <c r="B42" s="315"/>
      <c r="C42" s="316"/>
      <c r="D42" s="333"/>
      <c r="E42" s="308" t="s">
        <v>1201</v>
      </c>
      <c r="F42" s="318">
        <f ca="1">INDIRECT("'数据-取费表'!v"&amp;$G$1)</f>
        <v>3.5000000000000003E-2</v>
      </c>
      <c r="G42" s="1518"/>
      <c r="H42" s="1305"/>
      <c r="I42" s="1532"/>
      <c r="J42" s="1533"/>
      <c r="K42" s="2719"/>
      <c r="L42" s="1305"/>
      <c r="M42" s="1305"/>
    </row>
    <row r="43" spans="1:18" ht="18" customHeight="1" thickBot="1">
      <c r="A43" s="340" t="s">
        <v>820</v>
      </c>
      <c r="B43" s="341" t="s">
        <v>1211</v>
      </c>
      <c r="C43" s="342">
        <f ca="1">ROUND(C40*10000/F43,0)</f>
        <v>57983</v>
      </c>
      <c r="D43" s="343" t="s">
        <v>1212</v>
      </c>
      <c r="E43" s="344" t="s">
        <v>1213</v>
      </c>
      <c r="F43" s="345">
        <f ca="1">INDIRECT("'数据-取费表'!k"&amp;$G$1)</f>
        <v>58.81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-407</v>
      </c>
      <c r="D46" s="1540" t="str">
        <f>C2</f>
        <v>万元</v>
      </c>
      <c r="E46" s="1534"/>
      <c r="F46" s="1534"/>
      <c r="I46" s="1541" t="s">
        <v>1245</v>
      </c>
      <c r="J46" s="1542"/>
      <c r="K46" s="1543"/>
      <c r="L46" s="1544">
        <f ca="1">IF(M47="住宅",0,IF(L48&gt;J51,L60,J60))</f>
        <v>5</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4715</v>
      </c>
      <c r="K47" s="1550" t="s">
        <v>1251</v>
      </c>
      <c r="L47" s="1551">
        <f ca="1">INDIRECT("'数据-取费表'!d"&amp;$G$1)</f>
        <v>40</v>
      </c>
      <c r="M47" s="1514" t="str">
        <f>IF(ISNUMBER(FIND("住宅",C1)),"住宅","非住宅")</f>
        <v>非住宅</v>
      </c>
      <c r="O47" s="1552" t="s">
        <v>827</v>
      </c>
      <c r="P47" s="1553" t="s">
        <v>1252</v>
      </c>
      <c r="Q47" s="1554">
        <f ca="1">C40+J29</f>
        <v>341</v>
      </c>
      <c r="R47" s="1554" t="s">
        <v>1253</v>
      </c>
    </row>
    <row r="48" spans="1:18" s="1518" customFormat="1" ht="28.5" thickBot="1">
      <c r="A48" s="1222" t="s">
        <v>863</v>
      </c>
      <c r="B48" s="306" t="s">
        <v>1125</v>
      </c>
      <c r="C48" s="1493">
        <f ca="1">C49+C53+C55</f>
        <v>0</v>
      </c>
      <c r="D48" s="1224"/>
      <c r="E48" s="1225"/>
      <c r="F48" s="1073"/>
      <c r="G48" s="730"/>
      <c r="H48" s="731"/>
      <c r="I48" s="1555" t="s">
        <v>1254</v>
      </c>
      <c r="J48" s="1556" t="s">
        <v>4716</v>
      </c>
      <c r="K48" s="1557" t="s">
        <v>1255</v>
      </c>
      <c r="L48" s="1558">
        <f ca="1">INDIRECT("'数据-取费表'!f"&amp;$G$1)</f>
        <v>21.83</v>
      </c>
      <c r="O48" s="1552" t="s">
        <v>828</v>
      </c>
      <c r="P48" s="1553" t="s">
        <v>1256</v>
      </c>
      <c r="Q48" s="1554">
        <f ca="1">J60</f>
        <v>5</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2008</v>
      </c>
      <c r="K49" s="1557" t="s">
        <v>1259</v>
      </c>
      <c r="L49" s="1561"/>
      <c r="O49" s="1562" t="s">
        <v>829</v>
      </c>
      <c r="P49" s="1553" t="s">
        <v>1260</v>
      </c>
      <c r="Q49" s="1554">
        <f ca="1">C29</f>
        <v>61</v>
      </c>
      <c r="R49" s="1554" t="s">
        <v>1253</v>
      </c>
    </row>
    <row r="50" spans="1:18" s="1518" customFormat="1" ht="13.5" thickBot="1">
      <c r="A50" s="1087"/>
      <c r="B50" s="1090"/>
      <c r="C50" s="1230"/>
      <c r="D50" s="1064"/>
      <c r="E50" s="1167" t="s">
        <v>1130</v>
      </c>
      <c r="F50" s="1168">
        <f ca="1">F7</f>
        <v>58.81</v>
      </c>
      <c r="H50" s="731"/>
      <c r="I50" s="1555" t="s">
        <v>1261</v>
      </c>
      <c r="J50" s="1563">
        <f>SUMPRODUCT((I63:I65=J47)*(J62:L62=J48)*(J63:L65))</f>
        <v>60</v>
      </c>
      <c r="K50" s="1557" t="s">
        <v>1262</v>
      </c>
      <c r="L50" s="1561"/>
      <c r="M50" s="1564"/>
      <c r="O50" s="1562" t="s">
        <v>830</v>
      </c>
      <c r="P50" s="1553" t="s">
        <v>1263</v>
      </c>
      <c r="Q50" s="1565">
        <f ca="1">J58</f>
        <v>0.40300000000000002</v>
      </c>
      <c r="R50" s="1554"/>
    </row>
    <row r="51" spans="1:18" s="1518" customFormat="1" ht="13.5" thickBot="1">
      <c r="A51" s="1088"/>
      <c r="B51" s="1090"/>
      <c r="C51" s="1091"/>
      <c r="D51" s="1064"/>
      <c r="E51" s="1092" t="s">
        <v>1131</v>
      </c>
      <c r="F51" s="309">
        <f ca="1">F8</f>
        <v>365</v>
      </c>
      <c r="I51" s="1566" t="s">
        <v>1264</v>
      </c>
      <c r="J51" s="1567">
        <f>IF(J49="",J50,J49+J50-YEAR('数据-取费表'!B2))</f>
        <v>46</v>
      </c>
      <c r="K51" s="1568" t="s">
        <v>1265</v>
      </c>
      <c r="L51" s="1569">
        <f ca="1">ROUND(-PV(INDIRECT("'数据-取费表'!h"&amp;$G$1),J51,(C39-C13*C76),0),0)</f>
        <v>257</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21.83</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t="s">
        <v>4713</v>
      </c>
      <c r="I53" s="1573" t="s">
        <v>1271</v>
      </c>
      <c r="J53" s="2336">
        <f ca="1">IF(M47="住宅",IF(D1="——",MAX(J51,L48),MAX(J51,L48-'数据-取费表'!B24)),IF(D1="——",MIN(J51,L48),MIN(J51,L48-'数据-取费表'!B24)))</f>
        <v>21.83</v>
      </c>
      <c r="K53" s="3733" t="s">
        <v>1272</v>
      </c>
      <c r="L53" s="3734"/>
      <c r="O53" s="1552" t="s">
        <v>833</v>
      </c>
      <c r="P53" s="1553" t="s">
        <v>1273</v>
      </c>
      <c r="Q53" s="1554">
        <f ca="1">Q47+Q48</f>
        <v>346</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0.40300000000000002</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51</v>
      </c>
      <c r="D56" s="1581"/>
      <c r="E56" s="1582"/>
      <c r="F56" s="1574"/>
      <c r="I56" s="1583" t="s">
        <v>1278</v>
      </c>
      <c r="J56" s="1584" t="s">
        <v>5625</v>
      </c>
      <c r="K56" s="1555" t="s">
        <v>1279</v>
      </c>
      <c r="L56" s="1558" t="str">
        <f ca="1">IF(L48&lt;J51,"——",L48-J53)</f>
        <v>——</v>
      </c>
      <c r="O56" s="1552" t="s">
        <v>827</v>
      </c>
      <c r="P56" s="1553" t="s">
        <v>1252</v>
      </c>
      <c r="Q56" s="1554">
        <f ca="1">C40+J29</f>
        <v>341</v>
      </c>
      <c r="R56" s="1554" t="s">
        <v>1253</v>
      </c>
    </row>
    <row r="57" spans="1:18" s="1518" customFormat="1" ht="24.75" thickBot="1">
      <c r="A57" s="1585"/>
      <c r="B57" s="1061" t="s">
        <v>1202</v>
      </c>
      <c r="C57" s="244">
        <f ca="1">C29</f>
        <v>61</v>
      </c>
      <c r="D57" s="1586"/>
      <c r="E57" s="1587"/>
      <c r="F57" s="1588"/>
      <c r="I57" s="1589" t="s">
        <v>1280</v>
      </c>
      <c r="J57" s="1590">
        <f ca="1">IF(OR(M47="住宅",J51&lt;L48,J56="是"),"——",J51-L48)</f>
        <v>24.17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5</v>
      </c>
      <c r="D58" s="1071" t="s">
        <v>1149</v>
      </c>
      <c r="E58" s="1072"/>
      <c r="F58" s="1073"/>
      <c r="I58" s="1589" t="s">
        <v>1284</v>
      </c>
      <c r="J58" s="1591">
        <f ca="1">IF(J55&lt;0.4,0.4,J55)</f>
        <v>0.40300000000000002</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5</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25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5</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5.12</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341</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0.3</v>
      </c>
      <c r="D64" s="1075" t="s">
        <v>1226</v>
      </c>
      <c r="E64" s="1061"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v>
      </c>
      <c r="D65" s="1075" t="s">
        <v>1178</v>
      </c>
      <c r="E65" s="1061" t="s">
        <v>1179</v>
      </c>
      <c r="F65" s="336">
        <f t="shared" ca="1" si="0"/>
        <v>5.0000000000000001E-4</v>
      </c>
      <c r="I65" s="1596" t="s">
        <v>1303</v>
      </c>
      <c r="J65" s="1597">
        <v>40</v>
      </c>
      <c r="K65" s="1597">
        <v>30</v>
      </c>
      <c r="L65" s="1597">
        <v>50</v>
      </c>
      <c r="M65" s="1599">
        <v>0.02</v>
      </c>
      <c r="O65" s="1552" t="s">
        <v>827</v>
      </c>
      <c r="P65" s="1553" t="s">
        <v>1304</v>
      </c>
      <c r="Q65" s="1554">
        <f ca="1">C40+J29</f>
        <v>341</v>
      </c>
      <c r="R65" s="1554" t="s">
        <v>1253</v>
      </c>
    </row>
    <row r="66" spans="1:18" s="1518" customFormat="1" ht="16.5" thickBot="1">
      <c r="A66" s="1093" t="s">
        <v>1228</v>
      </c>
      <c r="B66" s="1061" t="s">
        <v>1163</v>
      </c>
      <c r="C66" s="24">
        <f ca="1">ROUND(C48*F66,1)</f>
        <v>0</v>
      </c>
      <c r="D66" s="1075" t="s">
        <v>1229</v>
      </c>
      <c r="E66" s="1061" t="s">
        <v>1146</v>
      </c>
      <c r="F66" s="318">
        <f t="shared" ca="1" si="0"/>
        <v>5.0000000000000001E-3</v>
      </c>
      <c r="O66" s="1552" t="s">
        <v>828</v>
      </c>
      <c r="P66" s="1553" t="s">
        <v>1282</v>
      </c>
      <c r="Q66" s="1554">
        <f ca="1">L60</f>
        <v>0</v>
      </c>
      <c r="R66" s="1554" t="s">
        <v>1305</v>
      </c>
    </row>
    <row r="67" spans="1:18" s="1518" customFormat="1" ht="16.5" thickBot="1">
      <c r="A67" s="1068" t="s">
        <v>818</v>
      </c>
      <c r="B67" s="1078" t="s">
        <v>1187</v>
      </c>
      <c r="C67" s="322">
        <f ca="1">C48-C58</f>
        <v>-5</v>
      </c>
      <c r="D67" s="1074" t="s">
        <v>1188</v>
      </c>
      <c r="E67" s="1079"/>
      <c r="F67" s="1080"/>
      <c r="O67" s="1562" t="s">
        <v>829</v>
      </c>
      <c r="P67" s="1553" t="s">
        <v>1286</v>
      </c>
      <c r="Q67" s="1600">
        <f ca="1">L51</f>
        <v>257</v>
      </c>
      <c r="R67" s="1554" t="s">
        <v>1306</v>
      </c>
    </row>
    <row r="68" spans="1:18" s="1518" customFormat="1" ht="16.5" thickBot="1">
      <c r="A68" s="1058" t="s">
        <v>819</v>
      </c>
      <c r="B68" s="1059" t="s">
        <v>1209</v>
      </c>
      <c r="C68" s="307">
        <f ca="1">ROUND(C67*(1-((1+F70)/(1+F68))^F69)/(F68-F70),0)</f>
        <v>-66</v>
      </c>
      <c r="D68" s="1076" t="s">
        <v>1193</v>
      </c>
      <c r="E68" s="1061" t="s">
        <v>1194</v>
      </c>
      <c r="F68" s="318">
        <f ca="1">F40</f>
        <v>0.05</v>
      </c>
      <c r="O68" s="1562" t="s">
        <v>830</v>
      </c>
      <c r="P68" s="1601" t="s">
        <v>1307</v>
      </c>
      <c r="Q68" s="1554">
        <f ca="1">ROUND(Q69-Q70*Q71,0)</f>
        <v>15</v>
      </c>
      <c r="R68" s="1554" t="s">
        <v>838</v>
      </c>
    </row>
    <row r="69" spans="1:18" s="1518" customFormat="1" ht="13.5" thickBot="1">
      <c r="A69" s="1062"/>
      <c r="B69" s="1063"/>
      <c r="C69" s="312"/>
      <c r="D69" s="1081" t="s">
        <v>1197</v>
      </c>
      <c r="E69" s="1061" t="s">
        <v>1198</v>
      </c>
      <c r="F69" s="339">
        <f ca="1">F41</f>
        <v>21.83</v>
      </c>
      <c r="O69" s="1562" t="s">
        <v>835</v>
      </c>
      <c r="P69" s="1601" t="s">
        <v>1308</v>
      </c>
      <c r="Q69" s="1554">
        <f ca="1">C39</f>
        <v>19</v>
      </c>
      <c r="R69" s="1554" t="s">
        <v>1253</v>
      </c>
    </row>
    <row r="70" spans="1:18" s="1518" customFormat="1" ht="13.5" thickBot="1">
      <c r="A70" s="1065"/>
      <c r="B70" s="1066"/>
      <c r="C70" s="316"/>
      <c r="D70" s="1077"/>
      <c r="E70" s="1061" t="s">
        <v>1201</v>
      </c>
      <c r="F70" s="1165"/>
      <c r="O70" s="1562" t="s">
        <v>836</v>
      </c>
      <c r="P70" s="1601" t="s">
        <v>1309</v>
      </c>
      <c r="Q70" s="1554">
        <f ca="1">C13</f>
        <v>51</v>
      </c>
      <c r="R70" s="1554" t="s">
        <v>1253</v>
      </c>
    </row>
    <row r="71" spans="1:18" s="1518" customFormat="1" ht="13.5" thickBot="1">
      <c r="A71" s="1082" t="s">
        <v>820</v>
      </c>
      <c r="B71" s="1083" t="s">
        <v>1211</v>
      </c>
      <c r="C71" s="342">
        <f ca="1">ROUND(C68*10000/F71,0)</f>
        <v>-11223</v>
      </c>
      <c r="D71" s="1084" t="s">
        <v>1212</v>
      </c>
      <c r="E71" s="1085" t="s">
        <v>1213</v>
      </c>
      <c r="F71" s="345">
        <f ca="1">F43</f>
        <v>58.81</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4</v>
      </c>
      <c r="D75" s="1518"/>
      <c r="E75" s="1518"/>
      <c r="F75" s="1518"/>
      <c r="K75" s="1536"/>
      <c r="L75" s="1518"/>
      <c r="O75" s="1552" t="s">
        <v>833</v>
      </c>
      <c r="P75" s="1553" t="s">
        <v>1273</v>
      </c>
      <c r="Q75" s="1554">
        <f ca="1">Q65+Q66</f>
        <v>341</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0.78900000000000003</v>
      </c>
    </row>
    <row r="80" spans="1:18">
      <c r="B80" s="346" t="s">
        <v>1235</v>
      </c>
      <c r="C80" s="280">
        <f ca="1">ROUND(C75/C39,3)</f>
        <v>0.21099999999999999</v>
      </c>
    </row>
    <row r="81" spans="2:3">
      <c r="B81" s="276" t="s">
        <v>1236</v>
      </c>
      <c r="C81" s="244"/>
    </row>
    <row r="82" spans="2:3">
      <c r="B82" s="279" t="s">
        <v>1237</v>
      </c>
      <c r="C82" s="281">
        <f ca="1">1-C83</f>
        <v>0.85</v>
      </c>
    </row>
    <row r="83" spans="2:3">
      <c r="B83" s="279" t="s">
        <v>1238</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3"/>
  <sheetViews>
    <sheetView view="pageBreakPreview" topLeftCell="C36" zoomScale="90" zoomScaleNormal="70" zoomScaleSheetLayoutView="90" workbookViewId="0">
      <selection activeCell="J126" sqref="J12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14" t="s">
        <v>2222</v>
      </c>
      <c r="C1" s="1358" t="s">
        <v>2110</v>
      </c>
      <c r="D1" s="1345" t="s">
        <v>4709</v>
      </c>
      <c r="E1" s="2493"/>
      <c r="F1" s="2015" t="s">
        <v>4763</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11.66</v>
      </c>
      <c r="C3" s="360" t="s">
        <v>2224</v>
      </c>
      <c r="D3" s="359">
        <f>IF(D1="",'数据-汇总表'!E3,SUMIF('数据-汇总表'!$C19:$C33,D1,'数据-汇总表'!$E19:$E33))</f>
        <v>58.81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753" t="s">
        <v>2226</v>
      </c>
      <c r="D4" s="3754"/>
      <c r="E4" s="3755" t="s">
        <v>2227</v>
      </c>
      <c r="F4" s="3756"/>
      <c r="G4" s="3753" t="s">
        <v>2228</v>
      </c>
      <c r="H4" s="3754"/>
      <c r="I4" s="3753" t="s">
        <v>2229</v>
      </c>
      <c r="J4" s="3754"/>
      <c r="K4" s="567" t="s">
        <v>2230</v>
      </c>
      <c r="L4" s="2893"/>
      <c r="M4" s="2894"/>
      <c r="N4" s="2894"/>
      <c r="O4" s="2894"/>
      <c r="P4" s="3757" t="s">
        <v>2231</v>
      </c>
      <c r="Q4" s="3758"/>
      <c r="R4" s="3744" t="s">
        <v>2227</v>
      </c>
      <c r="S4" s="3745"/>
      <c r="T4" s="3744" t="s">
        <v>2228</v>
      </c>
      <c r="U4" s="3745"/>
      <c r="V4" s="3741" t="s">
        <v>2229</v>
      </c>
      <c r="W4" s="3741"/>
      <c r="X4" s="1489"/>
      <c r="Y4" s="3744" t="s">
        <v>2231</v>
      </c>
      <c r="Z4" s="3745"/>
      <c r="AA4" s="3738" t="s">
        <v>2227</v>
      </c>
      <c r="AB4" s="3741" t="s">
        <v>2228</v>
      </c>
      <c r="AC4" s="3738" t="s">
        <v>2229</v>
      </c>
    </row>
    <row r="5" spans="1:29" ht="15">
      <c r="A5" s="364"/>
      <c r="B5" s="365"/>
      <c r="C5" s="3748" t="s">
        <v>4764</v>
      </c>
      <c r="D5" s="3749"/>
      <c r="E5" s="3748" t="s">
        <v>4764</v>
      </c>
      <c r="F5" s="3749"/>
      <c r="G5" s="3748" t="s">
        <v>4764</v>
      </c>
      <c r="H5" s="3749"/>
      <c r="I5" s="3748" t="s">
        <v>4764</v>
      </c>
      <c r="J5" s="3749"/>
      <c r="K5" s="567"/>
      <c r="L5" s="2893"/>
      <c r="M5" s="2894"/>
      <c r="N5" s="2894"/>
      <c r="O5" s="2894"/>
      <c r="P5" s="3759"/>
      <c r="Q5" s="3760"/>
      <c r="R5" s="3746"/>
      <c r="S5" s="3747"/>
      <c r="T5" s="3746"/>
      <c r="U5" s="3747"/>
      <c r="V5" s="3741"/>
      <c r="W5" s="3741"/>
      <c r="X5" s="1489"/>
      <c r="Y5" s="3746"/>
      <c r="Z5" s="3747"/>
      <c r="AA5" s="3739"/>
      <c r="AB5" s="3741"/>
      <c r="AC5" s="3739"/>
    </row>
    <row r="6" spans="1:29" ht="15.75" thickBot="1">
      <c r="A6" s="366"/>
      <c r="B6" s="367"/>
      <c r="C6" s="3750" t="s">
        <v>4765</v>
      </c>
      <c r="D6" s="3751"/>
      <c r="E6" s="3750" t="s">
        <v>4765</v>
      </c>
      <c r="F6" s="3751"/>
      <c r="G6" s="3750" t="s">
        <v>4765</v>
      </c>
      <c r="H6" s="3751"/>
      <c r="I6" s="3750" t="s">
        <v>4765</v>
      </c>
      <c r="J6" s="3751"/>
      <c r="K6" s="567" t="s">
        <v>2127</v>
      </c>
      <c r="L6" s="2893"/>
      <c r="M6" s="2894"/>
      <c r="N6" s="2894"/>
      <c r="O6" s="2894"/>
      <c r="P6" s="3761"/>
      <c r="Q6" s="3762"/>
      <c r="R6" s="3746"/>
      <c r="S6" s="3747"/>
      <c r="T6" s="3763"/>
      <c r="U6" s="3764"/>
      <c r="V6" s="3741"/>
      <c r="W6" s="3741"/>
      <c r="X6" s="1489"/>
      <c r="Y6" s="3763"/>
      <c r="Z6" s="3764"/>
      <c r="AA6" s="3740"/>
      <c r="AB6" s="3741"/>
      <c r="AC6" s="3740"/>
    </row>
    <row r="7" spans="1:29" s="113" customFormat="1" ht="15.75" thickBot="1">
      <c r="A7" s="368" t="s">
        <v>2128</v>
      </c>
      <c r="B7" s="369"/>
      <c r="C7" s="370">
        <f>'数据-取费表'!B2</f>
        <v>44868</v>
      </c>
      <c r="D7" s="371">
        <v>100</v>
      </c>
      <c r="E7" s="372">
        <f>C7</f>
        <v>44868</v>
      </c>
      <c r="F7" s="373">
        <f>SUMIF(58:58,YEAR(E7)&amp;"-"&amp;MONTH(E7),59:59)</f>
        <v>100</v>
      </c>
      <c r="G7" s="372">
        <f>C7</f>
        <v>44868</v>
      </c>
      <c r="H7" s="371">
        <f>SUMIF(58:58,YEAR(G7)&amp;"-"&amp;MONTH(G7),59:59)</f>
        <v>100</v>
      </c>
      <c r="I7" s="372">
        <f>C7</f>
        <v>44868</v>
      </c>
      <c r="J7" s="371">
        <f>SUMIF(58:58,YEAR(I7)&amp;"-"&amp;MONTH(I7),59:59)</f>
        <v>100</v>
      </c>
      <c r="K7" s="568"/>
      <c r="L7" s="2895"/>
      <c r="M7" s="2896"/>
      <c r="N7" s="2896"/>
      <c r="O7" s="2896"/>
      <c r="P7" s="3742" t="s">
        <v>2129</v>
      </c>
      <c r="Q7" s="3765"/>
      <c r="R7" s="709" t="s">
        <v>17</v>
      </c>
      <c r="S7" s="710">
        <f t="shared" ref="S7:S15" si="0">F7</f>
        <v>100</v>
      </c>
      <c r="T7" s="709" t="s">
        <v>17</v>
      </c>
      <c r="U7" s="710">
        <f t="shared" ref="U7:U15" si="1">H7</f>
        <v>100</v>
      </c>
      <c r="V7" s="709" t="s">
        <v>17</v>
      </c>
      <c r="W7" s="710">
        <f t="shared" ref="W7:W15" si="2">J7</f>
        <v>100</v>
      </c>
      <c r="X7" s="711"/>
      <c r="Y7" s="3742" t="s">
        <v>2129</v>
      </c>
      <c r="Z7" s="3743"/>
      <c r="AA7" s="712">
        <f>D7/F7</f>
        <v>1</v>
      </c>
      <c r="AB7" s="712">
        <f>D7/H7</f>
        <v>1</v>
      </c>
      <c r="AC7" s="712">
        <f>D7/J7</f>
        <v>1</v>
      </c>
    </row>
    <row r="8" spans="1:29" s="113" customFormat="1" ht="15.75" thickBot="1">
      <c r="A8" s="368" t="s">
        <v>2130</v>
      </c>
      <c r="B8" s="369"/>
      <c r="C8" s="374" t="s">
        <v>2232</v>
      </c>
      <c r="D8" s="371">
        <v>100</v>
      </c>
      <c r="E8" s="374" t="s">
        <v>4766</v>
      </c>
      <c r="F8" s="373">
        <f>SUMIF(61:61,E8,62:62)-SUMIF(61:61,C8,62:62)+100</f>
        <v>100</v>
      </c>
      <c r="G8" s="374" t="s">
        <v>4766</v>
      </c>
      <c r="H8" s="371">
        <f>SUMIF(61:61,G8,62:62)-SUMIF(61:61,C8,62:62)+100</f>
        <v>100</v>
      </c>
      <c r="I8" s="374" t="s">
        <v>4766</v>
      </c>
      <c r="J8" s="371">
        <f>SUMIF(61:61,I8,62:62)-SUMIF(61:61,C8,62:62)+100</f>
        <v>100</v>
      </c>
      <c r="K8" s="568"/>
      <c r="L8" s="2895"/>
      <c r="M8" s="2896"/>
      <c r="N8" s="2896"/>
      <c r="O8" s="2896"/>
      <c r="P8" s="3742" t="s">
        <v>2132</v>
      </c>
      <c r="Q8" s="3743"/>
      <c r="R8" s="709" t="s">
        <v>17</v>
      </c>
      <c r="S8" s="710">
        <f t="shared" si="0"/>
        <v>100</v>
      </c>
      <c r="T8" s="709" t="s">
        <v>17</v>
      </c>
      <c r="U8" s="710">
        <f t="shared" si="1"/>
        <v>100</v>
      </c>
      <c r="V8" s="709" t="s">
        <v>17</v>
      </c>
      <c r="W8" s="710">
        <f t="shared" si="2"/>
        <v>100</v>
      </c>
      <c r="X8" s="711"/>
      <c r="Y8" s="3742" t="s">
        <v>2132</v>
      </c>
      <c r="Z8" s="3743"/>
      <c r="AA8" s="712">
        <f t="shared" ref="AA8:AA46" si="3">D8/F8</f>
        <v>1</v>
      </c>
      <c r="AB8" s="712">
        <f t="shared" ref="AB8:AB46" si="4">D8/H8</f>
        <v>1</v>
      </c>
      <c r="AC8" s="712">
        <f t="shared" ref="AC8:AC46" si="5">D8/J8</f>
        <v>1</v>
      </c>
    </row>
    <row r="9" spans="1:29" s="113" customFormat="1">
      <c r="A9" s="375" t="s">
        <v>2133</v>
      </c>
      <c r="B9" s="67" t="s">
        <v>2134</v>
      </c>
      <c r="C9" s="376" t="s">
        <v>4767</v>
      </c>
      <c r="D9" s="131">
        <v>100</v>
      </c>
      <c r="E9" s="377" t="s">
        <v>1102</v>
      </c>
      <c r="F9" s="378">
        <f>SUMIF(63:63,E9,64:64)-SUMIF(63:63,C9,64:64)+100</f>
        <v>100</v>
      </c>
      <c r="G9" s="377" t="s">
        <v>1102</v>
      </c>
      <c r="H9" s="131">
        <f>SUMIF(63:63,G9,64:64)-SUMIF(63:63,C9,64:64)+100</f>
        <v>100</v>
      </c>
      <c r="I9" s="377" t="s">
        <v>1102</v>
      </c>
      <c r="J9" s="131">
        <f>SUMIF(63:63,I9,64:64)-SUMIF(63:63,C9,64:64)+100</f>
        <v>100</v>
      </c>
      <c r="K9" s="568"/>
      <c r="L9" s="2895"/>
      <c r="M9" s="2896"/>
      <c r="N9" s="2896"/>
      <c r="O9" s="2896"/>
      <c r="P9" s="3752" t="s">
        <v>2135</v>
      </c>
      <c r="Q9" s="1477" t="str">
        <f t="shared" ref="Q9:Q15" si="6">B9</f>
        <v>用途</v>
      </c>
      <c r="R9" s="709" t="s">
        <v>17</v>
      </c>
      <c r="S9" s="710">
        <f t="shared" si="0"/>
        <v>100</v>
      </c>
      <c r="T9" s="709" t="s">
        <v>17</v>
      </c>
      <c r="U9" s="710">
        <f t="shared" si="1"/>
        <v>100</v>
      </c>
      <c r="V9" s="709" t="s">
        <v>17</v>
      </c>
      <c r="W9" s="710">
        <f t="shared" si="2"/>
        <v>100</v>
      </c>
      <c r="X9" s="711"/>
      <c r="Y9" s="3705" t="s">
        <v>2136</v>
      </c>
      <c r="Z9" s="55" t="str">
        <f t="shared" ref="Z9:Z15" si="7">Q9</f>
        <v>用途</v>
      </c>
      <c r="AA9" s="712">
        <f t="shared" si="3"/>
        <v>1</v>
      </c>
      <c r="AB9" s="712">
        <f t="shared" si="4"/>
        <v>1</v>
      </c>
      <c r="AC9" s="712">
        <f t="shared" si="5"/>
        <v>1</v>
      </c>
    </row>
    <row r="10" spans="1:29" s="386" customFormat="1" ht="27" customHeight="1" thickBot="1">
      <c r="A10" s="380"/>
      <c r="B10" s="381" t="s">
        <v>2137</v>
      </c>
      <c r="C10" s="382" t="s">
        <v>4768</v>
      </c>
      <c r="D10" s="132">
        <v>100</v>
      </c>
      <c r="E10" s="383" t="s">
        <v>4768</v>
      </c>
      <c r="F10" s="384">
        <f>SUMIF(65:65,E10,66:66)-SUMIF(65:65,C10,66:66)+100</f>
        <v>100</v>
      </c>
      <c r="G10" s="382" t="s">
        <v>4768</v>
      </c>
      <c r="H10" s="132">
        <f>SUMIF(65:65,G10,66:66)-SUMIF(65:65,C10,66:66)+100</f>
        <v>100</v>
      </c>
      <c r="I10" s="382" t="s">
        <v>4768</v>
      </c>
      <c r="J10" s="132">
        <f>SUMIF(65:65,I10,66:66)-SUMIF(65:65,C10,66:66)+100</f>
        <v>100</v>
      </c>
      <c r="K10" s="569">
        <v>1</v>
      </c>
      <c r="L10" s="2897"/>
      <c r="M10" s="2898"/>
      <c r="N10" s="2898"/>
      <c r="O10" s="2898"/>
      <c r="P10" s="3752"/>
      <c r="Q10" s="1477" t="str">
        <f t="shared" si="6"/>
        <v>土地使用年限（年）</v>
      </c>
      <c r="R10" s="709" t="s">
        <v>17</v>
      </c>
      <c r="S10" s="710">
        <f t="shared" si="0"/>
        <v>100</v>
      </c>
      <c r="T10" s="709" t="s">
        <v>17</v>
      </c>
      <c r="U10" s="710">
        <f t="shared" si="1"/>
        <v>100</v>
      </c>
      <c r="V10" s="709" t="s">
        <v>17</v>
      </c>
      <c r="W10" s="710">
        <f t="shared" si="2"/>
        <v>100</v>
      </c>
      <c r="X10" s="711"/>
      <c r="Y10" s="3705"/>
      <c r="Z10" s="55" t="str">
        <f t="shared" si="7"/>
        <v>土地使用年限（年）</v>
      </c>
      <c r="AA10" s="712">
        <f t="shared" si="3"/>
        <v>1</v>
      </c>
      <c r="AB10" s="712">
        <f t="shared" si="4"/>
        <v>1</v>
      </c>
      <c r="AC10" s="712">
        <f t="shared" si="5"/>
        <v>1</v>
      </c>
    </row>
    <row r="11" spans="1:29" ht="15" hidden="1">
      <c r="A11" s="387"/>
      <c r="B11" s="381" t="s">
        <v>2138</v>
      </c>
      <c r="C11" s="388">
        <v>4</v>
      </c>
      <c r="D11" s="132">
        <v>100</v>
      </c>
      <c r="E11" s="389">
        <v>4</v>
      </c>
      <c r="F11" s="384">
        <f>LOOKUP(E11,68:68,69:69)-LOOKUP(C11,68:68,69:69)+100</f>
        <v>100</v>
      </c>
      <c r="G11" s="388">
        <v>4</v>
      </c>
      <c r="H11" s="132">
        <f>LOOKUP(G11,68:68,69:69)-LOOKUP(C11,68:68,69:69)+100</f>
        <v>100</v>
      </c>
      <c r="I11" s="388">
        <v>4</v>
      </c>
      <c r="J11" s="132">
        <f>LOOKUP(I11,68:68,69:69)-LOOKUP(C11,68:68,69:69)+100</f>
        <v>100</v>
      </c>
      <c r="K11" s="569"/>
      <c r="L11" s="2899"/>
      <c r="M11" s="2894"/>
      <c r="N11" s="2894"/>
      <c r="O11" s="2894"/>
      <c r="P11" s="3752"/>
      <c r="Q11" s="1477" t="str">
        <f t="shared" si="6"/>
        <v>容积率</v>
      </c>
      <c r="R11" s="709" t="s">
        <v>17</v>
      </c>
      <c r="S11" s="710">
        <f t="shared" si="0"/>
        <v>100</v>
      </c>
      <c r="T11" s="709" t="s">
        <v>17</v>
      </c>
      <c r="U11" s="710">
        <f t="shared" si="1"/>
        <v>100</v>
      </c>
      <c r="V11" s="709" t="s">
        <v>17</v>
      </c>
      <c r="W11" s="710">
        <f t="shared" si="2"/>
        <v>100</v>
      </c>
      <c r="X11" s="711"/>
      <c r="Y11" s="3705"/>
      <c r="Z11" s="55" t="str">
        <f t="shared" si="7"/>
        <v>容积率</v>
      </c>
      <c r="AA11" s="712">
        <f t="shared" si="3"/>
        <v>1</v>
      </c>
      <c r="AB11" s="712">
        <f t="shared" si="4"/>
        <v>1</v>
      </c>
      <c r="AC11" s="712">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752"/>
      <c r="Q12" s="1477">
        <f t="shared" si="6"/>
        <v>111</v>
      </c>
      <c r="R12" s="709" t="s">
        <v>17</v>
      </c>
      <c r="S12" s="710">
        <f t="shared" si="0"/>
        <v>100</v>
      </c>
      <c r="T12" s="709" t="s">
        <v>17</v>
      </c>
      <c r="U12" s="710">
        <f t="shared" si="1"/>
        <v>100</v>
      </c>
      <c r="V12" s="709" t="s">
        <v>17</v>
      </c>
      <c r="W12" s="710">
        <f t="shared" si="2"/>
        <v>100</v>
      </c>
      <c r="X12" s="711"/>
      <c r="Y12" s="3705"/>
      <c r="Z12" s="55">
        <f t="shared" si="7"/>
        <v>111</v>
      </c>
      <c r="AA12" s="712">
        <f>D12/F12</f>
        <v>1</v>
      </c>
      <c r="AB12" s="712">
        <f>D12/H12</f>
        <v>1</v>
      </c>
      <c r="AC12" s="712">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752"/>
      <c r="Q13" s="1477">
        <f t="shared" si="6"/>
        <v>111</v>
      </c>
      <c r="R13" s="709" t="s">
        <v>17</v>
      </c>
      <c r="S13" s="710">
        <f t="shared" si="0"/>
        <v>100</v>
      </c>
      <c r="T13" s="709" t="s">
        <v>17</v>
      </c>
      <c r="U13" s="710">
        <f t="shared" si="1"/>
        <v>100</v>
      </c>
      <c r="V13" s="709" t="s">
        <v>17</v>
      </c>
      <c r="W13" s="710">
        <f t="shared" si="2"/>
        <v>100</v>
      </c>
      <c r="X13" s="711"/>
      <c r="Y13" s="3705"/>
      <c r="Z13" s="55">
        <f t="shared" si="7"/>
        <v>111</v>
      </c>
      <c r="AA13" s="712">
        <f t="shared" si="3"/>
        <v>1</v>
      </c>
      <c r="AB13" s="712">
        <f t="shared" si="4"/>
        <v>1</v>
      </c>
      <c r="AC13" s="712">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752"/>
      <c r="Q14" s="1477">
        <f t="shared" si="6"/>
        <v>111</v>
      </c>
      <c r="R14" s="709" t="s">
        <v>17</v>
      </c>
      <c r="S14" s="710">
        <f t="shared" si="0"/>
        <v>100</v>
      </c>
      <c r="T14" s="709" t="s">
        <v>17</v>
      </c>
      <c r="U14" s="710">
        <f t="shared" si="1"/>
        <v>100</v>
      </c>
      <c r="V14" s="709" t="s">
        <v>17</v>
      </c>
      <c r="W14" s="710">
        <f t="shared" si="2"/>
        <v>100</v>
      </c>
      <c r="X14" s="711"/>
      <c r="Y14" s="3705"/>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00"/>
      <c r="M15" s="2894"/>
      <c r="N15" s="2894"/>
      <c r="O15" s="2894"/>
      <c r="P15" s="3766" t="s">
        <v>2140</v>
      </c>
      <c r="Q15" s="1486" t="str">
        <f t="shared" si="6"/>
        <v>商业繁华度</v>
      </c>
      <c r="R15" s="713" t="s">
        <v>17</v>
      </c>
      <c r="S15" s="714">
        <f t="shared" si="0"/>
        <v>100</v>
      </c>
      <c r="T15" s="713" t="s">
        <v>17</v>
      </c>
      <c r="U15" s="714">
        <f t="shared" si="1"/>
        <v>100</v>
      </c>
      <c r="V15" s="713" t="s">
        <v>17</v>
      </c>
      <c r="W15" s="714">
        <f t="shared" si="2"/>
        <v>100</v>
      </c>
      <c r="X15" s="1489"/>
      <c r="Y15" s="3768" t="s">
        <v>2140</v>
      </c>
      <c r="Z15" s="1490" t="str">
        <f t="shared" si="7"/>
        <v>商业繁华度</v>
      </c>
      <c r="AA15" s="1487">
        <f t="shared" si="3"/>
        <v>1</v>
      </c>
      <c r="AB15" s="1487">
        <f t="shared" si="4"/>
        <v>1</v>
      </c>
      <c r="AC15" s="1487">
        <f t="shared" si="5"/>
        <v>1</v>
      </c>
    </row>
    <row r="16" spans="1:29" ht="15">
      <c r="A16" s="387"/>
      <c r="B16" s="405"/>
      <c r="C16" s="406" t="s">
        <v>4811</v>
      </c>
      <c r="D16" s="407"/>
      <c r="E16" s="406" t="s">
        <v>4811</v>
      </c>
      <c r="F16" s="408"/>
      <c r="G16" s="406" t="s">
        <v>4811</v>
      </c>
      <c r="H16" s="409"/>
      <c r="I16" s="406" t="s">
        <v>4811</v>
      </c>
      <c r="J16" s="407"/>
      <c r="K16" s="572"/>
      <c r="L16" s="2900"/>
      <c r="M16" s="2894"/>
      <c r="N16" s="2894"/>
      <c r="O16" s="2894"/>
      <c r="P16" s="3767"/>
      <c r="Q16" s="1486"/>
      <c r="R16" s="713"/>
      <c r="S16" s="714"/>
      <c r="T16" s="713"/>
      <c r="U16" s="714"/>
      <c r="V16" s="713"/>
      <c r="W16" s="714"/>
      <c r="X16" s="1489"/>
      <c r="Y16" s="3769"/>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00"/>
      <c r="M17" s="2894"/>
      <c r="N17" s="2894"/>
      <c r="O17" s="2894"/>
      <c r="P17" s="3767"/>
      <c r="Q17" s="1486" t="str">
        <f>B17</f>
        <v>交通便捷度</v>
      </c>
      <c r="R17" s="713" t="s">
        <v>17</v>
      </c>
      <c r="S17" s="714">
        <f>F17</f>
        <v>100</v>
      </c>
      <c r="T17" s="713" t="s">
        <v>17</v>
      </c>
      <c r="U17" s="714">
        <f>H17</f>
        <v>100</v>
      </c>
      <c r="V17" s="713" t="s">
        <v>17</v>
      </c>
      <c r="W17" s="714">
        <f>J17</f>
        <v>100</v>
      </c>
      <c r="X17" s="1489"/>
      <c r="Y17" s="3769"/>
      <c r="Z17" s="1490" t="str">
        <f>Q17</f>
        <v>交通便捷度</v>
      </c>
      <c r="AA17" s="1487">
        <f t="shared" si="3"/>
        <v>1</v>
      </c>
      <c r="AB17" s="1487">
        <f t="shared" si="4"/>
        <v>1</v>
      </c>
      <c r="AC17" s="1487">
        <f t="shared" si="5"/>
        <v>1</v>
      </c>
    </row>
    <row r="18" spans="1:29" ht="15">
      <c r="A18" s="387"/>
      <c r="B18" s="415"/>
      <c r="C18" s="406" t="s">
        <v>4811</v>
      </c>
      <c r="D18" s="409"/>
      <c r="E18" s="406" t="s">
        <v>4811</v>
      </c>
      <c r="F18" s="412"/>
      <c r="G18" s="406" t="s">
        <v>4811</v>
      </c>
      <c r="H18" s="407"/>
      <c r="I18" s="406" t="s">
        <v>4811</v>
      </c>
      <c r="J18" s="407"/>
      <c r="K18" s="572"/>
      <c r="L18" s="2900"/>
      <c r="M18" s="2894"/>
      <c r="N18" s="2894"/>
      <c r="O18" s="2894"/>
      <c r="P18" s="3767"/>
      <c r="Q18" s="1486"/>
      <c r="R18" s="713"/>
      <c r="S18" s="714"/>
      <c r="T18" s="713"/>
      <c r="U18" s="714"/>
      <c r="V18" s="713"/>
      <c r="W18" s="714"/>
      <c r="X18" s="1489"/>
      <c r="Y18" s="3769"/>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00"/>
      <c r="M19" s="2894"/>
      <c r="N19" s="2894"/>
      <c r="O19" s="2894"/>
      <c r="P19" s="3767"/>
      <c r="Q19" s="1486" t="str">
        <f>B19</f>
        <v>公共配套设施</v>
      </c>
      <c r="R19" s="713" t="s">
        <v>17</v>
      </c>
      <c r="S19" s="714">
        <f>F19</f>
        <v>100</v>
      </c>
      <c r="T19" s="713" t="s">
        <v>17</v>
      </c>
      <c r="U19" s="714">
        <f>H19</f>
        <v>100</v>
      </c>
      <c r="V19" s="713" t="s">
        <v>17</v>
      </c>
      <c r="W19" s="714">
        <f>J19</f>
        <v>100</v>
      </c>
      <c r="X19" s="1489"/>
      <c r="Y19" s="3769"/>
      <c r="Z19" s="1490" t="str">
        <f>Q19</f>
        <v>公共配套设施</v>
      </c>
      <c r="AA19" s="1487">
        <f t="shared" si="3"/>
        <v>1</v>
      </c>
      <c r="AB19" s="1487">
        <f t="shared" si="4"/>
        <v>1</v>
      </c>
      <c r="AC19" s="1487">
        <f t="shared" si="5"/>
        <v>1</v>
      </c>
    </row>
    <row r="20" spans="1:29" ht="15">
      <c r="A20" s="387"/>
      <c r="B20" s="415"/>
      <c r="C20" s="406" t="s">
        <v>5588</v>
      </c>
      <c r="D20" s="407"/>
      <c r="E20" s="406" t="s">
        <v>5588</v>
      </c>
      <c r="F20" s="408"/>
      <c r="G20" s="406" t="s">
        <v>5588</v>
      </c>
      <c r="H20" s="407"/>
      <c r="I20" s="406" t="s">
        <v>5588</v>
      </c>
      <c r="J20" s="407"/>
      <c r="K20" s="572"/>
      <c r="L20" s="2900"/>
      <c r="M20" s="2894"/>
      <c r="N20" s="2894"/>
      <c r="O20" s="2894"/>
      <c r="P20" s="3767"/>
      <c r="Q20" s="1486"/>
      <c r="R20" s="713"/>
      <c r="S20" s="714"/>
      <c r="T20" s="713"/>
      <c r="U20" s="714"/>
      <c r="V20" s="713"/>
      <c r="W20" s="714"/>
      <c r="X20" s="1489"/>
      <c r="Y20" s="3769"/>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00"/>
      <c r="M21" s="2894"/>
      <c r="N21" s="2894"/>
      <c r="O21" s="2894"/>
      <c r="P21" s="3767"/>
      <c r="Q21" s="1486" t="str">
        <f>B21</f>
        <v>基础设施水平</v>
      </c>
      <c r="R21" s="713" t="s">
        <v>17</v>
      </c>
      <c r="S21" s="714">
        <f>F21</f>
        <v>100</v>
      </c>
      <c r="T21" s="713" t="s">
        <v>17</v>
      </c>
      <c r="U21" s="714">
        <f>H21</f>
        <v>100</v>
      </c>
      <c r="V21" s="713" t="s">
        <v>17</v>
      </c>
      <c r="W21" s="714">
        <f>J21</f>
        <v>100</v>
      </c>
      <c r="X21" s="1489"/>
      <c r="Y21" s="3769"/>
      <c r="Z21" s="1490" t="str">
        <f>Q21</f>
        <v>基础设施水平</v>
      </c>
      <c r="AA21" s="1487">
        <f t="shared" ref="AA21" si="8">D21/F21</f>
        <v>1</v>
      </c>
      <c r="AB21" s="1487">
        <f t="shared" ref="AB21" si="9">D21/H21</f>
        <v>1</v>
      </c>
      <c r="AC21" s="1487">
        <f t="shared" ref="AC21" si="10">D21/J21</f>
        <v>1</v>
      </c>
    </row>
    <row r="22" spans="1:29" ht="15">
      <c r="A22" s="387"/>
      <c r="B22" s="1245"/>
      <c r="C22" s="2037" t="s">
        <v>4812</v>
      </c>
      <c r="D22" s="407"/>
      <c r="E22" s="2037" t="s">
        <v>4812</v>
      </c>
      <c r="F22" s="408"/>
      <c r="G22" s="2037" t="s">
        <v>4813</v>
      </c>
      <c r="H22" s="407"/>
      <c r="I22" s="3358" t="s">
        <v>4812</v>
      </c>
      <c r="J22" s="407"/>
      <c r="K22" s="1244"/>
      <c r="L22" s="2900"/>
      <c r="M22" s="2894"/>
      <c r="N22" s="2894"/>
      <c r="O22" s="2894"/>
      <c r="P22" s="3767"/>
      <c r="Q22" s="1486"/>
      <c r="R22" s="713"/>
      <c r="S22" s="714"/>
      <c r="T22" s="713"/>
      <c r="U22" s="714"/>
      <c r="V22" s="713"/>
      <c r="W22" s="714"/>
      <c r="X22" s="1489"/>
      <c r="Y22" s="3769"/>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00"/>
      <c r="M23" s="2894"/>
      <c r="N23" s="2894"/>
      <c r="O23" s="2894"/>
      <c r="P23" s="3767"/>
      <c r="Q23" s="1486" t="str">
        <f>B23</f>
        <v>自然及人文环境</v>
      </c>
      <c r="R23" s="713" t="s">
        <v>17</v>
      </c>
      <c r="S23" s="714">
        <f>F23</f>
        <v>100</v>
      </c>
      <c r="T23" s="713" t="s">
        <v>17</v>
      </c>
      <c r="U23" s="714">
        <f>H23</f>
        <v>100</v>
      </c>
      <c r="V23" s="713" t="s">
        <v>17</v>
      </c>
      <c r="W23" s="714">
        <f>J23</f>
        <v>100</v>
      </c>
      <c r="X23" s="1489"/>
      <c r="Y23" s="3769"/>
      <c r="Z23" s="1490" t="str">
        <f>Q23</f>
        <v>自然及人文环境</v>
      </c>
      <c r="AA23" s="1487">
        <f t="shared" si="3"/>
        <v>1</v>
      </c>
      <c r="AB23" s="1487">
        <f t="shared" si="4"/>
        <v>1</v>
      </c>
      <c r="AC23" s="1487">
        <f t="shared" si="5"/>
        <v>1</v>
      </c>
    </row>
    <row r="24" spans="1:29" ht="15">
      <c r="A24" s="387"/>
      <c r="B24" s="415"/>
      <c r="C24" s="406" t="s">
        <v>4810</v>
      </c>
      <c r="D24" s="407"/>
      <c r="E24" s="406" t="s">
        <v>4810</v>
      </c>
      <c r="F24" s="408"/>
      <c r="G24" s="406" t="s">
        <v>4810</v>
      </c>
      <c r="H24" s="407"/>
      <c r="I24" s="406" t="s">
        <v>4810</v>
      </c>
      <c r="J24" s="407"/>
      <c r="K24" s="572"/>
      <c r="L24" s="2900"/>
      <c r="M24" s="2894"/>
      <c r="N24" s="2894"/>
      <c r="O24" s="2894"/>
      <c r="P24" s="3767"/>
      <c r="Q24" s="1486"/>
      <c r="R24" s="713"/>
      <c r="S24" s="714"/>
      <c r="T24" s="713"/>
      <c r="U24" s="714"/>
      <c r="V24" s="713"/>
      <c r="W24" s="714"/>
      <c r="X24" s="1489"/>
      <c r="Y24" s="3769"/>
      <c r="Z24" s="1490"/>
      <c r="AA24" s="1487">
        <v>1</v>
      </c>
      <c r="AB24" s="1487">
        <v>1</v>
      </c>
      <c r="AC24" s="1487">
        <v>1</v>
      </c>
    </row>
    <row r="25" spans="1:29" ht="15" hidden="1">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767"/>
      <c r="Q25" s="1486" t="str">
        <f t="shared" ref="Q25:Q46" si="11">B25</f>
        <v>临街状况</v>
      </c>
      <c r="R25" s="713" t="s">
        <v>17</v>
      </c>
      <c r="S25" s="714">
        <f>F25</f>
        <v>100</v>
      </c>
      <c r="T25" s="713" t="s">
        <v>17</v>
      </c>
      <c r="U25" s="714">
        <f>H25</f>
        <v>100</v>
      </c>
      <c r="V25" s="713" t="s">
        <v>17</v>
      </c>
      <c r="W25" s="714">
        <f>J25</f>
        <v>100</v>
      </c>
      <c r="X25" s="1489"/>
      <c r="Y25" s="3769"/>
      <c r="Z25" s="1490" t="str">
        <f>Q25</f>
        <v>临街状况</v>
      </c>
      <c r="AA25" s="1487">
        <f t="shared" si="3"/>
        <v>1</v>
      </c>
      <c r="AB25" s="1487">
        <f t="shared" si="4"/>
        <v>1</v>
      </c>
      <c r="AC25" s="1487">
        <f t="shared" si="5"/>
        <v>1</v>
      </c>
    </row>
    <row r="26" spans="1:29" ht="15">
      <c r="A26" s="387"/>
      <c r="B26" s="3372" t="s">
        <v>5589</v>
      </c>
      <c r="C26" s="393" t="s">
        <v>5590</v>
      </c>
      <c r="D26" s="394">
        <v>100</v>
      </c>
      <c r="E26" s="393" t="s">
        <v>5590</v>
      </c>
      <c r="F26" s="420">
        <f>SUMIF(88:88,E26,89:89)-SUMIF(88:88,C26,89:89)+100</f>
        <v>100</v>
      </c>
      <c r="G26" s="393" t="s">
        <v>5590</v>
      </c>
      <c r="H26" s="394">
        <f>SUMIF(88:88,G26,89:89)-SUMIF(88:88,C26,89:89)+100</f>
        <v>100</v>
      </c>
      <c r="I26" s="393" t="s">
        <v>5590</v>
      </c>
      <c r="J26" s="394">
        <f>SUMIF(88:88,I26,89:89)-SUMIF(88:88,C26,89:89)+100</f>
        <v>100</v>
      </c>
      <c r="K26" s="570"/>
      <c r="L26" s="2900"/>
      <c r="M26" s="2894"/>
      <c r="N26" s="2894"/>
      <c r="O26" s="2894"/>
      <c r="P26" s="3767"/>
      <c r="Q26" s="1486" t="str">
        <f t="shared" si="11"/>
        <v>临街状况</v>
      </c>
      <c r="R26" s="713" t="s">
        <v>17</v>
      </c>
      <c r="S26" s="714">
        <f>F26</f>
        <v>100</v>
      </c>
      <c r="T26" s="713" t="s">
        <v>17</v>
      </c>
      <c r="U26" s="714">
        <f>H26</f>
        <v>100</v>
      </c>
      <c r="V26" s="713" t="s">
        <v>17</v>
      </c>
      <c r="W26" s="714">
        <f>J26</f>
        <v>100</v>
      </c>
      <c r="X26" s="1489"/>
      <c r="Y26" s="3769"/>
      <c r="Z26" s="1490" t="str">
        <f>Q26</f>
        <v>临街状况</v>
      </c>
      <c r="AA26" s="1487">
        <f t="shared" si="3"/>
        <v>1</v>
      </c>
      <c r="AB26" s="1487">
        <f t="shared" si="4"/>
        <v>1</v>
      </c>
      <c r="AC26" s="1487">
        <f t="shared" si="5"/>
        <v>1</v>
      </c>
    </row>
    <row r="27" spans="1:29" s="113" customFormat="1" ht="15">
      <c r="A27" s="390"/>
      <c r="B27" s="410" t="s">
        <v>2237</v>
      </c>
      <c r="C27" s="2092" t="s">
        <v>4814</v>
      </c>
      <c r="D27" s="421">
        <v>100</v>
      </c>
      <c r="E27" s="2092" t="s">
        <v>4814</v>
      </c>
      <c r="F27" s="423">
        <f>SUMIF(90:90,E27,91:91)-SUMIF(90:90,C27,91:91)+100</f>
        <v>100</v>
      </c>
      <c r="G27" s="2092" t="s">
        <v>4814</v>
      </c>
      <c r="H27" s="421">
        <f>SUMIF(90:90,G27,91:91)-SUMIF(90:90,C27,91:91)+100</f>
        <v>100</v>
      </c>
      <c r="I27" s="2092" t="s">
        <v>4814</v>
      </c>
      <c r="J27" s="421">
        <f>SUMIF(90:90,I27,91:91)-SUMIF(90:90,C27,91:91)+100</f>
        <v>100</v>
      </c>
      <c r="K27" s="569"/>
      <c r="L27" s="2895"/>
      <c r="M27" s="2896"/>
      <c r="N27" s="2896"/>
      <c r="O27" s="2896"/>
      <c r="P27" s="3767"/>
      <c r="Q27" s="1477" t="str">
        <f t="shared" si="11"/>
        <v>人流量</v>
      </c>
      <c r="R27" s="709" t="s">
        <v>17</v>
      </c>
      <c r="S27" s="710">
        <f>F27</f>
        <v>100</v>
      </c>
      <c r="T27" s="709" t="s">
        <v>17</v>
      </c>
      <c r="U27" s="710">
        <f>H27</f>
        <v>100</v>
      </c>
      <c r="V27" s="709" t="s">
        <v>17</v>
      </c>
      <c r="W27" s="710">
        <f>J27</f>
        <v>100</v>
      </c>
      <c r="X27" s="711"/>
      <c r="Y27" s="3769"/>
      <c r="Z27" s="55" t="str">
        <f>Q27</f>
        <v>人流量</v>
      </c>
      <c r="AA27" s="1487">
        <f>D27/F27</f>
        <v>1</v>
      </c>
      <c r="AB27" s="1487">
        <f>D27/H27</f>
        <v>1</v>
      </c>
      <c r="AC27" s="1487">
        <f>D27/J27</f>
        <v>1</v>
      </c>
    </row>
    <row r="28" spans="1:29" ht="15.75" thickBot="1">
      <c r="A28" s="387"/>
      <c r="B28" s="381" t="s">
        <v>2238</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76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769"/>
      <c r="Z28" s="1490" t="str">
        <f t="shared" ref="Z28:Z46" si="15">Q28</f>
        <v>楼层</v>
      </c>
      <c r="AA28" s="1487">
        <f t="shared" si="3"/>
        <v>1</v>
      </c>
      <c r="AB28" s="1487">
        <f t="shared" si="4"/>
        <v>1</v>
      </c>
      <c r="AC28" s="1487">
        <f t="shared" si="5"/>
        <v>1</v>
      </c>
    </row>
    <row r="29" spans="1:29" ht="15" hidden="1">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767"/>
      <c r="Q29" s="1486">
        <f t="shared" si="11"/>
        <v>111</v>
      </c>
      <c r="R29" s="713" t="s">
        <v>17</v>
      </c>
      <c r="S29" s="714">
        <f t="shared" si="12"/>
        <v>100</v>
      </c>
      <c r="T29" s="713" t="s">
        <v>17</v>
      </c>
      <c r="U29" s="714">
        <f t="shared" si="13"/>
        <v>100</v>
      </c>
      <c r="V29" s="713" t="s">
        <v>17</v>
      </c>
      <c r="W29" s="714">
        <f t="shared" si="14"/>
        <v>100</v>
      </c>
      <c r="X29" s="1489"/>
      <c r="Y29" s="3769"/>
      <c r="Z29" s="1490">
        <f t="shared" si="15"/>
        <v>111</v>
      </c>
      <c r="AA29" s="1487">
        <f t="shared" si="3"/>
        <v>1</v>
      </c>
      <c r="AB29" s="1487">
        <f t="shared" si="4"/>
        <v>1</v>
      </c>
      <c r="AC29" s="1487">
        <f t="shared" si="5"/>
        <v>1</v>
      </c>
    </row>
    <row r="30" spans="1:29" ht="15" hidden="1">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767"/>
      <c r="Q30" s="1486">
        <f t="shared" si="11"/>
        <v>111</v>
      </c>
      <c r="R30" s="713" t="s">
        <v>17</v>
      </c>
      <c r="S30" s="714">
        <f t="shared" si="12"/>
        <v>100</v>
      </c>
      <c r="T30" s="713" t="s">
        <v>17</v>
      </c>
      <c r="U30" s="714">
        <f t="shared" si="13"/>
        <v>100</v>
      </c>
      <c r="V30" s="713" t="s">
        <v>17</v>
      </c>
      <c r="W30" s="714">
        <f t="shared" si="14"/>
        <v>100</v>
      </c>
      <c r="X30" s="1489"/>
      <c r="Y30" s="3769"/>
      <c r="Z30" s="1490">
        <f t="shared" si="15"/>
        <v>111</v>
      </c>
      <c r="AA30" s="1487">
        <f t="shared" si="3"/>
        <v>1</v>
      </c>
      <c r="AB30" s="1487">
        <f t="shared" si="4"/>
        <v>1</v>
      </c>
      <c r="AC30" s="1487">
        <f t="shared" si="5"/>
        <v>1</v>
      </c>
    </row>
    <row r="31" spans="1:29" ht="15.75" hidden="1"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767"/>
      <c r="Q31" s="1486">
        <f t="shared" si="11"/>
        <v>111</v>
      </c>
      <c r="R31" s="713" t="s">
        <v>17</v>
      </c>
      <c r="S31" s="714">
        <f t="shared" si="12"/>
        <v>100</v>
      </c>
      <c r="T31" s="713" t="s">
        <v>17</v>
      </c>
      <c r="U31" s="714">
        <f t="shared" si="13"/>
        <v>100</v>
      </c>
      <c r="V31" s="713" t="s">
        <v>17</v>
      </c>
      <c r="W31" s="714">
        <f t="shared" si="14"/>
        <v>100</v>
      </c>
      <c r="X31" s="1489"/>
      <c r="Y31" s="3769"/>
      <c r="Z31" s="1490">
        <f t="shared" si="15"/>
        <v>111</v>
      </c>
      <c r="AA31" s="1487">
        <f t="shared" si="3"/>
        <v>1</v>
      </c>
      <c r="AB31" s="1487">
        <f t="shared" si="4"/>
        <v>1</v>
      </c>
      <c r="AC31" s="1487">
        <f t="shared" si="5"/>
        <v>1</v>
      </c>
    </row>
    <row r="32" spans="1:29" ht="15">
      <c r="A32" s="399" t="s">
        <v>2143</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770" t="s">
        <v>2145</v>
      </c>
      <c r="Q32" s="1486" t="str">
        <f t="shared" si="11"/>
        <v>商业类型</v>
      </c>
      <c r="R32" s="713" t="s">
        <v>17</v>
      </c>
      <c r="S32" s="714">
        <f t="shared" si="12"/>
        <v>100</v>
      </c>
      <c r="T32" s="713" t="s">
        <v>17</v>
      </c>
      <c r="U32" s="714">
        <f t="shared" si="13"/>
        <v>100</v>
      </c>
      <c r="V32" s="713" t="s">
        <v>17</v>
      </c>
      <c r="W32" s="714">
        <f t="shared" si="14"/>
        <v>100</v>
      </c>
      <c r="X32" s="1489"/>
      <c r="Y32" s="3773" t="s">
        <v>2145</v>
      </c>
      <c r="Z32" s="1490" t="str">
        <f t="shared" si="15"/>
        <v>商业类型</v>
      </c>
      <c r="AA32" s="1487">
        <f t="shared" si="3"/>
        <v>1</v>
      </c>
      <c r="AB32" s="1487">
        <f t="shared" si="4"/>
        <v>1</v>
      </c>
      <c r="AC32" s="1487">
        <f t="shared" si="5"/>
        <v>1</v>
      </c>
    </row>
    <row r="33" spans="1:29" s="430" customFormat="1" ht="15">
      <c r="A33" s="427"/>
      <c r="B33" s="381" t="s">
        <v>2146</v>
      </c>
      <c r="C33" s="428">
        <v>1</v>
      </c>
      <c r="D33" s="132">
        <v>100</v>
      </c>
      <c r="E33" s="389">
        <v>1</v>
      </c>
      <c r="F33" s="384">
        <f>LOOKUP(E33,103:103,104:104)-LOOKUP(C33,103:103,104:104)+100</f>
        <v>100</v>
      </c>
      <c r="G33" s="388">
        <v>1</v>
      </c>
      <c r="H33" s="132">
        <f>LOOKUP(G33,103:103,104:104)-LOOKUP(C33,103:103,104:104)+100</f>
        <v>100</v>
      </c>
      <c r="I33" s="388">
        <v>1</v>
      </c>
      <c r="J33" s="132">
        <f>LOOKUP(I33,103:103,104:104)-LOOKUP(C33,103:103,104:104)+100</f>
        <v>100</v>
      </c>
      <c r="K33" s="570"/>
      <c r="L33" s="2899"/>
      <c r="M33" s="2901"/>
      <c r="N33" s="2901"/>
      <c r="O33" s="2901"/>
      <c r="P33" s="3771"/>
      <c r="Q33" s="715" t="str">
        <f t="shared" si="11"/>
        <v>项目建筑规模</v>
      </c>
      <c r="R33" s="716" t="s">
        <v>17</v>
      </c>
      <c r="S33" s="717">
        <f t="shared" si="12"/>
        <v>100</v>
      </c>
      <c r="T33" s="716" t="s">
        <v>17</v>
      </c>
      <c r="U33" s="717">
        <f t="shared" si="13"/>
        <v>100</v>
      </c>
      <c r="V33" s="716" t="s">
        <v>17</v>
      </c>
      <c r="W33" s="717">
        <f t="shared" si="14"/>
        <v>100</v>
      </c>
      <c r="X33" s="718"/>
      <c r="Y33" s="3773"/>
      <c r="Z33" s="719" t="str">
        <f t="shared" si="15"/>
        <v>项目建筑规模</v>
      </c>
      <c r="AA33" s="1487">
        <f t="shared" si="3"/>
        <v>1</v>
      </c>
      <c r="AB33" s="1487">
        <f t="shared" si="4"/>
        <v>1</v>
      </c>
      <c r="AC33" s="1487">
        <f t="shared" si="5"/>
        <v>1</v>
      </c>
    </row>
    <row r="34" spans="1:29" ht="15">
      <c r="A34" s="431"/>
      <c r="B34" s="381" t="s">
        <v>2147</v>
      </c>
      <c r="C34" s="2048" t="s">
        <v>4815</v>
      </c>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771"/>
      <c r="Q34" s="1486" t="str">
        <f t="shared" si="11"/>
        <v>建筑结构</v>
      </c>
      <c r="R34" s="713" t="s">
        <v>17</v>
      </c>
      <c r="S34" s="714">
        <f t="shared" si="12"/>
        <v>100</v>
      </c>
      <c r="T34" s="713" t="s">
        <v>17</v>
      </c>
      <c r="U34" s="714">
        <f t="shared" si="13"/>
        <v>100</v>
      </c>
      <c r="V34" s="713" t="s">
        <v>17</v>
      </c>
      <c r="W34" s="714">
        <f t="shared" si="14"/>
        <v>100</v>
      </c>
      <c r="X34" s="1489"/>
      <c r="Y34" s="3773"/>
      <c r="Z34" s="1490" t="str">
        <f t="shared" si="15"/>
        <v>建筑结构</v>
      </c>
      <c r="AA34" s="1487">
        <f t="shared" si="3"/>
        <v>1</v>
      </c>
      <c r="AB34" s="1487">
        <f t="shared" si="4"/>
        <v>1</v>
      </c>
      <c r="AC34" s="1487">
        <f t="shared" si="5"/>
        <v>1</v>
      </c>
    </row>
    <row r="35" spans="1:29" ht="15">
      <c r="A35" s="431"/>
      <c r="B35" s="381" t="s">
        <v>2240</v>
      </c>
      <c r="C35" s="2042" t="s">
        <v>4816</v>
      </c>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771"/>
      <c r="Q35" s="1486" t="str">
        <f t="shared" si="11"/>
        <v>公共部分装修</v>
      </c>
      <c r="R35" s="713" t="s">
        <v>17</v>
      </c>
      <c r="S35" s="714">
        <f t="shared" si="12"/>
        <v>100</v>
      </c>
      <c r="T35" s="713" t="s">
        <v>17</v>
      </c>
      <c r="U35" s="714">
        <f t="shared" si="13"/>
        <v>100</v>
      </c>
      <c r="V35" s="713" t="s">
        <v>17</v>
      </c>
      <c r="W35" s="714">
        <f t="shared" si="14"/>
        <v>100</v>
      </c>
      <c r="X35" s="1489"/>
      <c r="Y35" s="3773"/>
      <c r="Z35" s="1490" t="str">
        <f t="shared" si="15"/>
        <v>公共部分装修</v>
      </c>
      <c r="AA35" s="1487">
        <f t="shared" si="3"/>
        <v>1</v>
      </c>
      <c r="AB35" s="1487">
        <f t="shared" si="4"/>
        <v>1</v>
      </c>
      <c r="AC35" s="1487">
        <f t="shared" si="5"/>
        <v>1</v>
      </c>
    </row>
    <row r="36" spans="1:29" ht="15">
      <c r="A36" s="431"/>
      <c r="B36" s="381" t="s">
        <v>2241</v>
      </c>
      <c r="C36" s="433">
        <v>0.84</v>
      </c>
      <c r="D36" s="394">
        <v>100</v>
      </c>
      <c r="E36" s="433">
        <f>C36</f>
        <v>0.84</v>
      </c>
      <c r="F36" s="420">
        <f>LOOKUP(E36,110:110,111:111)-LOOKUP(C36,110:110,111:111)+100</f>
        <v>100</v>
      </c>
      <c r="G36" s="433">
        <f>C36</f>
        <v>0.84</v>
      </c>
      <c r="H36" s="420">
        <f>LOOKUP(G36,110:110,111:111)-LOOKUP(C36,110:110,111:111)+100</f>
        <v>100</v>
      </c>
      <c r="I36" s="433">
        <f>C36</f>
        <v>0.84</v>
      </c>
      <c r="J36" s="394">
        <f>LOOKUP(I36,110:110,111:111)-LOOKUP(C36,110:110,111:111)+100</f>
        <v>100</v>
      </c>
      <c r="K36" s="569"/>
      <c r="L36" s="2900"/>
      <c r="M36" s="2894"/>
      <c r="N36" s="2894"/>
      <c r="O36" s="2894"/>
      <c r="P36" s="3771"/>
      <c r="Q36" s="1486" t="str">
        <f t="shared" si="11"/>
        <v>成新度</v>
      </c>
      <c r="R36" s="713" t="s">
        <v>17</v>
      </c>
      <c r="S36" s="714">
        <f t="shared" si="12"/>
        <v>100</v>
      </c>
      <c r="T36" s="713" t="s">
        <v>17</v>
      </c>
      <c r="U36" s="714">
        <f t="shared" si="13"/>
        <v>100</v>
      </c>
      <c r="V36" s="713" t="s">
        <v>17</v>
      </c>
      <c r="W36" s="714">
        <f t="shared" si="14"/>
        <v>100</v>
      </c>
      <c r="X36" s="1489"/>
      <c r="Y36" s="3773"/>
      <c r="Z36" s="1490" t="str">
        <f t="shared" si="15"/>
        <v>成新度</v>
      </c>
      <c r="AA36" s="1487">
        <f t="shared" si="3"/>
        <v>1</v>
      </c>
      <c r="AB36" s="1487">
        <f t="shared" si="4"/>
        <v>1</v>
      </c>
      <c r="AC36" s="1487">
        <f t="shared" si="5"/>
        <v>1</v>
      </c>
    </row>
    <row r="37" spans="1:29" s="113" customFormat="1" ht="15">
      <c r="A37" s="432"/>
      <c r="B37" s="381" t="s">
        <v>2242</v>
      </c>
      <c r="C37" s="2042" t="s">
        <v>4817</v>
      </c>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771"/>
      <c r="Q37" s="1477" t="str">
        <f t="shared" si="11"/>
        <v>市政基础设施</v>
      </c>
      <c r="R37" s="709" t="s">
        <v>17</v>
      </c>
      <c r="S37" s="710">
        <f t="shared" si="12"/>
        <v>100</v>
      </c>
      <c r="T37" s="709" t="s">
        <v>17</v>
      </c>
      <c r="U37" s="710">
        <f t="shared" si="13"/>
        <v>100</v>
      </c>
      <c r="V37" s="709" t="s">
        <v>17</v>
      </c>
      <c r="W37" s="710">
        <f t="shared" si="14"/>
        <v>100</v>
      </c>
      <c r="X37" s="711"/>
      <c r="Y37" s="3773"/>
      <c r="Z37" s="55" t="str">
        <f t="shared" si="15"/>
        <v>市政基础设施</v>
      </c>
      <c r="AA37" s="712">
        <f t="shared" si="3"/>
        <v>1</v>
      </c>
      <c r="AB37" s="712">
        <f t="shared" si="4"/>
        <v>1</v>
      </c>
      <c r="AC37" s="712">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771" t="s">
        <v>2145</v>
      </c>
      <c r="Q38" s="1486" t="str">
        <f t="shared" si="11"/>
        <v>业态</v>
      </c>
      <c r="R38" s="713" t="s">
        <v>17</v>
      </c>
      <c r="S38" s="714">
        <f t="shared" si="12"/>
        <v>100</v>
      </c>
      <c r="T38" s="713" t="s">
        <v>17</v>
      </c>
      <c r="U38" s="714">
        <f t="shared" si="13"/>
        <v>100</v>
      </c>
      <c r="V38" s="713" t="s">
        <v>17</v>
      </c>
      <c r="W38" s="714">
        <f t="shared" si="14"/>
        <v>100</v>
      </c>
      <c r="X38" s="1489"/>
      <c r="Y38" s="3773" t="s">
        <v>2145</v>
      </c>
      <c r="Z38" s="1490" t="str">
        <f t="shared" si="15"/>
        <v>业态</v>
      </c>
      <c r="AA38" s="1487">
        <f t="shared" si="3"/>
        <v>1</v>
      </c>
      <c r="AB38" s="1487">
        <f t="shared" si="4"/>
        <v>1</v>
      </c>
      <c r="AC38" s="1487">
        <f t="shared" si="5"/>
        <v>1</v>
      </c>
    </row>
    <row r="39" spans="1:29" ht="15">
      <c r="A39" s="431"/>
      <c r="B39" s="381" t="s">
        <v>2244</v>
      </c>
      <c r="C39" s="2042" t="s">
        <v>4818</v>
      </c>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771"/>
      <c r="Q39" s="1486" t="str">
        <f t="shared" si="11"/>
        <v>层高</v>
      </c>
      <c r="R39" s="713" t="s">
        <v>17</v>
      </c>
      <c r="S39" s="714">
        <f t="shared" si="12"/>
        <v>100</v>
      </c>
      <c r="T39" s="713" t="s">
        <v>17</v>
      </c>
      <c r="U39" s="714">
        <f t="shared" si="13"/>
        <v>100</v>
      </c>
      <c r="V39" s="713" t="s">
        <v>17</v>
      </c>
      <c r="W39" s="714">
        <f t="shared" si="14"/>
        <v>100</v>
      </c>
      <c r="X39" s="1489"/>
      <c r="Y39" s="3773"/>
      <c r="Z39" s="1490" t="str">
        <f t="shared" si="15"/>
        <v>层高</v>
      </c>
      <c r="AA39" s="1487">
        <f t="shared" si="3"/>
        <v>1</v>
      </c>
      <c r="AB39" s="1487">
        <f t="shared" si="4"/>
        <v>1</v>
      </c>
      <c r="AC39" s="1487">
        <f t="shared" si="5"/>
        <v>1</v>
      </c>
    </row>
    <row r="40" spans="1:29" ht="15" hidden="1">
      <c r="A40" s="431"/>
      <c r="B40" s="381" t="s">
        <v>2245</v>
      </c>
      <c r="C40" s="3357">
        <f>'数据-汇总表'!E19</f>
        <v>58.81</v>
      </c>
      <c r="D40" s="394">
        <v>100</v>
      </c>
      <c r="E40" s="574">
        <v>90</v>
      </c>
      <c r="F40" s="420">
        <f>SUMIF(118:118,E40,119:119)-SUMIF(118:118,C40,119:119)+100</f>
        <v>100</v>
      </c>
      <c r="G40" s="574">
        <v>246</v>
      </c>
      <c r="H40" s="394">
        <f>SUMIF(118:118,G40,119:119)-SUMIF(118:118,C40,119:119)+100</f>
        <v>100</v>
      </c>
      <c r="I40" s="574">
        <v>80</v>
      </c>
      <c r="J40" s="394">
        <f>SUMIF(118:118,I40,119:119)-SUMIF(118:118,C40,119:119)+100</f>
        <v>100</v>
      </c>
      <c r="K40" s="570"/>
      <c r="L40" s="2900"/>
      <c r="M40" s="2894"/>
      <c r="N40" s="2894"/>
      <c r="O40" s="2894"/>
      <c r="P40" s="3771"/>
      <c r="Q40" s="1486" t="str">
        <f t="shared" si="11"/>
        <v>单套建筑面积</v>
      </c>
      <c r="R40" s="713" t="s">
        <v>17</v>
      </c>
      <c r="S40" s="714">
        <f t="shared" si="12"/>
        <v>100</v>
      </c>
      <c r="T40" s="713" t="s">
        <v>17</v>
      </c>
      <c r="U40" s="714">
        <f t="shared" si="13"/>
        <v>100</v>
      </c>
      <c r="V40" s="713" t="s">
        <v>17</v>
      </c>
      <c r="W40" s="714">
        <f t="shared" si="14"/>
        <v>100</v>
      </c>
      <c r="X40" s="1489"/>
      <c r="Y40" s="3773"/>
      <c r="Z40" s="1490" t="str">
        <f t="shared" si="15"/>
        <v>单套建筑面积</v>
      </c>
      <c r="AA40" s="1487">
        <f t="shared" si="3"/>
        <v>1</v>
      </c>
      <c r="AB40" s="1487">
        <f t="shared" si="4"/>
        <v>1</v>
      </c>
      <c r="AC40" s="1487">
        <f t="shared" si="5"/>
        <v>1</v>
      </c>
    </row>
    <row r="41" spans="1:29" s="430" customFormat="1" ht="15" hidden="1">
      <c r="A41" s="427"/>
      <c r="B41" s="1488"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771"/>
      <c r="Q41" s="715" t="str">
        <f t="shared" si="11"/>
        <v>进深比</v>
      </c>
      <c r="R41" s="716" t="s">
        <v>17</v>
      </c>
      <c r="S41" s="717">
        <f t="shared" si="12"/>
        <v>100</v>
      </c>
      <c r="T41" s="716" t="s">
        <v>17</v>
      </c>
      <c r="U41" s="717">
        <f t="shared" si="13"/>
        <v>100</v>
      </c>
      <c r="V41" s="716" t="s">
        <v>17</v>
      </c>
      <c r="W41" s="717">
        <f t="shared" si="14"/>
        <v>100</v>
      </c>
      <c r="X41" s="718"/>
      <c r="Y41" s="3773"/>
      <c r="Z41" s="719" t="str">
        <f t="shared" si="15"/>
        <v>进深比</v>
      </c>
      <c r="AA41" s="1487">
        <f t="shared" si="3"/>
        <v>1</v>
      </c>
      <c r="AB41" s="1487">
        <f t="shared" si="4"/>
        <v>1</v>
      </c>
      <c r="AC41" s="1487">
        <f t="shared" si="5"/>
        <v>1</v>
      </c>
    </row>
    <row r="42" spans="1:29" ht="15" hidden="1">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771"/>
      <c r="Q42" s="1486" t="str">
        <f t="shared" si="11"/>
        <v>内部装修</v>
      </c>
      <c r="R42" s="713" t="s">
        <v>17</v>
      </c>
      <c r="S42" s="714">
        <f t="shared" si="12"/>
        <v>100</v>
      </c>
      <c r="T42" s="713" t="s">
        <v>17</v>
      </c>
      <c r="U42" s="714">
        <f t="shared" si="13"/>
        <v>100</v>
      </c>
      <c r="V42" s="713" t="s">
        <v>17</v>
      </c>
      <c r="W42" s="714">
        <f t="shared" si="14"/>
        <v>100</v>
      </c>
      <c r="X42" s="1489"/>
      <c r="Y42" s="3773"/>
      <c r="Z42" s="1490" t="str">
        <f t="shared" si="15"/>
        <v>内部装修</v>
      </c>
      <c r="AA42" s="1487">
        <f t="shared" si="3"/>
        <v>1</v>
      </c>
      <c r="AB42" s="1487">
        <f t="shared" si="4"/>
        <v>1</v>
      </c>
      <c r="AC42" s="1487">
        <f t="shared" si="5"/>
        <v>1</v>
      </c>
    </row>
    <row r="43" spans="1:29" ht="15" hidden="1">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771"/>
      <c r="Q43" s="1486" t="str">
        <f t="shared" si="11"/>
        <v>内部装修维护情况</v>
      </c>
      <c r="R43" s="713" t="s">
        <v>17</v>
      </c>
      <c r="S43" s="714">
        <f t="shared" si="12"/>
        <v>100</v>
      </c>
      <c r="T43" s="713" t="s">
        <v>17</v>
      </c>
      <c r="U43" s="714">
        <f t="shared" si="13"/>
        <v>100</v>
      </c>
      <c r="V43" s="713" t="s">
        <v>17</v>
      </c>
      <c r="W43" s="714">
        <f t="shared" si="14"/>
        <v>100</v>
      </c>
      <c r="X43" s="1489"/>
      <c r="Y43" s="3773"/>
      <c r="Z43" s="1490" t="str">
        <f t="shared" si="15"/>
        <v>内部装修维护情况</v>
      </c>
      <c r="AA43" s="1487">
        <f t="shared" si="3"/>
        <v>1</v>
      </c>
      <c r="AB43" s="1487">
        <f t="shared" si="4"/>
        <v>1</v>
      </c>
      <c r="AC43" s="1487">
        <f t="shared" si="5"/>
        <v>1</v>
      </c>
    </row>
    <row r="44" spans="1:29" s="113" customFormat="1" ht="15.75" thickBot="1">
      <c r="A44" s="432"/>
      <c r="B44" s="1247" t="s">
        <v>4800</v>
      </c>
      <c r="C44" s="428">
        <v>58.81</v>
      </c>
      <c r="D44" s="132">
        <v>100</v>
      </c>
      <c r="E44" s="393">
        <v>90</v>
      </c>
      <c r="F44" s="384">
        <f>SUMIF(126:126,E44,127:127)-SUMIF(126:126,C44,127:127)+100</f>
        <v>98</v>
      </c>
      <c r="G44" s="393">
        <v>246</v>
      </c>
      <c r="H44" s="132">
        <f>SUMIF(126:126,G44,127:127)-SUMIF(126:126,C44,127:127)+100</f>
        <v>96</v>
      </c>
      <c r="I44" s="393">
        <v>80</v>
      </c>
      <c r="J44" s="132">
        <f>SUMIF(126:126,I44,127:127)-SUMIF(126:126,C44,127:127)+100</f>
        <v>98</v>
      </c>
      <c r="K44" s="570"/>
      <c r="L44" s="2895"/>
      <c r="M44" s="2896"/>
      <c r="N44" s="2896"/>
      <c r="O44" s="2896"/>
      <c r="P44" s="3771"/>
      <c r="Q44" s="1477" t="str">
        <f t="shared" si="11"/>
        <v>建筑面积</v>
      </c>
      <c r="R44" s="709" t="s">
        <v>17</v>
      </c>
      <c r="S44" s="710">
        <f t="shared" si="12"/>
        <v>98</v>
      </c>
      <c r="T44" s="709" t="s">
        <v>17</v>
      </c>
      <c r="U44" s="710">
        <f t="shared" si="13"/>
        <v>96</v>
      </c>
      <c r="V44" s="709" t="s">
        <v>17</v>
      </c>
      <c r="W44" s="710">
        <f t="shared" si="14"/>
        <v>98</v>
      </c>
      <c r="X44" s="711"/>
      <c r="Y44" s="3773"/>
      <c r="Z44" s="55" t="str">
        <f t="shared" si="15"/>
        <v>建筑面积</v>
      </c>
      <c r="AA44" s="712">
        <f t="shared" si="3"/>
        <v>1.0204081632653061</v>
      </c>
      <c r="AB44" s="712">
        <f t="shared" si="4"/>
        <v>1.0416666666666667</v>
      </c>
      <c r="AC44" s="712">
        <f t="shared" si="5"/>
        <v>1.0204081632653061</v>
      </c>
    </row>
    <row r="45" spans="1:29" ht="15" hidden="1">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771"/>
      <c r="Q45" s="1486">
        <f t="shared" si="11"/>
        <v>111</v>
      </c>
      <c r="R45" s="713" t="s">
        <v>17</v>
      </c>
      <c r="S45" s="714">
        <f t="shared" si="12"/>
        <v>100</v>
      </c>
      <c r="T45" s="713" t="s">
        <v>17</v>
      </c>
      <c r="U45" s="714">
        <f t="shared" si="13"/>
        <v>100</v>
      </c>
      <c r="V45" s="713" t="s">
        <v>17</v>
      </c>
      <c r="W45" s="714">
        <f t="shared" si="14"/>
        <v>100</v>
      </c>
      <c r="X45" s="1489"/>
      <c r="Y45" s="3773"/>
      <c r="Z45" s="1490">
        <f t="shared" si="15"/>
        <v>111</v>
      </c>
      <c r="AA45" s="1487">
        <f t="shared" si="3"/>
        <v>1</v>
      </c>
      <c r="AB45" s="1487">
        <f t="shared" si="4"/>
        <v>1</v>
      </c>
      <c r="AC45" s="1487">
        <f t="shared" si="5"/>
        <v>1</v>
      </c>
    </row>
    <row r="46" spans="1:29" ht="15.75" hidden="1"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772"/>
      <c r="Q46" s="1486">
        <f t="shared" si="11"/>
        <v>111</v>
      </c>
      <c r="R46" s="713" t="s">
        <v>17</v>
      </c>
      <c r="S46" s="714">
        <f t="shared" si="12"/>
        <v>100</v>
      </c>
      <c r="T46" s="713" t="s">
        <v>17</v>
      </c>
      <c r="U46" s="714">
        <f t="shared" si="13"/>
        <v>100</v>
      </c>
      <c r="V46" s="713" t="s">
        <v>17</v>
      </c>
      <c r="W46" s="714">
        <f t="shared" si="14"/>
        <v>100</v>
      </c>
      <c r="X46" s="1489"/>
      <c r="Y46" s="3774"/>
      <c r="Z46" s="1490">
        <f t="shared" si="15"/>
        <v>111</v>
      </c>
      <c r="AA46" s="1487">
        <f t="shared" si="3"/>
        <v>1</v>
      </c>
      <c r="AB46" s="1487">
        <f t="shared" si="4"/>
        <v>1</v>
      </c>
      <c r="AC46" s="1487">
        <f t="shared" si="5"/>
        <v>1</v>
      </c>
    </row>
    <row r="47" spans="1:29" ht="15">
      <c r="A47" s="438" t="s">
        <v>2157</v>
      </c>
      <c r="B47" s="439"/>
      <c r="C47" s="1268" t="s">
        <v>1</v>
      </c>
      <c r="D47" s="1269"/>
      <c r="E47" s="1270">
        <f>租约整理!Q9</f>
        <v>11.11</v>
      </c>
      <c r="F47" s="1271"/>
      <c r="G47" s="1272">
        <f>租约整理!Q10</f>
        <v>11.25</v>
      </c>
      <c r="H47" s="1273"/>
      <c r="I47" s="1270">
        <f>租约整理!Q11</f>
        <v>11.67</v>
      </c>
      <c r="J47" s="1273"/>
      <c r="K47" s="722"/>
      <c r="L47" s="2902"/>
      <c r="M47" s="2903"/>
      <c r="N47" s="2894"/>
      <c r="O47" s="2903"/>
      <c r="P47" s="3775" t="str">
        <f>A47</f>
        <v>成交单价（元/平方米）</v>
      </c>
      <c r="Q47" s="3775"/>
      <c r="R47" s="3741">
        <f>E47</f>
        <v>11.11</v>
      </c>
      <c r="S47" s="3741"/>
      <c r="T47" s="3741">
        <f>G47</f>
        <v>11.25</v>
      </c>
      <c r="U47" s="3741"/>
      <c r="V47" s="3741">
        <f>I47</f>
        <v>11.67</v>
      </c>
      <c r="W47" s="3741"/>
      <c r="X47" s="698"/>
      <c r="Y47" s="720"/>
      <c r="Z47" s="698"/>
      <c r="AA47" s="698"/>
      <c r="AB47" s="698"/>
      <c r="AC47" s="698"/>
    </row>
    <row r="48" spans="1:29" ht="15.75" thickBot="1">
      <c r="A48" s="445" t="s">
        <v>2248</v>
      </c>
      <c r="B48" s="446"/>
      <c r="C48" s="1274">
        <f>R49</f>
        <v>11.66</v>
      </c>
      <c r="D48" s="2488" t="s">
        <v>2638</v>
      </c>
      <c r="E48" s="1275">
        <f>R48</f>
        <v>11.34</v>
      </c>
      <c r="F48" s="2489"/>
      <c r="G48" s="1274">
        <f>T48</f>
        <v>11.72</v>
      </c>
      <c r="H48" s="2489"/>
      <c r="I48" s="1275">
        <f>V48</f>
        <v>11.91</v>
      </c>
      <c r="J48" s="2489"/>
      <c r="K48" s="2491">
        <f>F48+H48+J48</f>
        <v>0</v>
      </c>
      <c r="L48" s="2902"/>
      <c r="M48" s="2903"/>
      <c r="N48" s="2894"/>
      <c r="O48" s="2903"/>
      <c r="P48" s="3775" t="str">
        <f>A48</f>
        <v>比较价值（元/平方米）</v>
      </c>
      <c r="Q48" s="3775"/>
      <c r="R48" s="3776">
        <f>IF(F1="售价",ROUND(PRODUCT(R47,AA7:AA46),0),ROUND(PRODUCT(R47,AA7:AA46),2))</f>
        <v>11.34</v>
      </c>
      <c r="S48" s="3776"/>
      <c r="T48" s="3776">
        <f>IF(F1="售价",ROUND(PRODUCT(T47,AB7:AB46),0),ROUND(PRODUCT(T47,AB7:AB46),2))</f>
        <v>11.72</v>
      </c>
      <c r="U48" s="3776"/>
      <c r="V48" s="3776">
        <f>IF(F1="售价",ROUND(PRODUCT(V47,AC7:AC46),0),ROUND(PRODUCT(V47,AC7:AC46),2))</f>
        <v>11.91</v>
      </c>
      <c r="W48" s="3776"/>
      <c r="X48" s="698"/>
      <c r="Y48" s="698"/>
      <c r="Z48" s="698"/>
      <c r="AA48" s="698"/>
      <c r="AB48" s="698"/>
      <c r="AC48" s="698"/>
    </row>
    <row r="49" spans="1:29" ht="15.75" thickBot="1">
      <c r="A49" s="449" t="s">
        <v>2249</v>
      </c>
      <c r="B49" s="450"/>
      <c r="C49" s="1277">
        <f>R49</f>
        <v>11.66</v>
      </c>
      <c r="D49" s="1277"/>
      <c r="E49" s="1277"/>
      <c r="F49" s="1277"/>
      <c r="G49" s="1277"/>
      <c r="H49" s="1277"/>
      <c r="I49" s="1277"/>
      <c r="J49" s="1277"/>
      <c r="K49" s="723"/>
      <c r="L49" s="2902"/>
      <c r="M49" s="2903"/>
      <c r="N49" s="2894"/>
      <c r="O49" s="2903"/>
      <c r="P49" s="3777" t="str">
        <f>A49</f>
        <v>估价对象XX用房的比较价值（楼面单价，元/平方米）</v>
      </c>
      <c r="Q49" s="3778"/>
      <c r="R49" s="3779">
        <f>IF(F1="售价",ROUND(IF(D48="简单平均",AVERAGE(R48:V48),R48*F48+T48*H48+V48*J48),0),ROUND(IF(D48="简单平均",AVERAGE(R48:V48),R48*F48+T48*H48+V48*J48),2))</f>
        <v>11.66</v>
      </c>
      <c r="S49" s="3779"/>
      <c r="T49" s="3779"/>
      <c r="U49" s="3779"/>
      <c r="V49" s="3779"/>
      <c r="W49" s="377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f>IF(E47&lt;E48,E48/E47-1,E47/E48-1)</f>
        <v>2.070207020702064E-2</v>
      </c>
      <c r="F52" s="457" t="str">
        <f>IF(OR(E52&gt;=0.3,E52&lt;=-0.3),"超过30%","")</f>
        <v/>
      </c>
      <c r="G52" s="456">
        <f>IF(G47&lt;G48,G48/G47-1,G47/G48-1)</f>
        <v>4.1777777777777914E-2</v>
      </c>
      <c r="H52" s="457" t="str">
        <f>IF(OR(G52&gt;=0.3,G52&lt;=-0.3),"超过30%","")</f>
        <v/>
      </c>
      <c r="I52" s="456">
        <f>IF(I47&lt;I48,I48/I47-1,I47/I48-1)</f>
        <v>2.0565552699228773E-2</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f>IF(E48&lt;G48,G48/E48-1,E48/G48-1)</f>
        <v>3.3509700176366897E-2</v>
      </c>
      <c r="F53" s="457" t="str">
        <f>IF(OR(E53&gt;=0.2,E53&lt;=-0.2),"超过20%","")</f>
        <v/>
      </c>
      <c r="G53" s="456">
        <f>IF(G48&lt;I48,I48/G48-1,G48/I48-1)</f>
        <v>1.6211604095563104E-2</v>
      </c>
      <c r="H53" s="457" t="str">
        <f>IF(OR(G53&gt;=0.2,G53&lt;=-0.2),"超过20%","")</f>
        <v/>
      </c>
      <c r="I53" s="456">
        <f>IF(I48&lt;E48,E48/I48-1,I48/E48-1)</f>
        <v>5.0264550264550234E-2</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f>IF(E47&lt;G47,G47/E47-1,E47/G47-1)</f>
        <v>1.2601260126012592E-2</v>
      </c>
      <c r="F54" s="457" t="str">
        <f>IF(OR(E54&gt;=0.3,E54&lt;=-0.3),"超过30%","")</f>
        <v/>
      </c>
      <c r="G54" s="456">
        <f>IF(G47&lt;I47,I47/G47-1,G47/I47-1)</f>
        <v>3.7333333333333218E-2</v>
      </c>
      <c r="H54" s="457" t="str">
        <f>IF(OR(G54&gt;=0.3,G54&lt;=-0.3),"超过30%","")</f>
        <v/>
      </c>
      <c r="I54" s="456">
        <f>IF(I47&lt;E47,E47/I47-1,I47/E47-1)</f>
        <v>5.0405040504050369E-2</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2253</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t="str">
        <f>C9</f>
        <v>商业</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1</v>
      </c>
      <c r="D68" s="506">
        <v>2</v>
      </c>
      <c r="E68" s="506">
        <v>3</v>
      </c>
      <c r="F68" s="506">
        <v>4</v>
      </c>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98</v>
      </c>
      <c r="E77" s="501">
        <f>D77-$K15</f>
        <v>96</v>
      </c>
      <c r="F77" s="501">
        <f>E77-$K15</f>
        <v>94</v>
      </c>
      <c r="G77" s="501">
        <f>F77-$K15</f>
        <v>92</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98</v>
      </c>
      <c r="E79" s="501">
        <f>D79-$K17</f>
        <v>96</v>
      </c>
      <c r="F79" s="501">
        <f>E79-$K17</f>
        <v>94</v>
      </c>
      <c r="G79" s="501">
        <f>F79-$K17</f>
        <v>92</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98</v>
      </c>
      <c r="E81" s="501">
        <f>D81-$K19</f>
        <v>96</v>
      </c>
      <c r="F81" s="501">
        <f>E81-$K19</f>
        <v>94</v>
      </c>
      <c r="G81" s="501">
        <f>F81-$K19</f>
        <v>92</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5" t="s">
        <v>2254</v>
      </c>
      <c r="D82" s="615" t="s">
        <v>2255</v>
      </c>
      <c r="E82" s="615" t="s">
        <v>2256</v>
      </c>
      <c r="F82" s="615" t="s">
        <v>2257</v>
      </c>
      <c r="G82" s="615" t="s">
        <v>2258</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98</v>
      </c>
      <c r="E85" s="501">
        <f>D85-$K23</f>
        <v>96</v>
      </c>
      <c r="F85" s="501">
        <f>E85-$K23</f>
        <v>94</v>
      </c>
      <c r="G85" s="501">
        <f>F85-$K23</f>
        <v>92</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临街状况</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1(含)-200</v>
      </c>
      <c r="D102" s="535" t="str">
        <f t="shared" ref="D102:L102" si="23">D103&amp;"(含)"&amp;"-"&amp;E103</f>
        <v>200(含)-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1</v>
      </c>
      <c r="D103" s="552">
        <v>200</v>
      </c>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2">
        <v>0</v>
      </c>
      <c r="D118" s="582">
        <v>100</v>
      </c>
      <c r="E118" s="582">
        <v>200</v>
      </c>
      <c r="F118" s="582"/>
      <c r="G118" s="582"/>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v>100</v>
      </c>
      <c r="D119" s="493">
        <v>99</v>
      </c>
      <c r="E119" s="493">
        <v>98</v>
      </c>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t="str">
        <f>B44</f>
        <v>建筑面积</v>
      </c>
      <c r="C126" s="511">
        <f>C44</f>
        <v>58.81</v>
      </c>
      <c r="D126" s="511">
        <f>E44</f>
        <v>90</v>
      </c>
      <c r="E126" s="511">
        <v>246</v>
      </c>
      <c r="F126" s="511">
        <v>80</v>
      </c>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v>100</v>
      </c>
      <c r="D127" s="493">
        <v>98</v>
      </c>
      <c r="E127" s="493">
        <v>96</v>
      </c>
      <c r="F127" s="493">
        <v>98</v>
      </c>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v>0</v>
      </c>
      <c r="D128" s="511">
        <v>100</v>
      </c>
      <c r="E128" s="511">
        <v>200</v>
      </c>
      <c r="F128" s="511">
        <v>300</v>
      </c>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v>100</v>
      </c>
      <c r="D129" s="493">
        <v>99</v>
      </c>
      <c r="E129" s="493">
        <v>98</v>
      </c>
      <c r="F129" s="493">
        <v>97</v>
      </c>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row r="132" spans="1:29">
      <c r="C132" s="363" t="s">
        <v>5652</v>
      </c>
      <c r="D132" s="363" t="s">
        <v>5653</v>
      </c>
      <c r="E132" s="363" t="s">
        <v>5654</v>
      </c>
    </row>
    <row r="133" spans="1:29">
      <c r="C133" s="363">
        <v>100</v>
      </c>
      <c r="D133" s="363">
        <v>98</v>
      </c>
      <c r="E133" s="363">
        <v>96</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3">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C24 E24 G24 I24" xr:uid="{00000000-0002-0000-1C00-000003000000}">
      <formula1>环境</formula1>
    </dataValidation>
    <dataValidation type="list" allowBlank="1" showInputMessage="1" showErrorMessage="1" sqref="C25 E25 G25 I25" xr:uid="{00000000-0002-0000-1C00-000004000000}">
      <formula1>商业临街状况</formula1>
    </dataValidation>
    <dataValidation type="list" allowBlank="1" showInputMessage="1" showErrorMessage="1" sqref="C27 G27 E27 I27" xr:uid="{00000000-0002-0000-1C00-000005000000}">
      <formula1>商业人流量</formula1>
    </dataValidation>
    <dataValidation type="list" allowBlank="1" showInputMessage="1" showErrorMessage="1" sqref="C28 E28 G28 I28" xr:uid="{00000000-0002-0000-1C00-000006000000}">
      <formula1>商业楼层</formula1>
    </dataValidation>
    <dataValidation type="list" allowBlank="1" showInputMessage="1" showErrorMessage="1" sqref="C32 E32 G32 I32" xr:uid="{00000000-0002-0000-1C00-000007000000}">
      <formula1>商业类型</formula1>
    </dataValidation>
    <dataValidation type="list" allowBlank="1" showInputMessage="1" showErrorMessage="1" sqref="C34 E34 G34 I34" xr:uid="{00000000-0002-0000-1C00-000008000000}">
      <formula1>商业建筑结构</formula1>
    </dataValidation>
    <dataValidation type="list" allowBlank="1" showInputMessage="1" showErrorMessage="1" sqref="C35 E35 G35 I35" xr:uid="{00000000-0002-0000-1C00-000009000000}">
      <formula1>商业公共部分装修</formula1>
    </dataValidation>
    <dataValidation type="list" allowBlank="1" showInputMessage="1" showErrorMessage="1" sqref="C37 E37 G37 I37" xr:uid="{00000000-0002-0000-1C00-00000A000000}">
      <formula1>商业基础设施水平</formula1>
    </dataValidation>
    <dataValidation type="list" allowBlank="1" showInputMessage="1" showErrorMessage="1" sqref="C41 E41 G41 I41" xr:uid="{00000000-0002-0000-1C00-00000B000000}">
      <formula1>商业进深比</formula1>
    </dataValidation>
    <dataValidation type="list" allowBlank="1" showInputMessage="1" showErrorMessage="1" sqref="C42 E42 G42 I42" xr:uid="{00000000-0002-0000-1C00-00000C000000}">
      <formula1>商业内部装修</formula1>
    </dataValidation>
    <dataValidation type="list" allowBlank="1" showInputMessage="1" showErrorMessage="1" sqref="E9 G9 I9" xr:uid="{00000000-0002-0000-1C00-00000D000000}">
      <formula1>商业用途</formula1>
    </dataValidation>
    <dataValidation type="list" allowBlank="1" showInputMessage="1" showErrorMessage="1" sqref="C38 E38 G38 I38" xr:uid="{00000000-0002-0000-1C00-00000E000000}">
      <formula1>商业业态</formula1>
    </dataValidation>
    <dataValidation type="list" allowBlank="1" showInputMessage="1" showErrorMessage="1" sqref="C39 E39 G39 I39" xr:uid="{00000000-0002-0000-1C00-00000F000000}">
      <formula1>商业层高</formula1>
    </dataValidation>
    <dataValidation type="list" allowBlank="1" showInputMessage="1" showErrorMessage="1" sqref="C8 E8 G8 I8" xr:uid="{00000000-0002-0000-1C00-000010000000}">
      <formula1>商业交易情况</formula1>
    </dataValidation>
    <dataValidation type="list" allowBlank="1" showInputMessage="1" showErrorMessage="1" sqref="C16 G16 E16 I16 C18 E18 G18 I18 C20 G20 E20 I20" xr:uid="{00000000-0002-0000-1C00-000011000000}">
      <formula1>商业繁华度</formula1>
    </dataValidation>
    <dataValidation type="list" allowBlank="1" showInputMessage="1" showErrorMessage="1" sqref="C22 G22 E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受贵公司委托，我公司对北京市房地产市场价值进行了预评估。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估价对象为北京市房地产，为所有。根据《国有土地使用证》[]，估价对象（分摊）出让国有建设用地使用权面积为0平方米，建筑面积为58.81平方米。</v>
      </c>
    </row>
    <row r="8" spans="1:1" ht="57.75">
      <c r="A8" s="1618" t="s">
        <v>1338</v>
      </c>
    </row>
    <row r="9" spans="1:1" ht="18.75">
      <c r="A9" s="1617" t="s">
        <v>1339</v>
      </c>
    </row>
    <row r="10" spans="1:1" ht="54">
      <c r="A10" s="161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估价对象为北京市房地产,属开发建设的居住项目，该项目尚在开发建设中。根据《国有土地使用证》[]，估价对象（分摊）出让国有建设用地使用权面积为0平方米，规划建筑面积为58.81平方米。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2022年11月3日（评估专业人员实地查勘之日）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"本次评估采用的主估价方法为"&amp;'结果表-商业'!K4&amp;"和"&amp;'结果表-商业'!L4&amp;"。"</f>
        <v>本次评估采用的主估价方法为收益法和成本法。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92D050"/>
  </sheetPr>
  <dimension ref="O3:Q9"/>
  <sheetViews>
    <sheetView topLeftCell="A40" workbookViewId="0">
      <selection activeCell="L69" sqref="L69"/>
    </sheetView>
  </sheetViews>
  <sheetFormatPr defaultColWidth="11" defaultRowHeight="14.25"/>
  <sheetData>
    <row r="3" spans="15:17">
      <c r="O3" t="s">
        <v>4769</v>
      </c>
    </row>
    <row r="6" spans="15:17">
      <c r="Q6">
        <v>8.14</v>
      </c>
    </row>
    <row r="7" spans="15:17">
      <c r="Q7">
        <v>8.15</v>
      </c>
    </row>
    <row r="8" spans="15:17">
      <c r="Q8">
        <v>7.86</v>
      </c>
    </row>
    <row r="9" spans="15:17">
      <c r="Q9">
        <v>7.78</v>
      </c>
    </row>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0">
    <tabColor rgb="FF92D050"/>
  </sheetPr>
  <dimension ref="A1"/>
  <sheetViews>
    <sheetView topLeftCell="V1" workbookViewId="0">
      <selection activeCell="V36" sqref="V36:V37"/>
    </sheetView>
  </sheetViews>
  <sheetFormatPr defaultColWidth="11" defaultRowHeight="14.2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tabColor rgb="FF92D050"/>
    <pageSetUpPr fitToPage="1"/>
  </sheetPr>
  <dimension ref="A1:J57"/>
  <sheetViews>
    <sheetView view="pageBreakPreview" topLeftCell="A28" zoomScaleNormal="70" zoomScaleSheetLayoutView="100" workbookViewId="0">
      <selection activeCell="C48" sqref="C48"/>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t="s">
        <v>4709</v>
      </c>
      <c r="C1" s="204"/>
      <c r="D1" s="204"/>
      <c r="E1" s="204"/>
      <c r="F1" s="204"/>
      <c r="G1" s="1240">
        <f>MATCH(B1,'数据-取费表'!A6:A16,0)+5</f>
        <v>6</v>
      </c>
    </row>
    <row r="2" spans="1:9" s="206" customFormat="1" ht="18" customHeight="1">
      <c r="A2" s="207" t="s">
        <v>1907</v>
      </c>
      <c r="B2" s="208">
        <f ca="1">IF(D2="——",C52,C52-E2)</f>
        <v>345</v>
      </c>
      <c r="C2" s="205" t="s">
        <v>1908</v>
      </c>
      <c r="D2" s="1989" t="s">
        <v>70</v>
      </c>
      <c r="E2" s="1283">
        <f ca="1">SUMIF(INDIRECT("'"&amp;G2&amp;"'"&amp;"!A:A"),"承租人权益价值",INDIRECT("'"&amp;G2&amp;"'"&amp;"!c:c"))</f>
        <v>-407</v>
      </c>
      <c r="F2" s="1990" t="s">
        <v>1908</v>
      </c>
      <c r="G2" s="1991" t="s">
        <v>4486</v>
      </c>
    </row>
    <row r="3" spans="1:9" s="206" customFormat="1" ht="18" customHeight="1" thickBot="1">
      <c r="A3" s="209" t="s">
        <v>1909</v>
      </c>
      <c r="B3" s="210">
        <f ca="1">ROUND(B2*10000/(IF(B1="",'数据-汇总表'!E3,INDIRECT("'数据-取费表'!k"&amp;$G$1))),0)</f>
        <v>58663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213</v>
      </c>
      <c r="D5" s="217" t="s">
        <v>1914</v>
      </c>
      <c r="E5" s="218" t="s">
        <v>1915</v>
      </c>
      <c r="F5" s="218" t="s">
        <v>1916</v>
      </c>
      <c r="G5" s="219"/>
    </row>
    <row r="6" spans="1:9" s="220" customFormat="1" ht="13.5" customHeight="1">
      <c r="A6" s="866" t="s">
        <v>1917</v>
      </c>
      <c r="B6" s="221" t="s">
        <v>1918</v>
      </c>
      <c r="C6" s="222">
        <f>[7]基准地价修正!$E$31</f>
        <v>206</v>
      </c>
      <c r="D6" s="223"/>
      <c r="E6" s="224"/>
      <c r="F6" s="224"/>
      <c r="G6" s="225"/>
    </row>
    <row r="7" spans="1:9" s="220" customFormat="1" ht="13.5" customHeight="1">
      <c r="A7" s="866" t="s">
        <v>1919</v>
      </c>
      <c r="B7" s="221" t="s">
        <v>1920</v>
      </c>
      <c r="C7" s="226">
        <f>ROUND(C6*F7,0)</f>
        <v>6</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v>
      </c>
      <c r="D8" s="228"/>
      <c r="E8" s="226"/>
      <c r="F8" s="227"/>
      <c r="G8" s="1992" t="s">
        <v>4712</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t="s">
        <v>4796</v>
      </c>
      <c r="H9" s="1251"/>
      <c r="I9" s="1994" t="s">
        <v>1924</v>
      </c>
    </row>
    <row r="10" spans="1:9" s="220" customFormat="1" ht="13.5" customHeight="1">
      <c r="A10" s="867" t="s">
        <v>620</v>
      </c>
      <c r="B10" s="230" t="s">
        <v>1925</v>
      </c>
      <c r="C10" s="231">
        <f ca="1">ROUND(D10*E10/10000,0)</f>
        <v>1</v>
      </c>
      <c r="D10" s="934">
        <f ca="1">IF(B1="",'数据-汇总表'!E6,IF(INDIRECT("'数据-取费表'!c"&amp;$G$1)="住宅",INDIRECT("'数据-取费表'!s"&amp;$G$1),INDIRECT("'数据-取费表'!k"&amp;$G$1)+INDIRECT("'数据-取费表'!s"&amp;$G$1)))</f>
        <v>58.81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9" s="220" customFormat="1" ht="13.5" hidden="1" customHeight="1">
      <c r="A17" s="233" t="s">
        <v>13</v>
      </c>
      <c r="B17" s="221" t="s">
        <v>1933</v>
      </c>
      <c r="C17" s="235"/>
      <c r="D17" s="937"/>
      <c r="E17" s="235"/>
      <c r="F17" s="235"/>
      <c r="G17" s="225" t="s">
        <v>1932</v>
      </c>
    </row>
    <row r="18" spans="1:9" s="220" customFormat="1" ht="13.5" hidden="1" customHeight="1">
      <c r="A18" s="233" t="s">
        <v>14</v>
      </c>
      <c r="B18" s="221" t="s">
        <v>1934</v>
      </c>
      <c r="C18" s="226">
        <v>0</v>
      </c>
      <c r="D18" s="936"/>
      <c r="E18" s="224"/>
      <c r="F18" s="227">
        <v>3.0499999999999999E-2</v>
      </c>
      <c r="G18" s="225" t="s">
        <v>1935</v>
      </c>
    </row>
    <row r="19" spans="1:9" s="229" customFormat="1" ht="13.5" customHeight="1">
      <c r="A19" s="261" t="s">
        <v>1936</v>
      </c>
      <c r="B19" s="216" t="s">
        <v>1937</v>
      </c>
      <c r="C19" s="217" t="str">
        <f>IF(G19="已包含在土地取得成本中","0",ROUND(D19*E19/10000,0))</f>
        <v>0</v>
      </c>
      <c r="D19" s="938">
        <f ca="1">D9+D10</f>
        <v>58.81</v>
      </c>
      <c r="E19" s="217">
        <f>'数据-取费表'!B31</f>
        <v>200</v>
      </c>
      <c r="F19" s="237"/>
      <c r="G19" s="1992" t="s">
        <v>4711</v>
      </c>
    </row>
    <row r="20" spans="1:9" s="220" customFormat="1" ht="13.5" customHeight="1">
      <c r="A20" s="261" t="s">
        <v>1938</v>
      </c>
      <c r="B20" s="216" t="s">
        <v>1939</v>
      </c>
      <c r="C20" s="238">
        <f ca="1">ROUND((C5+C19)*F20,0)</f>
        <v>4</v>
      </c>
      <c r="D20" s="238"/>
      <c r="E20" s="238"/>
      <c r="F20" s="3443">
        <f>'数据-取费表'!B37</f>
        <v>0.02</v>
      </c>
      <c r="G20" s="240" t="s">
        <v>1940</v>
      </c>
      <c r="H20" s="220">
        <v>213</v>
      </c>
      <c r="I20" s="220">
        <f ca="1">H20/D19</f>
        <v>3.6218330215949668</v>
      </c>
    </row>
    <row r="21" spans="1:9" s="220" customFormat="1" ht="13.5" customHeight="1">
      <c r="A21" s="261" t="s">
        <v>1941</v>
      </c>
      <c r="B21" s="216" t="s">
        <v>1942</v>
      </c>
      <c r="C21" s="241">
        <f>F21</f>
        <v>0.02</v>
      </c>
      <c r="D21" s="242" t="s">
        <v>1943</v>
      </c>
      <c r="E21" s="238"/>
      <c r="F21" s="3443">
        <f>'数据-取费表'!B38</f>
        <v>0.02</v>
      </c>
      <c r="G21" s="240" t="s">
        <v>1944</v>
      </c>
      <c r="H21" s="220">
        <v>23</v>
      </c>
      <c r="I21" s="220">
        <f ca="1">H21/D19</f>
        <v>0.39108995068865837</v>
      </c>
    </row>
    <row r="22" spans="1:9" s="220" customFormat="1" ht="13.5" customHeight="1">
      <c r="A22" s="261" t="s">
        <v>1945</v>
      </c>
      <c r="B22" s="216" t="s">
        <v>1946</v>
      </c>
      <c r="C22" s="1216">
        <f ca="1">ROUND(SUM(C23:C25),0)</f>
        <v>21</v>
      </c>
      <c r="D22" s="241">
        <f ca="1">C26</f>
        <v>1E-3</v>
      </c>
      <c r="E22" s="242" t="s">
        <v>1943</v>
      </c>
      <c r="F22" s="243">
        <f ca="1">'数据-取费表'!B40</f>
        <v>4.7500000000000001E-2</v>
      </c>
      <c r="G22" s="240" t="str">
        <f>IF('数据-取费表'!B22&lt;=1,"单利计息","复利计息")</f>
        <v>复利计息</v>
      </c>
    </row>
    <row r="23" spans="1:9" s="220" customFormat="1" ht="13.5" customHeight="1">
      <c r="A23" s="868" t="s">
        <v>1947</v>
      </c>
      <c r="B23" s="221" t="s">
        <v>1948</v>
      </c>
      <c r="C23" s="1217">
        <f ca="1">ROUND(IF('数据-取费表'!B22&lt;=1,C5*F22*'数据-取费表'!B23,C5*(POWER((1+F22),'数据-取费表'!B23)-1)),0)</f>
        <v>21</v>
      </c>
      <c r="D23" s="244"/>
      <c r="E23" s="244"/>
      <c r="F23" s="245"/>
      <c r="G23" s="246" t="s">
        <v>1949</v>
      </c>
    </row>
    <row r="24" spans="1:9"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9" s="220" customFormat="1" ht="24">
      <c r="A25" s="868" t="s">
        <v>1953</v>
      </c>
      <c r="B25" s="221" t="s">
        <v>1954</v>
      </c>
      <c r="C25" s="1217">
        <f ca="1">ROUND(IF('数据-取费表'!B22&lt;=1,C20*F22*'数据-取费表'!B23/2,C20*(POWER((1+F22),'数据-取费表'!B23/2)-1)),0)</f>
        <v>0</v>
      </c>
      <c r="D25" s="244"/>
      <c r="E25" s="247"/>
      <c r="F25" s="245"/>
      <c r="G25" s="248" t="s">
        <v>1955</v>
      </c>
    </row>
    <row r="26" spans="1:9" s="220" customFormat="1">
      <c r="A26" s="868" t="s">
        <v>614</v>
      </c>
      <c r="B26" s="221" t="s">
        <v>1956</v>
      </c>
      <c r="C26" s="244">
        <f ca="1">ROUND(IF('数据-取费表'!B22&lt;=1,F21*F22*'数据-取费表'!B23/2,F21*(POWER((1+F22),'数据-取费表'!B23/2)-1)),4)</f>
        <v>1E-3</v>
      </c>
      <c r="D26" s="244"/>
      <c r="E26" s="247"/>
      <c r="F26" s="245"/>
      <c r="G26" s="249"/>
    </row>
    <row r="27" spans="1:9" s="220" customFormat="1" ht="24.75">
      <c r="A27" s="261" t="s">
        <v>1957</v>
      </c>
      <c r="B27" s="250" t="s">
        <v>1958</v>
      </c>
      <c r="C27" s="251">
        <f ca="1">C28</f>
        <v>33</v>
      </c>
      <c r="D27" s="241">
        <f ca="1">C29</f>
        <v>3.0000000000000001E-3</v>
      </c>
      <c r="E27" s="242" t="s">
        <v>1959</v>
      </c>
      <c r="F27" s="252">
        <f ca="1">IF(B1="",'数据-取费表'!Q16,INDIRECT("'数据-取费表'!q"&amp;$G$1))</f>
        <v>0.15</v>
      </c>
      <c r="G27" s="253" t="s">
        <v>1960</v>
      </c>
    </row>
    <row r="28" spans="1:9" s="220" customFormat="1" ht="13.5" customHeight="1">
      <c r="A28" s="868" t="s">
        <v>610</v>
      </c>
      <c r="B28" s="254" t="s">
        <v>1961</v>
      </c>
      <c r="C28" s="255">
        <f ca="1">ROUND((C5+C19+C20)*F27*'数据-取费表'!B21/'数据-取费表'!B20,0)</f>
        <v>33</v>
      </c>
      <c r="D28" s="241"/>
      <c r="E28" s="242"/>
      <c r="F28" s="252"/>
      <c r="G28" s="253"/>
    </row>
    <row r="29" spans="1:9" s="220" customFormat="1" ht="13.5" customHeight="1">
      <c r="A29" s="868" t="s">
        <v>611</v>
      </c>
      <c r="B29" s="254" t="s">
        <v>1962</v>
      </c>
      <c r="C29" s="244">
        <f ca="1">ROUND(C21*F27*'数据-取费表'!B21/'数据-取费表'!B20,4)</f>
        <v>3.0000000000000001E-3</v>
      </c>
      <c r="D29" s="241"/>
      <c r="E29" s="242"/>
      <c r="F29" s="252"/>
      <c r="G29" s="253"/>
    </row>
    <row r="30" spans="1:9" s="220" customFormat="1" ht="13.5" customHeight="1">
      <c r="A30" s="261" t="s">
        <v>1963</v>
      </c>
      <c r="B30" s="216" t="s">
        <v>1964</v>
      </c>
      <c r="C30" s="241">
        <f>ROUND(F30/(1+'数据-取费表'!C42),4)</f>
        <v>5.33E-2</v>
      </c>
      <c r="D30" s="242" t="s">
        <v>1959</v>
      </c>
      <c r="E30" s="247"/>
      <c r="F30" s="243">
        <f>'数据-取费表'!B41</f>
        <v>5.6000000000000001E-2</v>
      </c>
      <c r="G30" s="240" t="s">
        <v>1965</v>
      </c>
    </row>
    <row r="31" spans="1:9" ht="16.5" customHeight="1">
      <c r="A31" s="215">
        <v>1</v>
      </c>
      <c r="B31" s="216" t="s">
        <v>1966</v>
      </c>
      <c r="C31" s="217">
        <f ca="1">ROUND((C5+C19+C20+C22+C27)/(1-C21-D22-D27-C30),0)</f>
        <v>294</v>
      </c>
      <c r="D31" s="236"/>
      <c r="E31" s="217"/>
      <c r="F31" s="256"/>
      <c r="G31" s="240" t="s">
        <v>1967</v>
      </c>
      <c r="H31" s="257">
        <f ca="1">C31/D19</f>
        <v>4.9991498044550244</v>
      </c>
    </row>
    <row r="32" spans="1:9" s="214" customFormat="1" ht="15.75">
      <c r="A32" s="258" t="s">
        <v>1968</v>
      </c>
      <c r="B32" s="259"/>
      <c r="C32" s="259"/>
      <c r="D32" s="259"/>
      <c r="E32" s="259"/>
      <c r="F32" s="259"/>
      <c r="G32" s="260"/>
    </row>
    <row r="33" spans="1:7" s="220" customFormat="1" ht="13.5" customHeight="1">
      <c r="A33" s="261" t="s">
        <v>601</v>
      </c>
      <c r="B33" s="216" t="s">
        <v>1969</v>
      </c>
      <c r="C33" s="262">
        <f ca="1">SUM(C34:C38)</f>
        <v>46</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43</v>
      </c>
      <c r="D34" s="223"/>
      <c r="E34" s="226"/>
      <c r="F34" s="263">
        <f ca="1">IF('数据-取费表'!B24=0,1,IF(B1="",'数据-取费表'!N16,INDIRECT("'数据-取费表'!n"&amp;$G$1)))</f>
        <v>1</v>
      </c>
      <c r="G34" s="225" t="s">
        <v>1971</v>
      </c>
    </row>
    <row r="35" spans="1:7" ht="13.5" customHeight="1">
      <c r="A35" s="868" t="s">
        <v>615</v>
      </c>
      <c r="B35" s="221" t="s">
        <v>1972</v>
      </c>
      <c r="C35" s="226">
        <f ca="1">ROUND(C34*F35,0)</f>
        <v>1</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0.1</v>
      </c>
      <c r="G36" s="266" t="s">
        <v>1975</v>
      </c>
    </row>
    <row r="37" spans="1:7" s="264" customFormat="1" ht="13.5" customHeight="1">
      <c r="A37" s="868" t="s">
        <v>617</v>
      </c>
      <c r="B37" s="221" t="s">
        <v>1976</v>
      </c>
      <c r="C37" s="255">
        <f ca="1">ROUND(E37*D37*F34/10000,0)</f>
        <v>1</v>
      </c>
      <c r="D37" s="223">
        <f ca="1">D19</f>
        <v>58.81</v>
      </c>
      <c r="E37" s="255">
        <f>'数据-取费表'!B35</f>
        <v>200</v>
      </c>
      <c r="F37" s="265"/>
      <c r="G37" s="267" t="s">
        <v>1977</v>
      </c>
    </row>
    <row r="38" spans="1:7" ht="13.5" customHeight="1">
      <c r="A38" s="868"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1</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v>
      </c>
      <c r="D41" s="241">
        <f ca="1">C44</f>
        <v>1E-3</v>
      </c>
      <c r="E41" s="242" t="s">
        <v>1984</v>
      </c>
      <c r="F41" s="2486">
        <f ca="1">F22</f>
        <v>4.7500000000000001E-2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v>
      </c>
      <c r="D42" s="244"/>
      <c r="E42" s="244"/>
      <c r="F42" s="245"/>
      <c r="G42" s="3780" t="s">
        <v>1989</v>
      </c>
    </row>
    <row r="43" spans="1:7" ht="13.5" customHeight="1">
      <c r="A43" s="868" t="s">
        <v>611</v>
      </c>
      <c r="B43" s="221" t="s">
        <v>1990</v>
      </c>
      <c r="C43" s="244">
        <f ca="1">ROUND(IF('数据-取费表'!B22&lt;=1,C39*F22*'数据-取费表'!B21/2,C39*(POWER((1+F22),'数据-取费表'!B21/2)-1)),0)</f>
        <v>0</v>
      </c>
      <c r="D43" s="244"/>
      <c r="E43" s="244"/>
      <c r="F43" s="245"/>
      <c r="G43" s="3781"/>
    </row>
    <row r="44" spans="1:7" ht="13.5" customHeight="1">
      <c r="A44" s="868" t="s">
        <v>612</v>
      </c>
      <c r="B44" s="221" t="s">
        <v>1991</v>
      </c>
      <c r="C44" s="244">
        <f ca="1">ROUND(IF('数据-取费表'!B22&lt;=1,C40*F22*'数据-取费表'!B21/2,C40*(POWER((1+F22),'数据-取费表'!B21/2)-1)),4)</f>
        <v>1E-3</v>
      </c>
      <c r="D44" s="244"/>
      <c r="E44" s="244"/>
      <c r="F44" s="245"/>
      <c r="G44" s="3782"/>
    </row>
    <row r="45" spans="1:7" s="220" customFormat="1" ht="13.5" customHeight="1">
      <c r="A45" s="261" t="s">
        <v>1992</v>
      </c>
      <c r="B45" s="250" t="s">
        <v>1958</v>
      </c>
      <c r="C45" s="251">
        <f ca="1">C46</f>
        <v>7</v>
      </c>
      <c r="D45" s="241">
        <f ca="1">C47</f>
        <v>3.0000000000000001E-3</v>
      </c>
      <c r="E45" s="242" t="s">
        <v>1984</v>
      </c>
      <c r="F45" s="2487">
        <f ca="1">F27</f>
        <v>0.15</v>
      </c>
      <c r="G45" s="253" t="s">
        <v>1993</v>
      </c>
    </row>
    <row r="46" spans="1:7" s="220" customFormat="1" ht="13.5" customHeight="1">
      <c r="A46" s="868" t="s">
        <v>610</v>
      </c>
      <c r="B46" s="254" t="s">
        <v>1994</v>
      </c>
      <c r="C46" s="255">
        <f ca="1">ROUND((C33+C39)*F27,0)</f>
        <v>7</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10" ht="16.5" customHeight="1">
      <c r="A49" s="261" t="s">
        <v>1963</v>
      </c>
      <c r="B49" s="216" t="s">
        <v>1998</v>
      </c>
      <c r="C49" s="238">
        <f ca="1">ROUND((C33+C39+C41+C45)/(1-C40-D41-D45-C48),0)</f>
        <v>61</v>
      </c>
      <c r="D49" s="238"/>
      <c r="E49" s="238"/>
      <c r="F49" s="270"/>
      <c r="G49" s="240" t="s">
        <v>1999</v>
      </c>
      <c r="H49" s="257">
        <f ca="1">C49/58.81</f>
        <v>1.0372385648699201</v>
      </c>
    </row>
    <row r="50" spans="1:10" s="264" customFormat="1" ht="24">
      <c r="A50" s="261" t="s">
        <v>2000</v>
      </c>
      <c r="B50" s="216" t="s">
        <v>2001</v>
      </c>
      <c r="C50" s="238"/>
      <c r="D50" s="238"/>
      <c r="E50" s="238"/>
      <c r="F50" s="270">
        <f>IF('数据-取费表'!B24=0,'数据-取费表'!N16,1)</f>
        <v>0.84</v>
      </c>
      <c r="G50" s="253" t="s">
        <v>2002</v>
      </c>
    </row>
    <row r="51" spans="1:10" ht="16.5" customHeight="1">
      <c r="A51" s="261" t="s">
        <v>2003</v>
      </c>
      <c r="B51" s="216" t="s">
        <v>2004</v>
      </c>
      <c r="C51" s="238">
        <f ca="1">ROUND(C49*F50,0)</f>
        <v>51</v>
      </c>
      <c r="D51" s="238"/>
      <c r="E51" s="238"/>
      <c r="F51" s="270"/>
      <c r="G51" s="240" t="s">
        <v>2005</v>
      </c>
      <c r="H51" s="257">
        <f ca="1">C51/58.81</f>
        <v>0.86719945587485114</v>
      </c>
    </row>
    <row r="52" spans="1:10" s="214" customFormat="1" ht="16.5" thickBot="1">
      <c r="A52" s="271" t="s">
        <v>2006</v>
      </c>
      <c r="B52" s="272"/>
      <c r="C52" s="273">
        <f ca="1">C31+C51</f>
        <v>345</v>
      </c>
      <c r="D52" s="272"/>
      <c r="E52" s="272"/>
      <c r="F52" s="272"/>
      <c r="G52" s="274"/>
      <c r="H52" s="214">
        <f ca="1">C52/58.81</f>
        <v>5.8663492603298755</v>
      </c>
      <c r="I52" s="214">
        <v>5.8662999999999998</v>
      </c>
      <c r="J52" s="214">
        <f ca="1">I52-H52</f>
        <v>-4.9260329875622233E-5</v>
      </c>
    </row>
    <row r="55" spans="1:10" ht="15">
      <c r="B55" s="276" t="s">
        <v>2007</v>
      </c>
      <c r="C55" s="277"/>
    </row>
    <row r="56" spans="1:10">
      <c r="B56" s="279" t="s">
        <v>1237</v>
      </c>
      <c r="C56" s="281">
        <f ca="1">1-C57</f>
        <v>0.85199999999999998</v>
      </c>
    </row>
    <row r="57" spans="1:10">
      <c r="B57" s="279" t="s">
        <v>1238</v>
      </c>
      <c r="C57" s="280">
        <f ca="1">ROUND(C51/C52,3)</f>
        <v>0.14799999999999999</v>
      </c>
    </row>
  </sheetData>
  <sheetProtection formatCells="0"/>
  <mergeCells count="1">
    <mergeCell ref="G42:G44"/>
  </mergeCells>
  <phoneticPr fontId="140" type="noConversion"/>
  <dataValidations disablePrompts="1" count="6">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9" xr:uid="{00000000-0002-0000-1F00-000003000000}">
      <formula1>"部分缴纳,全部缴纳"</formula1>
    </dataValidation>
    <dataValidation type="list" allowBlank="1" showInputMessage="1" showErrorMessage="1" sqref="G2" xr:uid="{00000000-0002-0000-1F00-000004000000}">
      <formula1>估价方法</formula1>
    </dataValidation>
    <dataValidation type="list" allowBlank="1" showInputMessage="1" showErrorMessage="1" sqref="D2" xr:uid="{00000000-0002-0000-1F00-000005000000}">
      <formula1>"需扣减承租人权益,——"</formula1>
    </dataValidation>
  </dataValidations>
  <pageMargins left="0.7" right="0.7" top="0.75" bottom="0.75" header="0.3" footer="0.3"/>
  <pageSetup paperSize="9" scale="74"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1906</v>
      </c>
      <c r="B1" s="1604" t="s">
        <v>4709</v>
      </c>
      <c r="C1" s="1995" t="s">
        <v>2008</v>
      </c>
      <c r="D1" s="204"/>
      <c r="E1" s="204"/>
      <c r="F1" s="204"/>
      <c r="G1" s="1240">
        <f>MATCH(B1,'数据-取费表'!A6:A16,0)+5</f>
        <v>6</v>
      </c>
      <c r="H1" s="1172" t="str">
        <f>IF(ISERROR(FIND("住宅",B1)),"非住宅","住宅")</f>
        <v>非住宅</v>
      </c>
    </row>
    <row r="2" spans="1:8" s="206" customFormat="1" ht="18" customHeight="1">
      <c r="A2" s="207" t="s">
        <v>1907</v>
      </c>
      <c r="B2" s="208" t="e">
        <f ca="1">ROUND(IF(D2="——",C52/10000,C52/10000-E2),0)</f>
        <v>#REF!</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t="e">
        <f ca="1">ROUND(B2*10000/(IF(B1="",'数据-汇总表'!E3,INDIRECT("'数据-取费表'!k"&amp;$G$1))),0)</f>
        <v>#REF!</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t="e">
        <f ca="1">C6+C7+C8</f>
        <v>#REF!</v>
      </c>
      <c r="D5" s="217" t="s">
        <v>1914</v>
      </c>
      <c r="E5" s="218" t="s">
        <v>1915</v>
      </c>
      <c r="F5" s="218" t="s">
        <v>1916</v>
      </c>
      <c r="G5" s="219"/>
    </row>
    <row r="6" spans="1:8" s="220" customFormat="1" ht="13.5" customHeight="1">
      <c r="A6" s="866" t="s">
        <v>1917</v>
      </c>
      <c r="B6" s="221" t="s">
        <v>1918</v>
      </c>
      <c r="C6" s="222" t="e">
        <f ca="1">[8]基准地价修正!$C$31*D10</f>
        <v>#REF!</v>
      </c>
      <c r="D6" s="223"/>
      <c r="E6" s="224"/>
      <c r="F6" s="224"/>
      <c r="G6" s="225"/>
    </row>
    <row r="7" spans="1:8" s="220" customFormat="1" ht="13.5" customHeight="1">
      <c r="A7" s="866" t="s">
        <v>1919</v>
      </c>
      <c r="B7" s="221" t="s">
        <v>1920</v>
      </c>
      <c r="C7" s="226" t="e">
        <f ca="1">ROUND(C6*F7,0)</f>
        <v>#REF!</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11762</v>
      </c>
      <c r="D8" s="228"/>
      <c r="E8" s="226"/>
      <c r="F8" s="227"/>
      <c r="G8" s="1992" t="s">
        <v>4712</v>
      </c>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11762</v>
      </c>
      <c r="D10" s="934">
        <f ca="1">IF(B1="",'数据-汇总表'!E6,IF(INDIRECT("'数据-取费表'!c"&amp;$G$1)="住宅",INDIRECT("'数据-取费表'!s"&amp;$G$1),INDIRECT("'数据-取费表'!k"&amp;$G$1)+INDIRECT("'数据-取费表'!s"&amp;$G$1)))</f>
        <v>58.81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t="str">
        <f>IF(G19="已包含在土地取得成本中","0",ROUND(D19*E19,0))</f>
        <v>0</v>
      </c>
      <c r="D19" s="938">
        <f ca="1">D9+D10</f>
        <v>58.81</v>
      </c>
      <c r="E19" s="217">
        <f>'数据-取费表'!B31</f>
        <v>200</v>
      </c>
      <c r="F19" s="237"/>
      <c r="G19" s="1992" t="s">
        <v>4711</v>
      </c>
    </row>
    <row r="20" spans="1:7" s="220" customFormat="1" ht="13.5" customHeight="1">
      <c r="A20" s="261" t="s">
        <v>2019</v>
      </c>
      <c r="B20" s="216" t="s">
        <v>2020</v>
      </c>
      <c r="C20" s="238" t="e">
        <f ca="1">ROUND((C5+C19)*F20,0)</f>
        <v>#REF!</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t="e">
        <f ca="1">ROUND(SUM(C23:C25),0)</f>
        <v>#REF!</v>
      </c>
      <c r="D22" s="241">
        <f ca="1">C26</f>
        <v>1E-3</v>
      </c>
      <c r="E22" s="242" t="s">
        <v>2024</v>
      </c>
      <c r="F22" s="243">
        <f ca="1">'数据-取费表'!B40</f>
        <v>4.7500000000000001E-2</v>
      </c>
      <c r="G22" s="240" t="str">
        <f>IF('数据-取费表'!B22&lt;=1,"单利计息","复利计息")</f>
        <v>复利计息</v>
      </c>
    </row>
    <row r="23" spans="1:7" s="220" customFormat="1" ht="13.5" customHeight="1">
      <c r="A23" s="868" t="s">
        <v>1917</v>
      </c>
      <c r="B23" s="221" t="s">
        <v>2028</v>
      </c>
      <c r="C23" s="1242" t="e">
        <f ca="1">ROUND(IF('数据-取费表'!B22&lt;=1,C5*F22*'数据-取费表'!B22,C5*(POWER((1+F22),'数据-取费表'!B22)-1)),0)</f>
        <v>#REF!</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0</v>
      </c>
      <c r="D24" s="244"/>
      <c r="E24" s="244"/>
      <c r="F24" s="245"/>
      <c r="G24" s="246" t="s">
        <v>2031</v>
      </c>
    </row>
    <row r="25" spans="1:7" s="220" customFormat="1" ht="24">
      <c r="A25" s="868" t="s">
        <v>1921</v>
      </c>
      <c r="B25" s="221" t="s">
        <v>2032</v>
      </c>
      <c r="C25" s="1242" t="e">
        <f ca="1">ROUND(IF('数据-取费表'!B22&lt;=1,C20*F22*'数据-取费表'!B22/2,C20*(POWER((1+F22),'数据-取费表'!B22/2)-1)),0)</f>
        <v>#REF!</v>
      </c>
      <c r="D25" s="244"/>
      <c r="E25" s="247"/>
      <c r="F25" s="245"/>
      <c r="G25" s="248" t="s">
        <v>2033</v>
      </c>
    </row>
    <row r="26" spans="1:7" s="220" customFormat="1">
      <c r="A26" s="868" t="s">
        <v>614</v>
      </c>
      <c r="B26" s="221" t="s">
        <v>1956</v>
      </c>
      <c r="C26" s="244">
        <f ca="1">ROUND(IF('数据-取费表'!B22&lt;=1,F21*F22*'数据-取费表'!B22/2,F21*(POWER((1+F22),'数据-取费表'!B22/2)-1)),4)</f>
        <v>1E-3</v>
      </c>
      <c r="D26" s="244"/>
      <c r="E26" s="247"/>
      <c r="F26" s="245"/>
      <c r="G26" s="249"/>
    </row>
    <row r="27" spans="1:7" s="220" customFormat="1" ht="24.75">
      <c r="A27" s="261" t="s">
        <v>1957</v>
      </c>
      <c r="B27" s="250" t="s">
        <v>1958</v>
      </c>
      <c r="C27" s="251" t="e">
        <f ca="1">C28</f>
        <v>#REF!</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t="e">
        <f ca="1">ROUND((C5+C19+C20)*F27,0)</f>
        <v>#REF!</v>
      </c>
      <c r="D28" s="241"/>
      <c r="E28" s="242"/>
      <c r="F28" s="252"/>
      <c r="G28" s="253"/>
    </row>
    <row r="29" spans="1:7" s="220" customFormat="1" ht="13.5" customHeight="1">
      <c r="A29" s="868"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t="e">
        <f ca="1">ROUND((C5+C19+C20+C22+C27)/(1-C21-D22-D27-C30),0)</f>
        <v>#REF!</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460394</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429313</v>
      </c>
      <c r="D34" s="223"/>
      <c r="E34" s="226"/>
      <c r="F34" s="263"/>
      <c r="G34" s="225"/>
    </row>
    <row r="35" spans="1:7" ht="13.5" customHeight="1">
      <c r="A35" s="868" t="s">
        <v>615</v>
      </c>
      <c r="B35" s="221" t="s">
        <v>1972</v>
      </c>
      <c r="C35" s="226">
        <f ca="1">ROUND(C34*F35,0)</f>
        <v>12879</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0.1</v>
      </c>
      <c r="G36" s="266" t="s">
        <v>1975</v>
      </c>
    </row>
    <row r="37" spans="1:7" s="264" customFormat="1" ht="13.5" customHeight="1">
      <c r="A37" s="868" t="s">
        <v>617</v>
      </c>
      <c r="B37" s="221" t="s">
        <v>1976</v>
      </c>
      <c r="C37" s="255">
        <f ca="1">ROUND(E37*D37,0)</f>
        <v>11762</v>
      </c>
      <c r="D37" s="223">
        <f ca="1">D19</f>
        <v>58.81</v>
      </c>
      <c r="E37" s="255">
        <f>'数据-取费表'!B35</f>
        <v>200</v>
      </c>
      <c r="F37" s="265"/>
      <c r="G37" s="267"/>
    </row>
    <row r="38" spans="1:7" ht="13.5" customHeight="1">
      <c r="A38" s="868" t="s">
        <v>618</v>
      </c>
      <c r="B38" s="221" t="s">
        <v>1978</v>
      </c>
      <c r="C38" s="226">
        <f ca="1">ROUND(C34*F38,0)</f>
        <v>6440</v>
      </c>
      <c r="D38" s="226"/>
      <c r="E38" s="226"/>
      <c r="F38" s="265">
        <f>'数据-取费表'!B36</f>
        <v>1.4999999999999999E-2</v>
      </c>
      <c r="G38" s="225" t="s">
        <v>1973</v>
      </c>
    </row>
    <row r="39" spans="1:7" s="220" customFormat="1" ht="13.5" customHeight="1">
      <c r="A39" s="261" t="s">
        <v>1979</v>
      </c>
      <c r="B39" s="216" t="s">
        <v>1980</v>
      </c>
      <c r="C39" s="238">
        <f ca="1">ROUND(C33*F20,0)</f>
        <v>9208</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22306</v>
      </c>
      <c r="D41" s="241">
        <f ca="1">C44</f>
        <v>1E-3</v>
      </c>
      <c r="E41" s="242" t="s">
        <v>1984</v>
      </c>
      <c r="F41" s="2486">
        <f ca="1">F22</f>
        <v>4.7500000000000001E-2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21869</v>
      </c>
      <c r="D42" s="244"/>
      <c r="E42" s="244"/>
      <c r="F42" s="245"/>
      <c r="G42" s="3780" t="s">
        <v>2036</v>
      </c>
    </row>
    <row r="43" spans="1:7" ht="13.5" customHeight="1">
      <c r="A43" s="868" t="s">
        <v>611</v>
      </c>
      <c r="B43" s="221" t="s">
        <v>1990</v>
      </c>
      <c r="C43" s="244">
        <f ca="1">ROUND(IF('数据-取费表'!B22&lt;=1,C39*F22*'数据-取费表'!B20/2,C39*(POWER((1+F22),'数据-取费表'!B20/2)-1)),0)</f>
        <v>437</v>
      </c>
      <c r="D43" s="244"/>
      <c r="E43" s="244"/>
      <c r="F43" s="245"/>
      <c r="G43" s="3781"/>
    </row>
    <row r="44" spans="1:7" ht="13.5" customHeight="1">
      <c r="A44" s="868" t="s">
        <v>612</v>
      </c>
      <c r="B44" s="221" t="s">
        <v>1991</v>
      </c>
      <c r="C44" s="244">
        <f ca="1">ROUND(IF('数据-取费表'!B22&lt;=1,C40*F22*'数据-取费表'!B20/2,C40*(POWER((1+F22),'数据-取费表'!B20/2)-1)),4)</f>
        <v>1E-3</v>
      </c>
      <c r="D44" s="244"/>
      <c r="E44" s="244"/>
      <c r="F44" s="245"/>
      <c r="G44" s="3782"/>
    </row>
    <row r="45" spans="1:7" s="220" customFormat="1" ht="13.5" customHeight="1">
      <c r="A45" s="261" t="s">
        <v>1992</v>
      </c>
      <c r="B45" s="250" t="s">
        <v>1958</v>
      </c>
      <c r="C45" s="251">
        <f ca="1">C46</f>
        <v>70440</v>
      </c>
      <c r="D45" s="241">
        <f ca="1">C47</f>
        <v>3.0000000000000001E-3</v>
      </c>
      <c r="E45" s="242" t="s">
        <v>1984</v>
      </c>
      <c r="F45" s="2487">
        <f ca="1">F27</f>
        <v>0.15</v>
      </c>
      <c r="G45" s="253" t="s">
        <v>1993</v>
      </c>
    </row>
    <row r="46" spans="1:7" s="220" customFormat="1" ht="13.5" customHeight="1">
      <c r="A46" s="868" t="s">
        <v>610</v>
      </c>
      <c r="B46" s="254" t="s">
        <v>1994</v>
      </c>
      <c r="C46" s="255">
        <f ca="1">ROUND((C33+C39)*F27,0)</f>
        <v>70440</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609459</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511946</v>
      </c>
      <c r="D51" s="238"/>
      <c r="E51" s="238"/>
      <c r="F51" s="270"/>
      <c r="G51" s="240" t="s">
        <v>2005</v>
      </c>
    </row>
    <row r="52" spans="1:7" s="214" customFormat="1" ht="16.5" thickBot="1">
      <c r="A52" s="271" t="s">
        <v>2006</v>
      </c>
      <c r="B52" s="272"/>
      <c r="C52" s="273" t="e">
        <f ca="1">C31+C51</f>
        <v>#REF!</v>
      </c>
      <c r="D52" s="272"/>
      <c r="E52" s="272"/>
      <c r="F52" s="272"/>
      <c r="G52" s="274"/>
    </row>
    <row r="55" spans="1:7" ht="15">
      <c r="B55" s="276" t="s">
        <v>2007</v>
      </c>
      <c r="C55" s="277"/>
    </row>
    <row r="56" spans="1:7">
      <c r="B56" s="279" t="s">
        <v>1237</v>
      </c>
      <c r="C56" s="281" t="e">
        <f ca="1">1-C57</f>
        <v>#REF!</v>
      </c>
    </row>
    <row r="57" spans="1:7">
      <c r="B57" s="279" t="s">
        <v>1238</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2000-000000000000}">
      <formula1>"已包含在土地购买价格中,未包含在土地购买价格中"</formula1>
    </dataValidation>
    <dataValidation type="list" allowBlank="1" showInputMessage="1" showErrorMessage="1" sqref="G19" xr:uid="{00000000-0002-0000-2000-000001000000}">
      <formula1>"已包含在土地取得成本中,未包含在土地取得成本中"</formula1>
    </dataValidation>
    <dataValidation type="list" allowBlank="1" showInputMessage="1" showErrorMessage="1" sqref="B1" xr:uid="{00000000-0002-0000-2000-000002000000}">
      <formula1>项目类型</formula1>
    </dataValidation>
    <dataValidation type="list" allowBlank="1" showInputMessage="1" showErrorMessage="1" sqref="G2" xr:uid="{00000000-0002-0000-2000-000003000000}">
      <formula1>估价方法</formula1>
    </dataValidation>
    <dataValidation type="list" allowBlank="1" showInputMessage="1" showErrorMessage="1" sqref="D2" xr:uid="{00000000-0002-0000-2000-000004000000}">
      <formula1>"需扣减承租人权益,——"</formula1>
    </dataValidation>
  </dataValidations>
  <pageMargins left="0.7" right="0.7" top="0.75" bottom="0.75" header="0.3" footer="0.3"/>
  <pageSetup paperSize="9" scale="74"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69" customWidth="1"/>
    <col min="3" max="3" width="10.375" style="912" customWidth="1"/>
    <col min="4" max="4" width="9.875" style="869" customWidth="1"/>
    <col min="5" max="5" width="9.5" style="736" customWidth="1"/>
    <col min="6" max="6" width="10.125" style="869" customWidth="1"/>
    <col min="7" max="7" width="10.6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0.1</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58.81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58.81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v>
      </c>
      <c r="D20" s="935">
        <f ca="1">IF(C1="",'数据-汇总表'!E6,IF(INDIRECT("'数据-取费表'!c"&amp;$K$1)="住宅",INDIRECT("'数据-取费表'!s"&amp;$K$1),INDIRECT("'数据-取费表'!k"&amp;$K$1)+INDIRECT("'数据-取费表'!s"&amp;$K$1)))</f>
        <v>58.81</v>
      </c>
      <c r="E20" s="24">
        <f>'数据-取费表'!B28</f>
        <v>200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0</v>
      </c>
      <c r="D28" s="286">
        <f ca="1">C29</f>
        <v>0</v>
      </c>
      <c r="E28" s="288" t="s">
        <v>15</v>
      </c>
      <c r="F28" s="294">
        <f ca="1">IF(C1="",'数据-取费表'!Q16,INDIRECT("'数据-取费表'!q"&amp;$K$1))</f>
        <v>0.15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100-000000000000}">
      <formula1>项目类型</formula1>
    </dataValidation>
    <dataValidation type="list" allowBlank="1" showInputMessage="1" showErrorMessage="1" sqref="G18" xr:uid="{00000000-0002-0000-21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2" customWidth="1"/>
    <col min="12" max="12" width="16.375" style="264" customWidth="1"/>
    <col min="13" max="13" width="13" style="264" customWidth="1"/>
    <col min="14" max="14" width="13.625" style="1518" customWidth="1"/>
    <col min="15" max="15" width="5.125" style="1518" customWidth="1"/>
    <col min="16" max="16" width="25.625" style="1518" customWidth="1"/>
    <col min="17" max="17" width="13.625" style="1518" customWidth="1"/>
    <col min="18" max="18" width="20.5" style="1518" customWidth="1"/>
    <col min="19" max="19" width="13.125" style="1518" customWidth="1"/>
    <col min="20" max="37" width="9" style="1518"/>
    <col min="38" max="16384" width="9" style="264"/>
  </cols>
  <sheetData>
    <row r="1" spans="1:37" s="299" customFormat="1" ht="21">
      <c r="A1" s="1509" t="s">
        <v>1313</v>
      </c>
      <c r="B1" s="721"/>
      <c r="C1" s="1513" t="s">
        <v>4709</v>
      </c>
      <c r="D1" s="1496" t="s">
        <v>70</v>
      </c>
      <c r="E1" s="1497" t="s">
        <v>1111</v>
      </c>
      <c r="F1" s="1173">
        <f ca="1">J53</f>
        <v>21.83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329</v>
      </c>
      <c r="C2" s="1521" t="s">
        <v>1315</v>
      </c>
      <c r="D2" s="1605">
        <f ca="1">C40+J29+L46</f>
        <v>3294975</v>
      </c>
      <c r="E2" s="1522" t="s">
        <v>1316</v>
      </c>
      <c r="F2" s="1523"/>
      <c r="G2" s="2884"/>
      <c r="H2" s="2873"/>
      <c r="I2" s="2873"/>
      <c r="J2" s="2873"/>
      <c r="K2" s="2874"/>
      <c r="L2" s="2873"/>
      <c r="M2" s="2873"/>
    </row>
    <row r="3" spans="1:37" ht="18" customHeight="1" thickBot="1">
      <c r="A3" s="1524" t="s">
        <v>1317</v>
      </c>
      <c r="B3" s="1525">
        <f ca="1">IF(ISERROR(D2/F43),0,ROUND(D2/F43,0))</f>
        <v>56027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225543</v>
      </c>
      <c r="D5" s="1498" t="s">
        <v>1325</v>
      </c>
      <c r="E5" s="1183"/>
      <c r="F5" s="1184"/>
      <c r="G5" s="1518"/>
      <c r="H5" s="305">
        <v>1</v>
      </c>
      <c r="I5" s="306" t="s">
        <v>1324</v>
      </c>
      <c r="J5" s="1182">
        <f ca="1">J6+J10+J12</f>
        <v>0</v>
      </c>
      <c r="K5" s="1498" t="s">
        <v>1325</v>
      </c>
      <c r="L5" s="1183"/>
      <c r="M5" s="1184"/>
    </row>
    <row r="6" spans="1:37" ht="18" customHeight="1">
      <c r="A6" s="1181" t="s">
        <v>822</v>
      </c>
      <c r="B6" s="3735" t="s">
        <v>1127</v>
      </c>
      <c r="C6" s="1186">
        <f ca="1">ROUND(F6*F8*F7*(1-F9),0)</f>
        <v>225261</v>
      </c>
      <c r="D6" s="160" t="s">
        <v>2605</v>
      </c>
      <c r="E6" s="308" t="s">
        <v>1129</v>
      </c>
      <c r="F6" s="309">
        <f ca="1">INDIRECT("'数据-取费表'!u"&amp;$G$1)</f>
        <v>11.66</v>
      </c>
      <c r="G6" s="1518"/>
      <c r="H6" s="1181" t="s">
        <v>822</v>
      </c>
      <c r="I6" s="3735" t="s">
        <v>1127</v>
      </c>
      <c r="J6" s="307">
        <f ca="1">ROUND(M6*M8*M7*(1-M9),0)</f>
        <v>0</v>
      </c>
      <c r="K6" s="1510" t="s">
        <v>2606</v>
      </c>
      <c r="L6" s="308" t="s">
        <v>1129</v>
      </c>
      <c r="M6" s="309">
        <f ca="1">INDIRECT("'数据-取费表'!z"&amp;$G$1)</f>
        <v>0</v>
      </c>
    </row>
    <row r="7" spans="1:37" ht="18" customHeight="1">
      <c r="A7" s="1185"/>
      <c r="B7" s="3736"/>
      <c r="C7" s="1187"/>
      <c r="D7" s="313"/>
      <c r="E7" s="1188" t="s">
        <v>1130</v>
      </c>
      <c r="F7" s="309">
        <f ca="1">IF(INDIRECT("'数据-取费表'!ah"&amp;$G$1)="",INDIRECT("'数据-取费表'!k"&amp;$G$1),INDIRECT("'数据-取费表'!ah"&amp;$G$1))</f>
        <v>58.81</v>
      </c>
      <c r="G7" s="1518"/>
      <c r="H7" s="310"/>
      <c r="I7" s="3736"/>
      <c r="J7" s="312"/>
      <c r="K7" s="313"/>
      <c r="L7" s="308" t="s">
        <v>1130</v>
      </c>
      <c r="M7" s="309">
        <f ca="1">F7</f>
        <v>58.81</v>
      </c>
    </row>
    <row r="8" spans="1:37" ht="18" customHeight="1">
      <c r="A8" s="310"/>
      <c r="B8" s="3736"/>
      <c r="C8" s="312"/>
      <c r="D8" s="313"/>
      <c r="E8" s="308" t="s">
        <v>1131</v>
      </c>
      <c r="F8" s="309">
        <f ca="1">INDIRECT("'数据-取费表'!ai"&amp;$G$1)</f>
        <v>365</v>
      </c>
      <c r="G8" s="1518"/>
      <c r="H8" s="310"/>
      <c r="I8" s="3736"/>
      <c r="J8" s="312"/>
      <c r="K8" s="313"/>
      <c r="L8" s="308" t="s">
        <v>1131</v>
      </c>
      <c r="M8" s="309">
        <f ca="1">INDIRECT("'数据-取费表'!ai"&amp;$G$1)</f>
        <v>365</v>
      </c>
    </row>
    <row r="9" spans="1:37" ht="18" customHeight="1">
      <c r="A9" s="310"/>
      <c r="B9" s="3737"/>
      <c r="C9" s="312"/>
      <c r="D9" s="313"/>
      <c r="E9" s="308" t="s">
        <v>1132</v>
      </c>
      <c r="F9" s="318">
        <f ca="1">INDIRECT("'数据-取费表'!w"&amp;$G$1)</f>
        <v>0.1</v>
      </c>
      <c r="G9" s="1518"/>
      <c r="H9" s="310"/>
      <c r="I9" s="3737"/>
      <c r="J9" s="312"/>
      <c r="K9" s="313"/>
      <c r="L9" s="319" t="s">
        <v>1132</v>
      </c>
      <c r="M9" s="320">
        <f ca="1">INDIRECT("'数据-取费表'!ab"&amp;$G$1)</f>
        <v>0</v>
      </c>
    </row>
    <row r="10" spans="1:37" ht="18" customHeight="1">
      <c r="A10" s="1181" t="s">
        <v>826</v>
      </c>
      <c r="B10" s="1499" t="s">
        <v>1133</v>
      </c>
      <c r="C10" s="322">
        <f ca="1">ROUND(IF(F10="押一",C6/12*F11,IF(F10="押二",C6/12*2*F11,IF(F10="押三",C6/12*3*F11,C11*F11))),0)</f>
        <v>282</v>
      </c>
      <c r="D10" s="1500" t="s">
        <v>2615</v>
      </c>
      <c r="E10" s="319" t="s">
        <v>1134</v>
      </c>
      <c r="F10" s="1228" t="s">
        <v>4713</v>
      </c>
      <c r="G10" s="1518"/>
      <c r="H10" s="1181" t="s">
        <v>826</v>
      </c>
      <c r="I10" s="1499" t="s">
        <v>1133</v>
      </c>
      <c r="J10" s="307">
        <f ca="1">ROUND(IF(M10="押一",J6/12*M11,IF(M10="押二",J6/12*2*M11,IF(M10="押三",J6/12*3*M11,J11*M11))),0)</f>
        <v>0</v>
      </c>
      <c r="K10" s="1511" t="s">
        <v>2617</v>
      </c>
      <c r="L10" s="319" t="s">
        <v>1134</v>
      </c>
      <c r="M10" s="1228" t="s">
        <v>4713</v>
      </c>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511946</v>
      </c>
      <c r="D13" s="1193" t="s">
        <v>1139</v>
      </c>
      <c r="E13" s="1193" t="s">
        <v>1140</v>
      </c>
      <c r="F13" s="1194">
        <f ca="1">INDIRECT("'数据-取费表'!y"&amp;$G$1)</f>
        <v>0.84</v>
      </c>
      <c r="G13" s="1518"/>
      <c r="H13" s="1191">
        <v>2</v>
      </c>
      <c r="I13" s="1192" t="s">
        <v>1138</v>
      </c>
      <c r="J13" s="1180">
        <f ca="1">ROUND(J14*J15,0)</f>
        <v>511946</v>
      </c>
      <c r="K13" s="1199" t="s">
        <v>1139</v>
      </c>
      <c r="L13" s="1526"/>
      <c r="M13" s="1527"/>
    </row>
    <row r="14" spans="1:37" ht="18" customHeight="1">
      <c r="A14" s="1093" t="s">
        <v>821</v>
      </c>
      <c r="B14" s="308" t="s">
        <v>1141</v>
      </c>
      <c r="C14" s="324">
        <f ca="1">ROUND(INDIRECT("'数据-取费表'!l"&amp;$G$1)*F43+'数据-取费表'!L14*INDIRECT("'数据-取费表'!S"&amp;$G$1),0)</f>
        <v>429313</v>
      </c>
      <c r="D14" s="1479" t="s">
        <v>1142</v>
      </c>
      <c r="E14" s="1476"/>
      <c r="F14" s="325"/>
      <c r="G14" s="1518"/>
      <c r="H14" s="1093" t="s">
        <v>822</v>
      </c>
      <c r="I14" s="308" t="s">
        <v>1143</v>
      </c>
      <c r="J14" s="24">
        <f ca="1">C29</f>
        <v>609459</v>
      </c>
      <c r="K14" s="15"/>
      <c r="L14" s="896"/>
      <c r="M14" s="897"/>
    </row>
    <row r="15" spans="1:37" s="1531" customFormat="1" ht="18" customHeight="1" thickBot="1">
      <c r="A15" s="1093" t="s">
        <v>823</v>
      </c>
      <c r="B15" s="308" t="s">
        <v>1144</v>
      </c>
      <c r="C15" s="24">
        <f ca="1">ROUND(C14*F15,0)</f>
        <v>12879</v>
      </c>
      <c r="D15" s="326" t="s">
        <v>1145</v>
      </c>
      <c r="E15" s="326" t="s">
        <v>1146</v>
      </c>
      <c r="F15" s="327">
        <f>'数据-取费表'!B33</f>
        <v>0.03</v>
      </c>
      <c r="G15" s="1530"/>
      <c r="H15" s="1201" t="s">
        <v>826</v>
      </c>
      <c r="I15" s="1202" t="s">
        <v>1140</v>
      </c>
      <c r="J15" s="1211">
        <f ca="1">INDIRECT("'数据-取费表'!ad"&amp;$G$1)</f>
        <v>0.84</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3303</v>
      </c>
      <c r="K16" s="1199" t="s">
        <v>1149</v>
      </c>
      <c r="L16" s="1200"/>
      <c r="M16" s="1184"/>
    </row>
    <row r="17" spans="1:37" s="1531" customFormat="1" ht="18" customHeight="1">
      <c r="A17" s="1093" t="s">
        <v>1114</v>
      </c>
      <c r="B17" s="308" t="s">
        <v>1150</v>
      </c>
      <c r="C17" s="24">
        <f ca="1">ROUND(F17*(F43+INDIRECT("'数据-取费表'!S"&amp;$G$1)),0)</f>
        <v>11762</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6440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460394</v>
      </c>
      <c r="D19" s="136" t="s">
        <v>1160</v>
      </c>
      <c r="E19" s="1494"/>
      <c r="F19" s="26"/>
      <c r="G19" s="1518"/>
      <c r="H19" s="1093" t="s">
        <v>823</v>
      </c>
      <c r="I19" s="308" t="s">
        <v>1161</v>
      </c>
      <c r="J19" s="24">
        <f ca="1">IF(K19="按租金收入计税",ROUND(J6*M19/(1+'数据-取费表'!C42),0),ROUND(C29*M19*0.7,0))</f>
        <v>0</v>
      </c>
      <c r="K19" s="1504" t="s">
        <v>4714</v>
      </c>
      <c r="L19" s="308" t="s">
        <v>1146</v>
      </c>
      <c r="M19" s="328">
        <f>IF(K19="按租金收入计税",'数据-取费表'!B51,'数据-取费表'!B50)</f>
        <v>0.12</v>
      </c>
    </row>
    <row r="20" spans="1:37" s="1531" customFormat="1" ht="18" customHeight="1">
      <c r="A20" s="1093" t="s">
        <v>826</v>
      </c>
      <c r="B20" s="308" t="s">
        <v>1163</v>
      </c>
      <c r="C20" s="24">
        <f ca="1">ROUND(C19*F20,0)</f>
        <v>9208</v>
      </c>
      <c r="D20" s="329" t="s">
        <v>1164</v>
      </c>
      <c r="E20" s="308" t="s">
        <v>1146</v>
      </c>
      <c r="F20" s="328">
        <f>'数据-取费表'!B37</f>
        <v>0.02</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3047</v>
      </c>
      <c r="K22" s="1478" t="s">
        <v>1174</v>
      </c>
      <c r="L22" s="308" t="s">
        <v>1146</v>
      </c>
      <c r="M22" s="334">
        <f ca="1">INDIRECT("'数据-取费表'!Ak"&amp;$G$1)</f>
        <v>5.0000000000000001E-3</v>
      </c>
    </row>
    <row r="23" spans="1:37" s="1531" customFormat="1" ht="18" customHeight="1">
      <c r="A23" s="1093" t="s">
        <v>821</v>
      </c>
      <c r="B23" s="308" t="s">
        <v>1175</v>
      </c>
      <c r="C23" s="24">
        <f ca="1">IF('数据-取费表'!B22&lt;=1,ROUND(C19*F24*F23/2,0)+ROUND(C20*F24*F23/2,0),ROUND(C19*(POWER((1+F24),F23/2)-1),0)+ROUND(C20*(POWER((1+F24),F23/2)-1),0))</f>
        <v>22306</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256</v>
      </c>
      <c r="K23" s="1478" t="s">
        <v>1178</v>
      </c>
      <c r="L23" s="308" t="s">
        <v>1179</v>
      </c>
      <c r="M23" s="336">
        <f ca="1">INDIRECT("'数据-取费表'!Al"&amp;$G$1)</f>
        <v>5.0000000000000001E-4</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4.7500000000000001E-2</v>
      </c>
      <c r="G24" s="1530"/>
      <c r="H24" s="1201" t="s">
        <v>1117</v>
      </c>
      <c r="I24" s="1202" t="s">
        <v>1163</v>
      </c>
      <c r="J24" s="1203">
        <f ca="1">ROUND(J5*M24,0)</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-3303</v>
      </c>
      <c r="K25" s="1207" t="s">
        <v>1188</v>
      </c>
      <c r="L25" s="1208"/>
      <c r="M25" s="1209"/>
    </row>
    <row r="26" spans="1:37" ht="18" customHeight="1">
      <c r="A26" s="1093" t="s">
        <v>821</v>
      </c>
      <c r="B26" s="308" t="s">
        <v>1189</v>
      </c>
      <c r="C26" s="24">
        <f ca="1">ROUND((C19+C20)*F26,0)</f>
        <v>70440</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21.83</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609459</v>
      </c>
      <c r="D29" s="1204"/>
      <c r="E29" s="1202"/>
      <c r="F29" s="1205"/>
      <c r="G29" s="1530"/>
      <c r="H29" s="340" t="s">
        <v>820</v>
      </c>
      <c r="I29" s="341" t="s">
        <v>1203</v>
      </c>
      <c r="J29" s="342">
        <f ca="1">ROUND(J26/(1+F40)^F41,0)</f>
        <v>0</v>
      </c>
      <c r="K29" s="343" t="s">
        <v>1204</v>
      </c>
      <c r="L29" s="344"/>
      <c r="M29" s="345">
        <f ca="1">INDIRECT("'数据-取费表'!k"&amp;$G$1)</f>
        <v>58.81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42189</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37758</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12014</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25744</v>
      </c>
      <c r="D33" s="1504" t="s">
        <v>4714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3047</v>
      </c>
      <c r="D36" s="1478" t="s">
        <v>1206</v>
      </c>
      <c r="E36" s="308" t="s">
        <v>1146</v>
      </c>
      <c r="F36" s="334">
        <f ca="1">INDIRECT("'数据-取费表'!Ak"&amp;$G$1)</f>
        <v>5.0000000000000001E-3</v>
      </c>
      <c r="G36" s="1518"/>
      <c r="H36" s="2878"/>
      <c r="I36" s="1532"/>
      <c r="J36" s="1533"/>
      <c r="K36" s="2719"/>
      <c r="L36" s="2878"/>
      <c r="M36" s="2878"/>
    </row>
    <row r="37" spans="1:18" ht="18" customHeight="1">
      <c r="A37" s="1093" t="s">
        <v>862</v>
      </c>
      <c r="B37" s="308" t="s">
        <v>1177</v>
      </c>
      <c r="C37" s="24">
        <f ca="1">ROUND(C13*F37,0)</f>
        <v>256</v>
      </c>
      <c r="D37" s="1478" t="s">
        <v>1178</v>
      </c>
      <c r="E37" s="308" t="s">
        <v>1179</v>
      </c>
      <c r="F37" s="336">
        <f ca="1">INDIRECT("'数据-取费表'!Al"&amp;$G$1)</f>
        <v>5.0000000000000001E-4</v>
      </c>
      <c r="G37" s="1518"/>
      <c r="H37" s="2878"/>
      <c r="I37" s="1532"/>
      <c r="J37" s="1533"/>
      <c r="K37" s="2719"/>
      <c r="L37" s="2878"/>
      <c r="M37" s="2878"/>
    </row>
    <row r="38" spans="1:18" ht="18" customHeight="1" thickBot="1">
      <c r="A38" s="1201" t="s">
        <v>1117</v>
      </c>
      <c r="B38" s="1202" t="s">
        <v>1163</v>
      </c>
      <c r="C38" s="1203">
        <f ca="1">ROUND(C5*F38,1)</f>
        <v>1127.7</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6">
        <f ca="1">C5-C30</f>
        <v>183354</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3294975</v>
      </c>
      <c r="D40" s="330" t="s">
        <v>1193</v>
      </c>
      <c r="E40" s="308" t="s">
        <v>1194</v>
      </c>
      <c r="F40" s="318">
        <f ca="1">INDIRECT("'数据-取费表'!I"&amp;$G$1)</f>
        <v>0.05</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21.83</v>
      </c>
      <c r="G41" s="1518"/>
      <c r="H41" s="1305"/>
      <c r="I41" s="1532"/>
      <c r="J41" s="1533"/>
      <c r="K41" s="2719"/>
      <c r="L41" s="1305"/>
      <c r="M41" s="1305"/>
    </row>
    <row r="42" spans="1:18" ht="18" customHeight="1">
      <c r="A42" s="314"/>
      <c r="B42" s="315"/>
      <c r="C42" s="316"/>
      <c r="D42" s="333"/>
      <c r="E42" s="308" t="s">
        <v>1201</v>
      </c>
      <c r="F42" s="318">
        <f ca="1">INDIRECT("'数据-取费表'!v"&amp;$G$1)</f>
        <v>3.5000000000000003E-2</v>
      </c>
      <c r="G42" s="1518"/>
      <c r="H42" s="1305"/>
      <c r="I42" s="1532"/>
      <c r="J42" s="1533"/>
      <c r="K42" s="2719"/>
      <c r="L42" s="1305"/>
      <c r="M42" s="1305"/>
    </row>
    <row r="43" spans="1:18" ht="18" customHeight="1" thickBot="1">
      <c r="A43" s="340" t="s">
        <v>820</v>
      </c>
      <c r="B43" s="341" t="s">
        <v>1211</v>
      </c>
      <c r="C43" s="342">
        <f ca="1">ROUND(C40/F43,0)</f>
        <v>56027</v>
      </c>
      <c r="D43" s="343" t="s">
        <v>1212</v>
      </c>
      <c r="E43" s="344" t="s">
        <v>1213</v>
      </c>
      <c r="F43" s="345">
        <f ca="1">INDIRECT("'数据-取费表'!k"&amp;$G$1)</f>
        <v>58.81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-4274335</v>
      </c>
      <c r="D45" s="1607" t="s">
        <v>1328</v>
      </c>
      <c r="E45" s="1534"/>
      <c r="F45" s="1534"/>
      <c r="O45" s="1537" t="s">
        <v>1243</v>
      </c>
      <c r="P45" s="1595"/>
      <c r="Q45" s="1595"/>
      <c r="R45" s="1595"/>
    </row>
    <row r="46" spans="1:18" s="1518" customFormat="1" ht="13.5" thickBot="1">
      <c r="A46" s="1538" t="s">
        <v>1244</v>
      </c>
      <c r="C46" s="1539">
        <f ca="1">ROUND(C45/10000,0)</f>
        <v>-427</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t="s">
        <v>4715</v>
      </c>
      <c r="K47" s="1550" t="s">
        <v>1251</v>
      </c>
      <c r="L47" s="1551">
        <f ca="1">INDIRECT("'数据-取费表'!d"&amp;$G$1)</f>
        <v>40</v>
      </c>
      <c r="M47" s="1514" t="str">
        <f>IF(ISNUMBER(FIND("住宅",C1)),"住宅","非住宅")</f>
        <v>非住宅</v>
      </c>
      <c r="O47" s="1552" t="s">
        <v>827</v>
      </c>
      <c r="P47" s="1553" t="s">
        <v>1252</v>
      </c>
      <c r="Q47" s="1554">
        <f ca="1">C40+J29</f>
        <v>3294975</v>
      </c>
      <c r="R47" s="1554" t="s">
        <v>1253</v>
      </c>
    </row>
    <row r="48" spans="1:18" s="1518" customFormat="1" ht="28.5" thickBot="1">
      <c r="A48" s="1222" t="s">
        <v>863</v>
      </c>
      <c r="B48" s="306" t="s">
        <v>1125</v>
      </c>
      <c r="C48" s="1493">
        <f ca="1">C49+C53+C55</f>
        <v>0</v>
      </c>
      <c r="D48" s="1224"/>
      <c r="E48" s="1225"/>
      <c r="F48" s="1073"/>
      <c r="G48" s="730"/>
      <c r="H48" s="731"/>
      <c r="I48" s="1555" t="s">
        <v>1254</v>
      </c>
      <c r="J48" s="1556" t="s">
        <v>4716</v>
      </c>
      <c r="K48" s="1557" t="s">
        <v>1255</v>
      </c>
      <c r="L48" s="1558">
        <f ca="1">INDIRECT("'数据-取费表'!f"&amp;$G$1)</f>
        <v>21.83</v>
      </c>
      <c r="O48" s="1552" t="s">
        <v>828</v>
      </c>
      <c r="P48" s="1553" t="s">
        <v>1256</v>
      </c>
      <c r="Q48" s="1554" t="str">
        <f ca="1">J60</f>
        <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v>2008</v>
      </c>
      <c r="K49" s="1557" t="s">
        <v>1259</v>
      </c>
      <c r="L49" s="1561"/>
      <c r="O49" s="1562" t="s">
        <v>829</v>
      </c>
      <c r="P49" s="1553" t="s">
        <v>1260</v>
      </c>
      <c r="Q49" s="1554">
        <f ca="1">C29</f>
        <v>609459</v>
      </c>
      <c r="R49" s="1554" t="s">
        <v>1253</v>
      </c>
    </row>
    <row r="50" spans="1:18" s="1518" customFormat="1" ht="13.5" thickBot="1">
      <c r="A50" s="1087"/>
      <c r="B50" s="1090"/>
      <c r="C50" s="1091"/>
      <c r="D50" s="1064"/>
      <c r="E50" s="1167" t="s">
        <v>1130</v>
      </c>
      <c r="F50" s="1168">
        <f ca="1">F7</f>
        <v>58.81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46</v>
      </c>
      <c r="K51" s="1568" t="s">
        <v>1265</v>
      </c>
      <c r="L51" s="1569">
        <f ca="1">ROUND(-PV(INDIRECT("'数据-取费表'!h"&amp;$G$1),J51,(C39-C13*C76),0),0)</f>
        <v>2453651</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21.83</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21.83</v>
      </c>
      <c r="K53" s="3733" t="s">
        <v>1272</v>
      </c>
      <c r="L53" s="3734"/>
      <c r="O53" s="1552" t="s">
        <v>833</v>
      </c>
      <c r="P53" s="1553" t="s">
        <v>1273</v>
      </c>
      <c r="Q53" s="1554">
        <f ca="1">Q47+Q48</f>
        <v>3294975</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511946</v>
      </c>
      <c r="D56" s="1581"/>
      <c r="E56" s="1582"/>
      <c r="F56" s="1574"/>
      <c r="I56" s="1583" t="s">
        <v>1278</v>
      </c>
      <c r="J56" s="1584" t="s">
        <v>3240</v>
      </c>
      <c r="K56" s="1555" t="s">
        <v>1279</v>
      </c>
      <c r="L56" s="1558" t="str">
        <f ca="1">IF(L48&lt;J51,"——",L48-J51)</f>
        <v>——</v>
      </c>
      <c r="O56" s="1552" t="s">
        <v>827</v>
      </c>
      <c r="P56" s="1553" t="s">
        <v>1252</v>
      </c>
      <c r="Q56" s="1554">
        <f ca="1">C40+J29</f>
        <v>3294975</v>
      </c>
      <c r="R56" s="1554" t="s">
        <v>1253</v>
      </c>
    </row>
    <row r="57" spans="1:18" s="1518" customFormat="1" ht="24.75" thickBot="1">
      <c r="A57" s="1585"/>
      <c r="B57" s="1061" t="s">
        <v>1202</v>
      </c>
      <c r="C57" s="244">
        <f ca="1">C29</f>
        <v>609459</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4.75" thickBot="1">
      <c r="A58" s="321" t="s">
        <v>817</v>
      </c>
      <c r="B58" s="1069" t="s">
        <v>1148</v>
      </c>
      <c r="C58" s="322">
        <f ca="1">ROUND(C59+C64+C65+C66,0)</f>
        <v>54498</v>
      </c>
      <c r="D58" s="1071" t="s">
        <v>1149</v>
      </c>
      <c r="E58" s="1072"/>
      <c r="F58" s="1073"/>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51195</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51195</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3294975</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3047</v>
      </c>
      <c r="D64" s="1075" t="s">
        <v>1226</v>
      </c>
      <c r="E64" s="1061"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256</v>
      </c>
      <c r="D65" s="1075" t="s">
        <v>1178</v>
      </c>
      <c r="E65" s="1061" t="s">
        <v>1179</v>
      </c>
      <c r="F65" s="336">
        <f t="shared" ca="1" si="0"/>
        <v>5.0000000000000001E-4</v>
      </c>
      <c r="I65" s="1596" t="s">
        <v>1303</v>
      </c>
      <c r="J65" s="1597">
        <v>40</v>
      </c>
      <c r="K65" s="1597">
        <v>30</v>
      </c>
      <c r="L65" s="1597">
        <v>50</v>
      </c>
      <c r="M65" s="1599">
        <v>0.02</v>
      </c>
      <c r="O65" s="1552" t="s">
        <v>827</v>
      </c>
      <c r="P65" s="1553" t="s">
        <v>1304</v>
      </c>
      <c r="Q65" s="1554">
        <f ca="1">C40+J29</f>
        <v>3294975</v>
      </c>
      <c r="R65" s="1554" t="s">
        <v>1253</v>
      </c>
    </row>
    <row r="66" spans="1:18" s="1518" customFormat="1" ht="16.5" thickBot="1">
      <c r="A66" s="1093" t="s">
        <v>1228</v>
      </c>
      <c r="B66" s="1061" t="s">
        <v>1163</v>
      </c>
      <c r="C66" s="24">
        <f ca="1">ROUND(C48*F66,0)</f>
        <v>0</v>
      </c>
      <c r="D66" s="1075" t="s">
        <v>1229</v>
      </c>
      <c r="E66" s="1061" t="s">
        <v>1146</v>
      </c>
      <c r="F66" s="318">
        <f t="shared" ca="1" si="0"/>
        <v>5.0000000000000001E-3</v>
      </c>
      <c r="O66" s="1552" t="s">
        <v>828</v>
      </c>
      <c r="P66" s="1553" t="s">
        <v>1282</v>
      </c>
      <c r="Q66" s="1554">
        <f ca="1">L60</f>
        <v>0</v>
      </c>
      <c r="R66" s="1554" t="s">
        <v>1305</v>
      </c>
    </row>
    <row r="67" spans="1:18" s="1518" customFormat="1" ht="16.5" thickBot="1">
      <c r="A67" s="1068" t="s">
        <v>818</v>
      </c>
      <c r="B67" s="1078" t="s">
        <v>1187</v>
      </c>
      <c r="C67" s="322">
        <f ca="1">C48-C58</f>
        <v>-54498</v>
      </c>
      <c r="D67" s="1074" t="s">
        <v>1188</v>
      </c>
      <c r="E67" s="1079"/>
      <c r="F67" s="1080"/>
      <c r="O67" s="1562" t="s">
        <v>829</v>
      </c>
      <c r="P67" s="1553" t="s">
        <v>1286</v>
      </c>
      <c r="Q67" s="1600">
        <f ca="1">L51</f>
        <v>2453651</v>
      </c>
      <c r="R67" s="1554" t="s">
        <v>1306</v>
      </c>
    </row>
    <row r="68" spans="1:18" s="1518" customFormat="1" ht="16.5" thickBot="1">
      <c r="A68" s="1058" t="s">
        <v>819</v>
      </c>
      <c r="B68" s="1059" t="s">
        <v>1209</v>
      </c>
      <c r="C68" s="307">
        <f ca="1">ROUND(C67*(1-((1+F70)/(1+F68))^F69)/(F68-F70),0)</f>
        <v>-979360</v>
      </c>
      <c r="D68" s="1076" t="s">
        <v>1193</v>
      </c>
      <c r="E68" s="1061" t="s">
        <v>1194</v>
      </c>
      <c r="F68" s="318">
        <f ca="1">F40</f>
        <v>0.05</v>
      </c>
      <c r="O68" s="1562" t="s">
        <v>830</v>
      </c>
      <c r="P68" s="1601" t="s">
        <v>1307</v>
      </c>
      <c r="Q68" s="1554">
        <f ca="1">ROUND(Q69-Q70*Q71,0)</f>
        <v>147518</v>
      </c>
      <c r="R68" s="1554" t="s">
        <v>838</v>
      </c>
    </row>
    <row r="69" spans="1:18" s="1518" customFormat="1" ht="13.5" thickBot="1">
      <c r="A69" s="1062"/>
      <c r="B69" s="1063"/>
      <c r="C69" s="312"/>
      <c r="D69" s="1081" t="s">
        <v>1197</v>
      </c>
      <c r="E69" s="1061" t="s">
        <v>1198</v>
      </c>
      <c r="F69" s="339">
        <f ca="1">F41</f>
        <v>21.83</v>
      </c>
      <c r="O69" s="1562" t="s">
        <v>835</v>
      </c>
      <c r="P69" s="1601" t="s">
        <v>1308</v>
      </c>
      <c r="Q69" s="1554">
        <f ca="1">C39</f>
        <v>183354</v>
      </c>
      <c r="R69" s="1554" t="s">
        <v>1253</v>
      </c>
    </row>
    <row r="70" spans="1:18" s="1518" customFormat="1" ht="13.5" thickBot="1">
      <c r="A70" s="1065"/>
      <c r="B70" s="1066"/>
      <c r="C70" s="316"/>
      <c r="D70" s="1077"/>
      <c r="E70" s="1061" t="s">
        <v>1201</v>
      </c>
      <c r="F70" s="1165">
        <f ca="1">F42</f>
        <v>3.5000000000000003E-2</v>
      </c>
      <c r="O70" s="1562" t="s">
        <v>836</v>
      </c>
      <c r="P70" s="1601" t="s">
        <v>1309</v>
      </c>
      <c r="Q70" s="1554">
        <f ca="1">C13</f>
        <v>511946</v>
      </c>
      <c r="R70" s="1554" t="s">
        <v>1253</v>
      </c>
    </row>
    <row r="71" spans="1:18" s="1518" customFormat="1" ht="13.5" thickBot="1">
      <c r="A71" s="1082" t="s">
        <v>820</v>
      </c>
      <c r="B71" s="1083" t="s">
        <v>1211</v>
      </c>
      <c r="C71" s="342">
        <f ca="1">ROUND(C68/F71,0)</f>
        <v>-16653</v>
      </c>
      <c r="D71" s="1084" t="s">
        <v>1212</v>
      </c>
      <c r="E71" s="1085" t="s">
        <v>1213</v>
      </c>
      <c r="F71" s="345">
        <f ca="1">F43</f>
        <v>58.81</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35836</v>
      </c>
      <c r="D75" s="1518"/>
      <c r="E75" s="1518"/>
      <c r="F75" s="1518"/>
      <c r="K75" s="1536"/>
      <c r="L75" s="1518"/>
      <c r="O75" s="1552" t="s">
        <v>833</v>
      </c>
      <c r="P75" s="1553" t="s">
        <v>1273</v>
      </c>
      <c r="Q75" s="1554">
        <f ca="1">Q65+Q66</f>
        <v>3294975</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0.80499999999999994</v>
      </c>
    </row>
    <row r="80" spans="1:18">
      <c r="B80" s="346" t="s">
        <v>1235</v>
      </c>
      <c r="C80" s="280">
        <f ca="1">ROUND(C75/C39,3)</f>
        <v>0.19500000000000001</v>
      </c>
    </row>
    <row r="81" spans="2:3">
      <c r="B81" s="276" t="s">
        <v>1236</v>
      </c>
      <c r="C81" s="244"/>
    </row>
    <row r="82" spans="2:3">
      <c r="B82" s="279" t="s">
        <v>1237</v>
      </c>
      <c r="C82" s="281">
        <f ca="1">1-C83</f>
        <v>0.84499999999999997</v>
      </c>
    </row>
    <row r="83" spans="2:3">
      <c r="B83" s="279" t="s">
        <v>1238</v>
      </c>
      <c r="C83" s="280">
        <f ca="1">ROUND(C13/C40,3)</f>
        <v>0.155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sheetPr>
  <dimension ref="A1:W44"/>
  <sheetViews>
    <sheetView zoomScale="80" zoomScaleNormal="80" workbookViewId="0">
      <selection activeCell="E1" sqref="E1:F1"/>
    </sheetView>
  </sheetViews>
  <sheetFormatPr defaultColWidth="8.875" defaultRowHeight="13.3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625" style="3182" customWidth="1"/>
    <col min="11" max="11" width="11.625" style="3182" customWidth="1"/>
    <col min="12" max="13" width="10.62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625" style="3022" customWidth="1"/>
    <col min="267" max="267" width="11.625" style="3022" customWidth="1"/>
    <col min="268" max="269" width="10.62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625" style="3022" customWidth="1"/>
    <col min="523" max="523" width="11.625" style="3022" customWidth="1"/>
    <col min="524" max="525" width="10.62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625" style="3022" customWidth="1"/>
    <col min="779" max="779" width="11.625" style="3022" customWidth="1"/>
    <col min="780" max="781" width="10.62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625" style="3022" customWidth="1"/>
    <col min="1035" max="1035" width="11.625" style="3022" customWidth="1"/>
    <col min="1036" max="1037" width="10.62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625" style="3022" customWidth="1"/>
    <col min="1291" max="1291" width="11.625" style="3022" customWidth="1"/>
    <col min="1292" max="1293" width="10.62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625" style="3022" customWidth="1"/>
    <col min="1547" max="1547" width="11.625" style="3022" customWidth="1"/>
    <col min="1548" max="1549" width="10.62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625" style="3022" customWidth="1"/>
    <col min="1803" max="1803" width="11.625" style="3022" customWidth="1"/>
    <col min="1804" max="1805" width="10.62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625" style="3022" customWidth="1"/>
    <col min="2059" max="2059" width="11.625" style="3022" customWidth="1"/>
    <col min="2060" max="2061" width="10.62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625" style="3022" customWidth="1"/>
    <col min="2315" max="2315" width="11.625" style="3022" customWidth="1"/>
    <col min="2316" max="2317" width="10.62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625" style="3022" customWidth="1"/>
    <col min="2571" max="2571" width="11.625" style="3022" customWidth="1"/>
    <col min="2572" max="2573" width="10.62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625" style="3022" customWidth="1"/>
    <col min="2827" max="2827" width="11.625" style="3022" customWidth="1"/>
    <col min="2828" max="2829" width="10.62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625" style="3022" customWidth="1"/>
    <col min="3083" max="3083" width="11.625" style="3022" customWidth="1"/>
    <col min="3084" max="3085" width="10.62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625" style="3022" customWidth="1"/>
    <col min="3339" max="3339" width="11.625" style="3022" customWidth="1"/>
    <col min="3340" max="3341" width="10.62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625" style="3022" customWidth="1"/>
    <col min="3595" max="3595" width="11.625" style="3022" customWidth="1"/>
    <col min="3596" max="3597" width="10.62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625" style="3022" customWidth="1"/>
    <col min="3851" max="3851" width="11.625" style="3022" customWidth="1"/>
    <col min="3852" max="3853" width="10.62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625" style="3022" customWidth="1"/>
    <col min="4107" max="4107" width="11.625" style="3022" customWidth="1"/>
    <col min="4108" max="4109" width="10.62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625" style="3022" customWidth="1"/>
    <col min="4363" max="4363" width="11.625" style="3022" customWidth="1"/>
    <col min="4364" max="4365" width="10.62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625" style="3022" customWidth="1"/>
    <col min="4619" max="4619" width="11.625" style="3022" customWidth="1"/>
    <col min="4620" max="4621" width="10.62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625" style="3022" customWidth="1"/>
    <col min="4875" max="4875" width="11.625" style="3022" customWidth="1"/>
    <col min="4876" max="4877" width="10.62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625" style="3022" customWidth="1"/>
    <col min="5131" max="5131" width="11.625" style="3022" customWidth="1"/>
    <col min="5132" max="5133" width="10.62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625" style="3022" customWidth="1"/>
    <col min="5387" max="5387" width="11.625" style="3022" customWidth="1"/>
    <col min="5388" max="5389" width="10.62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625" style="3022" customWidth="1"/>
    <col min="5643" max="5643" width="11.625" style="3022" customWidth="1"/>
    <col min="5644" max="5645" width="10.62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625" style="3022" customWidth="1"/>
    <col min="5899" max="5899" width="11.625" style="3022" customWidth="1"/>
    <col min="5900" max="5901" width="10.62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625" style="3022" customWidth="1"/>
    <col min="6155" max="6155" width="11.625" style="3022" customWidth="1"/>
    <col min="6156" max="6157" width="10.62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625" style="3022" customWidth="1"/>
    <col min="6411" max="6411" width="11.625" style="3022" customWidth="1"/>
    <col min="6412" max="6413" width="10.62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625" style="3022" customWidth="1"/>
    <col min="6667" max="6667" width="11.625" style="3022" customWidth="1"/>
    <col min="6668" max="6669" width="10.62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625" style="3022" customWidth="1"/>
    <col min="6923" max="6923" width="11.625" style="3022" customWidth="1"/>
    <col min="6924" max="6925" width="10.62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625" style="3022" customWidth="1"/>
    <col min="7179" max="7179" width="11.625" style="3022" customWidth="1"/>
    <col min="7180" max="7181" width="10.62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625" style="3022" customWidth="1"/>
    <col min="7435" max="7435" width="11.625" style="3022" customWidth="1"/>
    <col min="7436" max="7437" width="10.62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625" style="3022" customWidth="1"/>
    <col min="7691" max="7691" width="11.625" style="3022" customWidth="1"/>
    <col min="7692" max="7693" width="10.62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625" style="3022" customWidth="1"/>
    <col min="7947" max="7947" width="11.625" style="3022" customWidth="1"/>
    <col min="7948" max="7949" width="10.62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625" style="3022" customWidth="1"/>
    <col min="8203" max="8203" width="11.625" style="3022" customWidth="1"/>
    <col min="8204" max="8205" width="10.62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625" style="3022" customWidth="1"/>
    <col min="8459" max="8459" width="11.625" style="3022" customWidth="1"/>
    <col min="8460" max="8461" width="10.62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625" style="3022" customWidth="1"/>
    <col min="8715" max="8715" width="11.625" style="3022" customWidth="1"/>
    <col min="8716" max="8717" width="10.62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625" style="3022" customWidth="1"/>
    <col min="8971" max="8971" width="11.625" style="3022" customWidth="1"/>
    <col min="8972" max="8973" width="10.62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625" style="3022" customWidth="1"/>
    <col min="9227" max="9227" width="11.625" style="3022" customWidth="1"/>
    <col min="9228" max="9229" width="10.62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625" style="3022" customWidth="1"/>
    <col min="9483" max="9483" width="11.625" style="3022" customWidth="1"/>
    <col min="9484" max="9485" width="10.62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625" style="3022" customWidth="1"/>
    <col min="9739" max="9739" width="11.625" style="3022" customWidth="1"/>
    <col min="9740" max="9741" width="10.62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625" style="3022" customWidth="1"/>
    <col min="9995" max="9995" width="11.625" style="3022" customWidth="1"/>
    <col min="9996" max="9997" width="10.62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625" style="3022" customWidth="1"/>
    <col min="10251" max="10251" width="11.625" style="3022" customWidth="1"/>
    <col min="10252" max="10253" width="10.62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625" style="3022" customWidth="1"/>
    <col min="10507" max="10507" width="11.625" style="3022" customWidth="1"/>
    <col min="10508" max="10509" width="10.62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625" style="3022" customWidth="1"/>
    <col min="10763" max="10763" width="11.625" style="3022" customWidth="1"/>
    <col min="10764" max="10765" width="10.62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625" style="3022" customWidth="1"/>
    <col min="11019" max="11019" width="11.625" style="3022" customWidth="1"/>
    <col min="11020" max="11021" width="10.62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625" style="3022" customWidth="1"/>
    <col min="11275" max="11275" width="11.625" style="3022" customWidth="1"/>
    <col min="11276" max="11277" width="10.62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625" style="3022" customWidth="1"/>
    <col min="11531" max="11531" width="11.625" style="3022" customWidth="1"/>
    <col min="11532" max="11533" width="10.62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625" style="3022" customWidth="1"/>
    <col min="11787" max="11787" width="11.625" style="3022" customWidth="1"/>
    <col min="11788" max="11789" width="10.62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625" style="3022" customWidth="1"/>
    <col min="12043" max="12043" width="11.625" style="3022" customWidth="1"/>
    <col min="12044" max="12045" width="10.62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625" style="3022" customWidth="1"/>
    <col min="12299" max="12299" width="11.625" style="3022" customWidth="1"/>
    <col min="12300" max="12301" width="10.62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625" style="3022" customWidth="1"/>
    <col min="12555" max="12555" width="11.625" style="3022" customWidth="1"/>
    <col min="12556" max="12557" width="10.62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625" style="3022" customWidth="1"/>
    <col min="12811" max="12811" width="11.625" style="3022" customWidth="1"/>
    <col min="12812" max="12813" width="10.62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625" style="3022" customWidth="1"/>
    <col min="13067" max="13067" width="11.625" style="3022" customWidth="1"/>
    <col min="13068" max="13069" width="10.62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625" style="3022" customWidth="1"/>
    <col min="13323" max="13323" width="11.625" style="3022" customWidth="1"/>
    <col min="13324" max="13325" width="10.62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625" style="3022" customWidth="1"/>
    <col min="13579" max="13579" width="11.625" style="3022" customWidth="1"/>
    <col min="13580" max="13581" width="10.62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625" style="3022" customWidth="1"/>
    <col min="13835" max="13835" width="11.625" style="3022" customWidth="1"/>
    <col min="13836" max="13837" width="10.62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625" style="3022" customWidth="1"/>
    <col min="14091" max="14091" width="11.625" style="3022" customWidth="1"/>
    <col min="14092" max="14093" width="10.62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625" style="3022" customWidth="1"/>
    <col min="14347" max="14347" width="11.625" style="3022" customWidth="1"/>
    <col min="14348" max="14349" width="10.62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625" style="3022" customWidth="1"/>
    <col min="14603" max="14603" width="11.625" style="3022" customWidth="1"/>
    <col min="14604" max="14605" width="10.62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625" style="3022" customWidth="1"/>
    <col min="14859" max="14859" width="11.625" style="3022" customWidth="1"/>
    <col min="14860" max="14861" width="10.62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625" style="3022" customWidth="1"/>
    <col min="15115" max="15115" width="11.625" style="3022" customWidth="1"/>
    <col min="15116" max="15117" width="10.62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625" style="3022" customWidth="1"/>
    <col min="15371" max="15371" width="11.625" style="3022" customWidth="1"/>
    <col min="15372" max="15373" width="10.62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625" style="3022" customWidth="1"/>
    <col min="15627" max="15627" width="11.625" style="3022" customWidth="1"/>
    <col min="15628" max="15629" width="10.62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625" style="3022" customWidth="1"/>
    <col min="15883" max="15883" width="11.625" style="3022" customWidth="1"/>
    <col min="15884" max="15885" width="10.62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625" style="3022" customWidth="1"/>
    <col min="16139" max="16139" width="11.625" style="3022" customWidth="1"/>
    <col min="16140" max="16141" width="10.62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35" customHeight="1">
      <c r="A2" s="1519" t="s">
        <v>2819</v>
      </c>
      <c r="B2" s="3023" t="e">
        <f>C40</f>
        <v>#DIV/0!</v>
      </c>
      <c r="C2" s="3024" t="s">
        <v>2820</v>
      </c>
      <c r="D2" s="3024"/>
      <c r="E2" s="3025"/>
      <c r="F2" s="3026"/>
      <c r="G2" s="3027"/>
      <c r="H2" s="3028"/>
      <c r="I2" s="3029"/>
      <c r="J2" s="3783" t="s">
        <v>2821</v>
      </c>
      <c r="K2" s="3784"/>
      <c r="L2" s="3030" t="s">
        <v>2822</v>
      </c>
      <c r="M2" s="3030" t="s">
        <v>2823</v>
      </c>
      <c r="N2" s="3030" t="s">
        <v>2824</v>
      </c>
      <c r="O2" s="3030" t="s">
        <v>2825</v>
      </c>
      <c r="P2" s="3030" t="s">
        <v>2826</v>
      </c>
      <c r="Q2" s="3031" t="s">
        <v>2827</v>
      </c>
      <c r="R2" s="3032" t="s">
        <v>2828</v>
      </c>
      <c r="S2" s="3021"/>
      <c r="T2" s="3021"/>
      <c r="U2" s="3021"/>
      <c r="V2" s="3029"/>
    </row>
    <row r="3" spans="1:22" s="3033" customFormat="1" ht="13.35" customHeight="1">
      <c r="A3" s="3034" t="s">
        <v>2829</v>
      </c>
      <c r="B3" s="3035" t="e">
        <f>ROUND(B2*10000/B4,0)</f>
        <v>#DIV/0!</v>
      </c>
      <c r="C3" s="3024" t="s">
        <v>2830</v>
      </c>
      <c r="D3" s="3024"/>
      <c r="E3" s="3025"/>
      <c r="F3" s="3026"/>
      <c r="G3" s="3027"/>
      <c r="H3" s="3028"/>
      <c r="I3" s="3029"/>
      <c r="J3" s="3785" t="s">
        <v>2831</v>
      </c>
      <c r="K3" s="3786"/>
      <c r="L3" s="3036"/>
      <c r="M3" s="3036"/>
      <c r="N3" s="3036"/>
      <c r="O3" s="3036"/>
      <c r="P3" s="3036"/>
      <c r="Q3" s="3037"/>
      <c r="R3" s="3038">
        <f>SUM(L3:Q3)</f>
        <v>0</v>
      </c>
      <c r="S3" s="3021"/>
      <c r="T3" s="3021"/>
      <c r="U3" s="3021"/>
      <c r="V3" s="3029"/>
    </row>
    <row r="4" spans="1:22" s="3033" customFormat="1" ht="13.35" customHeight="1">
      <c r="A4" s="3039" t="s">
        <v>2832</v>
      </c>
      <c r="B4" s="3040"/>
      <c r="C4" s="3024"/>
      <c r="D4" s="3024"/>
      <c r="E4" s="3025"/>
      <c r="F4" s="3026"/>
      <c r="G4" s="3027"/>
      <c r="H4" s="3028"/>
      <c r="I4" s="3029"/>
      <c r="J4" s="3785" t="s">
        <v>2833</v>
      </c>
      <c r="K4" s="3786"/>
      <c r="L4" s="3041"/>
      <c r="M4" s="3041"/>
      <c r="N4" s="3041"/>
      <c r="O4" s="3041"/>
      <c r="P4" s="3041"/>
      <c r="Q4" s="3042"/>
      <c r="R4" s="3043">
        <f>SUM(L4:Q4)</f>
        <v>0</v>
      </c>
      <c r="S4" s="3021"/>
      <c r="T4" s="3021"/>
      <c r="U4" s="3021"/>
      <c r="V4" s="3029"/>
    </row>
    <row r="5" spans="1:22" s="3033" customFormat="1" ht="13.3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35" customHeight="1" thickBot="1">
      <c r="A6" s="3787" t="s">
        <v>2837</v>
      </c>
      <c r="B6" s="3788"/>
      <c r="C6" s="3789"/>
      <c r="D6" s="3050"/>
      <c r="E6" s="3051"/>
      <c r="F6" s="3052"/>
      <c r="G6" s="3053"/>
      <c r="H6" s="3028"/>
      <c r="I6" s="3029"/>
      <c r="J6" s="3790">
        <v>1</v>
      </c>
      <c r="K6" s="3791"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35" customHeight="1">
      <c r="A7" s="3056" t="s">
        <v>2847</v>
      </c>
      <c r="B7" s="3057"/>
      <c r="C7" s="3058"/>
      <c r="D7" s="3059">
        <f>SUM(D9,D10,D11,D17,0)</f>
        <v>0</v>
      </c>
      <c r="E7" s="3060" t="e">
        <f>E9+E10+E11+E17</f>
        <v>#DIV/0!</v>
      </c>
      <c r="F7" s="3061"/>
      <c r="G7" s="3062"/>
      <c r="H7" s="3028"/>
      <c r="I7" s="3029"/>
      <c r="J7" s="3790"/>
      <c r="K7" s="3792"/>
      <c r="L7" s="3063" t="s">
        <v>2848</v>
      </c>
      <c r="M7" s="3064"/>
      <c r="N7" s="3040"/>
      <c r="O7" s="3065"/>
      <c r="P7" s="3065"/>
      <c r="Q7" s="3066">
        <v>365</v>
      </c>
      <c r="R7" s="3067">
        <f>ROUND(M7*N7*O7*P7*Q7/10000,0)</f>
        <v>0</v>
      </c>
      <c r="S7" s="3021"/>
      <c r="T7" s="3021" t="s">
        <v>2849</v>
      </c>
      <c r="U7" s="3021"/>
      <c r="V7" s="3029"/>
    </row>
    <row r="8" spans="1:22" s="3033" customFormat="1" ht="13.35" customHeight="1">
      <c r="A8" s="3068" t="s">
        <v>2850</v>
      </c>
      <c r="B8" s="3794" t="s">
        <v>2851</v>
      </c>
      <c r="C8" s="3795"/>
      <c r="D8" s="3069" t="s">
        <v>2852</v>
      </c>
      <c r="E8" s="3070" t="s">
        <v>2853</v>
      </c>
      <c r="F8" s="3071" t="s">
        <v>2854</v>
      </c>
      <c r="G8" s="3072"/>
      <c r="H8" s="3028"/>
      <c r="I8" s="3029"/>
      <c r="J8" s="3790"/>
      <c r="K8" s="3792"/>
      <c r="L8" s="3063" t="s">
        <v>2855</v>
      </c>
      <c r="M8" s="3064"/>
      <c r="N8" s="3040"/>
      <c r="O8" s="3065"/>
      <c r="P8" s="3065"/>
      <c r="Q8" s="3066">
        <v>365</v>
      </c>
      <c r="R8" s="3067">
        <f t="shared" ref="R8:R13" si="0">ROUND(M8*N8*O8*P8*Q8/10000,0)</f>
        <v>0</v>
      </c>
      <c r="S8" s="3021"/>
      <c r="T8" s="3021" t="s">
        <v>2856</v>
      </c>
      <c r="U8" s="3021"/>
      <c r="V8" s="3029"/>
    </row>
    <row r="9" spans="1:22" s="3033" customFormat="1" ht="13.35" customHeight="1">
      <c r="A9" s="3068">
        <v>1</v>
      </c>
      <c r="B9" s="3794" t="s">
        <v>2857</v>
      </c>
      <c r="C9" s="3795"/>
      <c r="D9" s="3069">
        <f>ROUND(D6*E9,0)</f>
        <v>0</v>
      </c>
      <c r="E9" s="3073"/>
      <c r="F9" s="3074" t="s">
        <v>2858</v>
      </c>
      <c r="G9" s="3053"/>
      <c r="H9" s="3028"/>
      <c r="I9" s="3029"/>
      <c r="J9" s="3790"/>
      <c r="K9" s="3792"/>
      <c r="L9" s="3063" t="s">
        <v>2859</v>
      </c>
      <c r="M9" s="3064"/>
      <c r="N9" s="3040"/>
      <c r="O9" s="3065"/>
      <c r="P9" s="3065"/>
      <c r="Q9" s="3066">
        <v>365</v>
      </c>
      <c r="R9" s="3067">
        <f t="shared" si="0"/>
        <v>0</v>
      </c>
      <c r="S9" s="3021"/>
      <c r="T9" s="3021"/>
      <c r="U9" s="3021"/>
      <c r="V9" s="3029"/>
    </row>
    <row r="10" spans="1:22" s="3033" customFormat="1" ht="13.35" customHeight="1">
      <c r="A10" s="3068">
        <v>2</v>
      </c>
      <c r="B10" s="3794" t="s">
        <v>2860</v>
      </c>
      <c r="C10" s="3795"/>
      <c r="D10" s="3069">
        <f>ROUND(D6*E10,0)</f>
        <v>0</v>
      </c>
      <c r="E10" s="3073"/>
      <c r="F10" s="3074" t="s">
        <v>2861</v>
      </c>
      <c r="G10" s="3053"/>
      <c r="H10" s="3028"/>
      <c r="I10" s="3029"/>
      <c r="J10" s="3790"/>
      <c r="K10" s="3792"/>
      <c r="L10" s="3063" t="s">
        <v>2862</v>
      </c>
      <c r="M10" s="3064"/>
      <c r="N10" s="3040"/>
      <c r="O10" s="3065"/>
      <c r="P10" s="3065"/>
      <c r="Q10" s="3066">
        <v>365</v>
      </c>
      <c r="R10" s="3067">
        <f t="shared" si="0"/>
        <v>0</v>
      </c>
      <c r="S10" s="3021"/>
      <c r="T10" s="3021"/>
      <c r="U10" s="3021"/>
      <c r="V10" s="3029"/>
    </row>
    <row r="11" spans="1:22" s="3033" customFormat="1" ht="13.35" customHeight="1">
      <c r="A11" s="3068">
        <v>3</v>
      </c>
      <c r="B11" s="3794" t="s">
        <v>2863</v>
      </c>
      <c r="C11" s="3795"/>
      <c r="D11" s="3069">
        <f>D12+D14+D15+D16</f>
        <v>0</v>
      </c>
      <c r="E11" s="3075" t="e">
        <f>D11/D6</f>
        <v>#DIV/0!</v>
      </c>
      <c r="F11" s="3071"/>
      <c r="G11" s="3072"/>
      <c r="H11" s="3028"/>
      <c r="I11" s="3029"/>
      <c r="J11" s="3790"/>
      <c r="K11" s="3792"/>
      <c r="L11" s="3063" t="s">
        <v>2864</v>
      </c>
      <c r="M11" s="3064"/>
      <c r="N11" s="3040"/>
      <c r="O11" s="3065"/>
      <c r="P11" s="3065"/>
      <c r="Q11" s="3066">
        <v>365</v>
      </c>
      <c r="R11" s="3067">
        <f t="shared" si="0"/>
        <v>0</v>
      </c>
      <c r="S11" s="3021"/>
      <c r="T11" s="3021"/>
      <c r="U11" s="3021"/>
      <c r="V11" s="3029"/>
    </row>
    <row r="12" spans="1:22" s="3033" customFormat="1" ht="13.35" customHeight="1">
      <c r="A12" s="3076" t="s">
        <v>2865</v>
      </c>
      <c r="B12" s="3796" t="s">
        <v>2866</v>
      </c>
      <c r="C12" s="3797"/>
      <c r="D12" s="3077">
        <f>ROUND(D13*1.2%*(1-30%),0)</f>
        <v>0</v>
      </c>
      <c r="E12" s="3078">
        <v>1.2E-2</v>
      </c>
      <c r="F12" s="3071" t="s">
        <v>2867</v>
      </c>
      <c r="G12" s="3072"/>
      <c r="H12" s="3028"/>
      <c r="I12" s="3029"/>
      <c r="J12" s="3790"/>
      <c r="K12" s="3792"/>
      <c r="L12" s="3063" t="s">
        <v>2868</v>
      </c>
      <c r="M12" s="3064"/>
      <c r="N12" s="3040"/>
      <c r="O12" s="3065"/>
      <c r="P12" s="3065"/>
      <c r="Q12" s="3066">
        <v>365</v>
      </c>
      <c r="R12" s="3067">
        <f t="shared" si="0"/>
        <v>0</v>
      </c>
      <c r="S12" s="3021"/>
      <c r="T12" s="3021"/>
      <c r="U12" s="3021"/>
      <c r="V12" s="3029"/>
    </row>
    <row r="13" spans="1:22" s="3033" customFormat="1" ht="13.35" customHeight="1">
      <c r="A13" s="3076"/>
      <c r="B13" s="3079"/>
      <c r="C13" s="3080" t="s">
        <v>2869</v>
      </c>
      <c r="D13" s="3081"/>
      <c r="E13" s="3082"/>
      <c r="F13" s="3071"/>
      <c r="G13" s="3072"/>
      <c r="H13" s="3028"/>
      <c r="I13" s="3029"/>
      <c r="J13" s="3790"/>
      <c r="K13" s="3792"/>
      <c r="L13" s="3063" t="s">
        <v>2870</v>
      </c>
      <c r="M13" s="3064"/>
      <c r="N13" s="3040"/>
      <c r="O13" s="3065"/>
      <c r="P13" s="3065"/>
      <c r="Q13" s="3066">
        <v>365</v>
      </c>
      <c r="R13" s="3067">
        <f t="shared" si="0"/>
        <v>0</v>
      </c>
      <c r="S13" s="3021"/>
      <c r="T13" s="3021"/>
      <c r="U13" s="3021"/>
      <c r="V13" s="3029"/>
    </row>
    <row r="14" spans="1:22" s="3033" customFormat="1" ht="13.35" customHeight="1">
      <c r="A14" s="3076" t="s">
        <v>2871</v>
      </c>
      <c r="B14" s="3796" t="s">
        <v>2872</v>
      </c>
      <c r="C14" s="3797"/>
      <c r="D14" s="3077">
        <f>ROUND(E14*B5/10000,0)</f>
        <v>0</v>
      </c>
      <c r="E14" s="3066"/>
      <c r="F14" s="3071" t="s">
        <v>2873</v>
      </c>
      <c r="G14" s="3072"/>
      <c r="H14" s="3028"/>
      <c r="I14" s="3029"/>
      <c r="J14" s="3790"/>
      <c r="K14" s="3793"/>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35" customHeight="1">
      <c r="A15" s="3076" t="s">
        <v>2875</v>
      </c>
      <c r="B15" s="3796" t="s">
        <v>2876</v>
      </c>
      <c r="C15" s="3797"/>
      <c r="D15" s="3077">
        <f>ROUND(D6*E15,0)</f>
        <v>0</v>
      </c>
      <c r="E15" s="3078">
        <v>5.5E-2</v>
      </c>
      <c r="F15" s="3071" t="s">
        <v>2877</v>
      </c>
      <c r="G15" s="3053"/>
      <c r="H15" s="3028"/>
      <c r="I15" s="3029"/>
      <c r="J15" s="3790">
        <v>2</v>
      </c>
      <c r="K15" s="3791"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35" customHeight="1">
      <c r="A16" s="3076" t="s">
        <v>2884</v>
      </c>
      <c r="B16" s="3796" t="s">
        <v>2885</v>
      </c>
      <c r="C16" s="3797"/>
      <c r="D16" s="3088">
        <f>D6*E16</f>
        <v>0</v>
      </c>
      <c r="E16" s="3089"/>
      <c r="F16" s="3074" t="s">
        <v>2886</v>
      </c>
      <c r="G16" s="3053"/>
      <c r="H16" s="3028"/>
      <c r="I16" s="3029"/>
      <c r="J16" s="3790"/>
      <c r="K16" s="3792"/>
      <c r="L16" s="3063" t="s">
        <v>2887</v>
      </c>
      <c r="M16" s="3064"/>
      <c r="N16" s="3064"/>
      <c r="O16" s="3065"/>
      <c r="P16" s="3066">
        <v>365</v>
      </c>
      <c r="Q16" s="3040"/>
      <c r="R16" s="3087">
        <f>ROUND(M16*N16*O16*P16/10000,0)</f>
        <v>0</v>
      </c>
      <c r="S16" s="3021"/>
      <c r="T16" s="3021"/>
      <c r="U16" s="3021"/>
      <c r="V16" s="3029"/>
    </row>
    <row r="17" spans="1:22" s="3033" customFormat="1" ht="13.35" customHeight="1" thickBot="1">
      <c r="A17" s="3090">
        <v>4</v>
      </c>
      <c r="B17" s="3798" t="s">
        <v>2888</v>
      </c>
      <c r="C17" s="3799"/>
      <c r="D17" s="3091">
        <f>ROUND(D6*E17,0)</f>
        <v>0</v>
      </c>
      <c r="E17" s="3092"/>
      <c r="F17" s="3093" t="s">
        <v>2889</v>
      </c>
      <c r="G17" s="3053"/>
      <c r="H17" s="3028"/>
      <c r="I17" s="3029"/>
      <c r="J17" s="3790"/>
      <c r="K17" s="3792"/>
      <c r="L17" s="3063" t="s">
        <v>2890</v>
      </c>
      <c r="M17" s="3064"/>
      <c r="N17" s="3064"/>
      <c r="O17" s="3065"/>
      <c r="P17" s="3066">
        <v>365</v>
      </c>
      <c r="Q17" s="3040"/>
      <c r="R17" s="3087">
        <f>ROUND(M17*N17*O17*P17/10000,0)</f>
        <v>0</v>
      </c>
      <c r="S17" s="3021"/>
      <c r="T17" s="3021"/>
      <c r="U17" s="3021"/>
      <c r="V17" s="3029"/>
    </row>
    <row r="18" spans="1:22" s="3033" customFormat="1" ht="13.35" customHeight="1" thickBot="1">
      <c r="A18" s="3056" t="s">
        <v>2891</v>
      </c>
      <c r="B18" s="3057"/>
      <c r="C18" s="3057"/>
      <c r="D18" s="3094">
        <f>ROUND(D6*E18,0)</f>
        <v>0</v>
      </c>
      <c r="E18" s="3095"/>
      <c r="F18" s="3096" t="s">
        <v>2892</v>
      </c>
      <c r="G18" s="3053"/>
      <c r="H18" s="3028"/>
      <c r="I18" s="3029"/>
      <c r="J18" s="3790"/>
      <c r="K18" s="3792"/>
      <c r="L18" s="3063" t="s">
        <v>2893</v>
      </c>
      <c r="M18" s="3064"/>
      <c r="N18" s="3064"/>
      <c r="O18" s="3065"/>
      <c r="P18" s="3066">
        <v>365</v>
      </c>
      <c r="Q18" s="3040"/>
      <c r="R18" s="3087">
        <f>ROUND(M18*N18*O18*P18/10000,0)</f>
        <v>0</v>
      </c>
      <c r="S18" s="3021"/>
      <c r="T18" s="3021"/>
      <c r="U18" s="3021"/>
      <c r="V18" s="3029"/>
    </row>
    <row r="19" spans="1:22" s="3033" customFormat="1" ht="13.35" customHeight="1" thickBot="1">
      <c r="A19" s="3097" t="s">
        <v>2894</v>
      </c>
      <c r="B19" s="3051"/>
      <c r="C19" s="3051"/>
      <c r="D19" s="3051"/>
      <c r="E19" s="3051"/>
      <c r="F19" s="3052"/>
      <c r="G19" s="3072"/>
      <c r="H19" s="3028"/>
      <c r="I19" s="3029"/>
      <c r="J19" s="3790"/>
      <c r="K19" s="3793"/>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35" customHeight="1">
      <c r="A20" s="3056"/>
      <c r="B20" s="3057"/>
      <c r="C20" s="3057"/>
      <c r="D20" s="3057"/>
      <c r="E20" s="3057"/>
      <c r="F20" s="3100"/>
      <c r="G20" s="3072"/>
      <c r="H20" s="3028"/>
      <c r="I20" s="3029"/>
      <c r="J20" s="3790">
        <v>3</v>
      </c>
      <c r="K20" s="3791"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35" customHeight="1">
      <c r="A21" s="3056"/>
      <c r="B21" s="3057"/>
      <c r="C21" s="3103" t="s">
        <v>2903</v>
      </c>
      <c r="D21" s="3104" t="s">
        <v>2904</v>
      </c>
      <c r="E21" s="3105" t="s">
        <v>2905</v>
      </c>
      <c r="F21" s="3100"/>
      <c r="G21" s="3072"/>
      <c r="H21" s="3028"/>
      <c r="I21" s="3029"/>
      <c r="J21" s="3790"/>
      <c r="K21" s="3792"/>
      <c r="L21" s="3063" t="s">
        <v>2906</v>
      </c>
      <c r="M21" s="3064"/>
      <c r="N21" s="3064"/>
      <c r="O21" s="3065"/>
      <c r="P21" s="3066">
        <v>365</v>
      </c>
      <c r="Q21" s="3040"/>
      <c r="R21" s="3106">
        <f>ROUND(M21*N21*O21*P21/10000,0)</f>
        <v>0</v>
      </c>
      <c r="S21" s="3102"/>
      <c r="T21" s="3102"/>
      <c r="U21" s="3102"/>
      <c r="V21" s="3029"/>
    </row>
    <row r="22" spans="1:22" s="3033" customFormat="1" ht="13.35" customHeight="1">
      <c r="A22" s="3056"/>
      <c r="B22" s="3057"/>
      <c r="C22" s="3107" t="s">
        <v>2907</v>
      </c>
      <c r="D22" s="3108" t="s">
        <v>2908</v>
      </c>
      <c r="E22" s="3109" t="s">
        <v>2909</v>
      </c>
      <c r="F22" s="3100"/>
      <c r="G22" s="3110"/>
      <c r="H22" s="3028"/>
      <c r="I22" s="3029"/>
      <c r="J22" s="3790"/>
      <c r="K22" s="3792"/>
      <c r="L22" s="3063" t="s">
        <v>2910</v>
      </c>
      <c r="M22" s="3064"/>
      <c r="N22" s="3064"/>
      <c r="O22" s="3065"/>
      <c r="P22" s="3066">
        <v>365</v>
      </c>
      <c r="Q22" s="3040"/>
      <c r="R22" s="3106">
        <f>ROUND(M22*N22*O22*P22/10000,0)</f>
        <v>0</v>
      </c>
      <c r="S22" s="3102"/>
      <c r="T22" s="3102"/>
      <c r="U22" s="3102"/>
      <c r="V22" s="3029"/>
    </row>
    <row r="23" spans="1:22" s="3033" customFormat="1" ht="13.35" customHeight="1">
      <c r="A23" s="3111">
        <v>1</v>
      </c>
      <c r="B23" s="3112" t="s">
        <v>2911</v>
      </c>
      <c r="C23" s="3113">
        <f>D6</f>
        <v>0</v>
      </c>
      <c r="D23" s="3114">
        <f>C23*(1+D24)</f>
        <v>0</v>
      </c>
      <c r="E23" s="3115">
        <f>D23*(1+E24)</f>
        <v>0</v>
      </c>
      <c r="F23" s="3116"/>
      <c r="G23" s="3117"/>
      <c r="H23" s="3028"/>
      <c r="I23" s="3029"/>
      <c r="J23" s="3790"/>
      <c r="K23" s="3792"/>
      <c r="L23" s="3063" t="s">
        <v>2912</v>
      </c>
      <c r="M23" s="3064"/>
      <c r="N23" s="3064"/>
      <c r="O23" s="3065"/>
      <c r="P23" s="3066">
        <v>365</v>
      </c>
      <c r="Q23" s="3040"/>
      <c r="R23" s="3106">
        <f>ROUND(M23*N23*O23*P23/10000,0)</f>
        <v>0</v>
      </c>
      <c r="S23" s="3021"/>
      <c r="T23" s="3021"/>
      <c r="U23" s="3021"/>
      <c r="V23" s="3029"/>
    </row>
    <row r="24" spans="1:22" s="3033" customFormat="1" ht="13.35" customHeight="1">
      <c r="A24" s="3118"/>
      <c r="B24" s="3119" t="s">
        <v>2913</v>
      </c>
      <c r="C24" s="3120"/>
      <c r="D24" s="3121"/>
      <c r="E24" s="3122"/>
      <c r="F24" s="3123"/>
      <c r="G24" s="3117"/>
      <c r="H24" s="3028"/>
      <c r="I24" s="3029"/>
      <c r="J24" s="3790"/>
      <c r="K24" s="3793"/>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3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35" customHeight="1">
      <c r="A26" s="3111">
        <v>2</v>
      </c>
      <c r="B26" s="3112" t="s">
        <v>2915</v>
      </c>
      <c r="C26" s="3113">
        <f>D7</f>
        <v>0</v>
      </c>
      <c r="D26" s="3114">
        <f>D23*D27</f>
        <v>0</v>
      </c>
      <c r="E26" s="3115">
        <f>E23*E27</f>
        <v>0</v>
      </c>
      <c r="F26" s="3116"/>
      <c r="G26" s="3117"/>
      <c r="H26" s="3028"/>
      <c r="I26" s="3029"/>
      <c r="J26" s="3800">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35" customHeight="1">
      <c r="A27" s="3118"/>
      <c r="B27" s="3119" t="s">
        <v>2921</v>
      </c>
      <c r="C27" s="3137" t="e">
        <f>E7</f>
        <v>#DIV/0!</v>
      </c>
      <c r="D27" s="3121"/>
      <c r="E27" s="3122"/>
      <c r="F27" s="3123"/>
      <c r="G27" s="3117"/>
      <c r="H27" s="3138"/>
      <c r="I27" s="3129"/>
      <c r="J27" s="3801"/>
      <c r="K27" s="3139"/>
      <c r="L27" s="3140"/>
      <c r="M27" s="3141"/>
      <c r="N27" s="3142"/>
      <c r="O27" s="3142"/>
      <c r="P27" s="3142"/>
      <c r="Q27" s="3143"/>
      <c r="R27" s="3099">
        <f>ROUND(O27*N27*P27*(1-Q27)/10000,0)</f>
        <v>0</v>
      </c>
      <c r="S27" s="3021"/>
      <c r="T27" s="3021"/>
      <c r="U27" s="3021"/>
      <c r="V27" s="3029"/>
    </row>
    <row r="28" spans="1:22" s="3130" customFormat="1" ht="13.3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3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3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3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35" customHeight="1">
      <c r="A32" s="3111">
        <v>4</v>
      </c>
      <c r="B32" s="3112" t="s">
        <v>2929</v>
      </c>
      <c r="C32" s="3113">
        <f>C23-C26-C29</f>
        <v>0</v>
      </c>
      <c r="D32" s="3114">
        <f>D23-D26-D29</f>
        <v>0</v>
      </c>
      <c r="E32" s="3115">
        <f>E23-E26-E29</f>
        <v>0</v>
      </c>
      <c r="F32" s="3116"/>
      <c r="G32" s="3110"/>
      <c r="H32" s="3028"/>
      <c r="I32" s="3029"/>
      <c r="J32" s="3783" t="s">
        <v>2821</v>
      </c>
      <c r="K32" s="3784"/>
      <c r="L32" s="3030" t="s">
        <v>2822</v>
      </c>
      <c r="M32" s="3030" t="s">
        <v>2823</v>
      </c>
      <c r="N32" s="3030" t="s">
        <v>2824</v>
      </c>
      <c r="O32" s="3030" t="s">
        <v>2825</v>
      </c>
      <c r="P32" s="3030" t="s">
        <v>2826</v>
      </c>
      <c r="Q32" s="3031" t="s">
        <v>2827</v>
      </c>
      <c r="R32" s="3153" t="s">
        <v>2828</v>
      </c>
      <c r="S32" s="3102"/>
      <c r="T32" s="3021"/>
      <c r="U32" s="3021"/>
      <c r="V32" s="3129"/>
    </row>
    <row r="33" spans="1:23" s="3033" customFormat="1" ht="13.35" customHeight="1">
      <c r="A33" s="3111"/>
      <c r="B33" s="3112"/>
      <c r="C33" s="3113"/>
      <c r="D33" s="3154"/>
      <c r="E33" s="3155"/>
      <c r="F33" s="3116"/>
      <c r="G33" s="3110"/>
      <c r="H33" s="3138"/>
      <c r="I33" s="3129"/>
      <c r="J33" s="3785" t="s">
        <v>2831</v>
      </c>
      <c r="K33" s="3786"/>
      <c r="L33" s="3036"/>
      <c r="M33" s="3036"/>
      <c r="N33" s="3036"/>
      <c r="O33" s="3036"/>
      <c r="P33" s="3036"/>
      <c r="Q33" s="3037"/>
      <c r="R33" s="3156">
        <f>SUM(L33:Q33)</f>
        <v>0</v>
      </c>
      <c r="S33" s="3102"/>
      <c r="T33" s="3021"/>
      <c r="U33" s="3021"/>
      <c r="V33" s="3029"/>
    </row>
    <row r="34" spans="1:23" s="3033" customFormat="1" ht="13.35" customHeight="1">
      <c r="A34" s="3111">
        <v>5</v>
      </c>
      <c r="B34" s="3112" t="s">
        <v>2930</v>
      </c>
      <c r="C34" s="3157"/>
      <c r="D34" s="3158"/>
      <c r="E34" s="3159"/>
      <c r="F34" s="3116"/>
      <c r="G34" s="3110"/>
      <c r="H34" s="3138"/>
      <c r="I34" s="3129"/>
      <c r="J34" s="3785" t="s">
        <v>2833</v>
      </c>
      <c r="K34" s="3786"/>
      <c r="L34" s="3041"/>
      <c r="M34" s="3041"/>
      <c r="N34" s="3041"/>
      <c r="O34" s="3041"/>
      <c r="P34" s="3041"/>
      <c r="Q34" s="3042"/>
      <c r="R34" s="3160">
        <f>SUM(L34:Q34)</f>
        <v>0</v>
      </c>
      <c r="S34" s="3102"/>
      <c r="T34" s="3021"/>
      <c r="U34" s="3021" t="e">
        <f>ROUND(R35*10000/365/R33,1)</f>
        <v>#DIV/0!</v>
      </c>
      <c r="V34" s="3029"/>
    </row>
    <row r="35" spans="1:23" s="3033" customFormat="1" ht="13.3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35" customHeight="1" thickBot="1">
      <c r="A36" s="3111">
        <v>7</v>
      </c>
      <c r="B36" s="3166" t="s">
        <v>2932</v>
      </c>
      <c r="C36" s="3167"/>
      <c r="D36" s="3168"/>
      <c r="E36" s="3169"/>
      <c r="F36" s="3170">
        <f>C36+D36+E36</f>
        <v>0</v>
      </c>
      <c r="G36" s="3110"/>
      <c r="H36" s="3028"/>
      <c r="I36" s="3029"/>
      <c r="J36" s="3790">
        <v>1</v>
      </c>
      <c r="K36" s="3791" t="s">
        <v>2933</v>
      </c>
      <c r="L36" s="3054"/>
      <c r="M36" s="3055"/>
      <c r="N36" s="3055"/>
      <c r="O36" s="3055"/>
      <c r="P36" s="3055"/>
      <c r="Q36" s="3055"/>
      <c r="R36" s="3038" t="s">
        <v>2845</v>
      </c>
      <c r="S36" s="3102"/>
      <c r="T36" s="3021" t="s">
        <v>2846</v>
      </c>
      <c r="U36" s="3021"/>
      <c r="V36" s="3029"/>
    </row>
    <row r="37" spans="1:23" s="3033" customFormat="1" ht="13.35" customHeight="1">
      <c r="A37" s="3111"/>
      <c r="B37" s="3112"/>
      <c r="C37" s="3112"/>
      <c r="D37" s="3112"/>
      <c r="E37" s="3112"/>
      <c r="F37" s="3116"/>
      <c r="G37" s="3110"/>
      <c r="H37" s="3028"/>
      <c r="I37" s="3029"/>
      <c r="J37" s="3790"/>
      <c r="K37" s="3792"/>
      <c r="L37" s="3063"/>
      <c r="M37" s="3064"/>
      <c r="N37" s="3040"/>
      <c r="O37" s="3065"/>
      <c r="P37" s="3065"/>
      <c r="Q37" s="3066"/>
      <c r="R37" s="3067"/>
      <c r="S37" s="3102"/>
      <c r="T37" s="3021" t="s">
        <v>2849</v>
      </c>
      <c r="U37" s="3021"/>
      <c r="V37" s="3029"/>
    </row>
    <row r="38" spans="1:23" s="3033" customFormat="1" ht="13.35" customHeight="1">
      <c r="A38" s="3111">
        <v>8</v>
      </c>
      <c r="B38" s="3112"/>
      <c r="C38" s="3069" t="e">
        <f>ROUND(C32*(1-((1+C35)/(1+C34))^C36)/(C34-C35),0)</f>
        <v>#DIV/0!</v>
      </c>
      <c r="D38" s="3069">
        <f>IF(D23=0,0,ROUND(D32*(1-((1+D35)/(1+D34))^D36)/(D34-D35),0))</f>
        <v>0</v>
      </c>
      <c r="E38" s="3069">
        <f>IF(E23=0,0,ROUND(E32*(1-((1+E35)/(1+E34))^E36)/(E34-E35),0))</f>
        <v>0</v>
      </c>
      <c r="F38" s="3116"/>
      <c r="G38" s="3110"/>
      <c r="H38" s="3028"/>
      <c r="I38" s="3029"/>
      <c r="J38" s="3790"/>
      <c r="K38" s="3792"/>
      <c r="L38" s="3063"/>
      <c r="M38" s="3064"/>
      <c r="N38" s="3040"/>
      <c r="O38" s="3065"/>
      <c r="P38" s="3065"/>
      <c r="Q38" s="3066"/>
      <c r="R38" s="3067"/>
      <c r="S38" s="3102"/>
      <c r="T38" s="3021" t="s">
        <v>2856</v>
      </c>
      <c r="U38" s="3021"/>
      <c r="V38" s="3029"/>
    </row>
    <row r="39" spans="1:23" s="3033" customFormat="1" ht="13.35" customHeight="1">
      <c r="A39" s="3111">
        <v>9</v>
      </c>
      <c r="B39" s="3112" t="s">
        <v>2934</v>
      </c>
      <c r="C39" s="3077" t="e">
        <f>C38</f>
        <v>#DIV/0!</v>
      </c>
      <c r="D39" s="3112">
        <f>D38/(1+D34)^C36</f>
        <v>0</v>
      </c>
      <c r="E39" s="3112">
        <f>E38/(1+E34)^(C36+D36)</f>
        <v>0</v>
      </c>
      <c r="F39" s="3116"/>
      <c r="G39" s="3171"/>
      <c r="H39" s="3028"/>
      <c r="I39" s="3029"/>
      <c r="J39" s="3790"/>
      <c r="K39" s="3792"/>
      <c r="L39" s="3063"/>
      <c r="M39" s="3064"/>
      <c r="N39" s="3040"/>
      <c r="O39" s="3065"/>
      <c r="P39" s="3065"/>
      <c r="Q39" s="3066"/>
      <c r="R39" s="3067"/>
      <c r="S39" s="3102"/>
      <c r="T39" s="3021"/>
      <c r="U39" s="3021"/>
      <c r="V39" s="3029"/>
    </row>
    <row r="40" spans="1:23" s="3033" customFormat="1" ht="13.35" customHeight="1">
      <c r="A40" s="3172">
        <v>10</v>
      </c>
      <c r="B40" s="3112" t="s">
        <v>2935</v>
      </c>
      <c r="C40" s="3173" t="e">
        <f>C39+D39+E39</f>
        <v>#DIV/0!</v>
      </c>
      <c r="D40" s="3174"/>
      <c r="E40" s="3174"/>
      <c r="F40" s="3175"/>
      <c r="G40" s="3110"/>
      <c r="H40" s="3028"/>
      <c r="I40" s="3029"/>
      <c r="J40" s="3790"/>
      <c r="K40" s="3793"/>
      <c r="L40" s="3083" t="s">
        <v>2874</v>
      </c>
      <c r="M40" s="3084"/>
      <c r="N40" s="3084"/>
      <c r="O40" s="3085"/>
      <c r="P40" s="3085"/>
      <c r="Q40" s="3086"/>
      <c r="R40" s="3032">
        <f>SUM(R37:R39)</f>
        <v>0</v>
      </c>
      <c r="S40" s="3102"/>
      <c r="T40" s="3021"/>
      <c r="U40" s="3021"/>
      <c r="V40" s="3029"/>
    </row>
    <row r="41" spans="1:23" s="3033" customFormat="1" ht="13.3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35" customHeight="1">
      <c r="G42" s="3180"/>
      <c r="H42" s="3028"/>
      <c r="I42" s="3029"/>
      <c r="J42" s="3800">
        <v>3</v>
      </c>
      <c r="K42" s="3131" t="s">
        <v>2916</v>
      </c>
      <c r="L42" s="3132"/>
      <c r="M42" s="3133"/>
      <c r="N42" s="3134" t="s">
        <v>2917</v>
      </c>
      <c r="O42" s="3134" t="s">
        <v>2918</v>
      </c>
      <c r="P42" s="3135" t="s">
        <v>2919</v>
      </c>
      <c r="Q42" s="3135" t="s">
        <v>2920</v>
      </c>
      <c r="R42" s="3038" t="s">
        <v>2845</v>
      </c>
      <c r="S42" s="3136"/>
      <c r="T42" s="3136"/>
      <c r="U42" s="3021"/>
      <c r="V42" s="3029"/>
    </row>
    <row r="43" spans="1:23" ht="13.35" customHeight="1">
      <c r="A43" s="3033"/>
      <c r="B43" s="3033"/>
      <c r="C43" s="3033"/>
      <c r="D43" s="3033"/>
      <c r="E43" s="3033"/>
      <c r="F43" s="3033"/>
      <c r="I43" s="3016"/>
      <c r="J43" s="3801"/>
      <c r="K43" s="3139"/>
      <c r="L43" s="3140"/>
      <c r="M43" s="3141"/>
      <c r="N43" s="3064"/>
      <c r="O43" s="3064"/>
      <c r="P43" s="3064"/>
      <c r="Q43" s="3128"/>
      <c r="R43" s="3099">
        <f>ROUND(O43*N43*P43*(1-Q43)/10000,0)</f>
        <v>0</v>
      </c>
      <c r="S43" s="3102"/>
      <c r="T43" s="3021"/>
      <c r="V43" s="3182"/>
      <c r="W43" s="3183"/>
    </row>
    <row r="44" spans="1:23" ht="13.3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5">
    <tabColor rgb="FF92D050"/>
  </sheetPr>
  <dimension ref="A1:V31"/>
  <sheetViews>
    <sheetView view="pageBreakPreview"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346</v>
      </c>
      <c r="C2" s="2008" t="s">
        <v>2099</v>
      </c>
      <c r="D2" s="2009" t="s">
        <v>2100</v>
      </c>
      <c r="E2" s="2782">
        <f>SUM(E6:E13)</f>
        <v>58.81</v>
      </c>
      <c r="F2" s="2885"/>
      <c r="G2" s="1624"/>
      <c r="H2" s="1624"/>
      <c r="I2" s="1624"/>
      <c r="J2" s="1624"/>
      <c r="K2" s="1624"/>
      <c r="L2" s="1624"/>
      <c r="M2" s="1624"/>
      <c r="N2" s="1624"/>
      <c r="O2" s="1624"/>
      <c r="P2" s="1624"/>
      <c r="Q2" s="1624"/>
      <c r="R2" s="1624"/>
      <c r="S2" s="1624"/>
    </row>
    <row r="3" spans="1:22" ht="15.75">
      <c r="A3" s="2006" t="s">
        <v>1119</v>
      </c>
      <c r="B3" s="2776">
        <f ca="1">ROUND(B2*10000/E2,0)</f>
        <v>58834</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802" t="s">
        <v>2102</v>
      </c>
      <c r="C5" s="3803"/>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收益法-商业</v>
      </c>
      <c r="B6" s="2777">
        <f ca="1">IF(F6="是",'数据-取费表'!AO6,0)</f>
        <v>346</v>
      </c>
      <c r="C6" s="2008" t="s">
        <v>2099</v>
      </c>
      <c r="D6" s="2887"/>
      <c r="E6" s="2781">
        <f>IF(OR(A6=0,F6="否"),0,'数据-取费表'!K6+'数据-取费表'!S6)</f>
        <v>58.81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400-000000000000}">
      <formula1>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58.81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753" t="s">
        <v>2116</v>
      </c>
      <c r="D4" s="3754"/>
      <c r="E4" s="3755" t="s">
        <v>2117</v>
      </c>
      <c r="F4" s="3756"/>
      <c r="G4" s="3753" t="s">
        <v>2118</v>
      </c>
      <c r="H4" s="3754"/>
      <c r="I4" s="3753" t="s">
        <v>2119</v>
      </c>
      <c r="J4" s="3754"/>
      <c r="K4" s="2025" t="s">
        <v>2120</v>
      </c>
      <c r="L4" s="2893"/>
      <c r="M4" s="2894"/>
      <c r="N4" s="2894"/>
      <c r="O4" s="2894"/>
      <c r="P4" s="3757" t="s">
        <v>2121</v>
      </c>
      <c r="Q4" s="3758"/>
      <c r="R4" s="3744" t="s">
        <v>2117</v>
      </c>
      <c r="S4" s="3745"/>
      <c r="T4" s="3744" t="s">
        <v>2118</v>
      </c>
      <c r="U4" s="3745"/>
      <c r="V4" s="3741" t="s">
        <v>2119</v>
      </c>
      <c r="W4" s="3741"/>
      <c r="X4" s="1489"/>
      <c r="Y4" s="3744" t="s">
        <v>2121</v>
      </c>
      <c r="Z4" s="3745"/>
      <c r="AA4" s="3738" t="s">
        <v>2117</v>
      </c>
      <c r="AB4" s="3738" t="s">
        <v>2118</v>
      </c>
      <c r="AC4" s="3738" t="s">
        <v>2119</v>
      </c>
    </row>
    <row r="5" spans="1:29" ht="15">
      <c r="A5" s="364"/>
      <c r="B5" s="365"/>
      <c r="C5" s="3806" t="s">
        <v>2122</v>
      </c>
      <c r="D5" s="3749"/>
      <c r="E5" s="3804" t="s">
        <v>2123</v>
      </c>
      <c r="F5" s="3805"/>
      <c r="G5" s="3806" t="s">
        <v>2124</v>
      </c>
      <c r="H5" s="3749"/>
      <c r="I5" s="3806" t="s">
        <v>2125</v>
      </c>
      <c r="J5" s="3749"/>
      <c r="K5" s="2026"/>
      <c r="L5" s="2893"/>
      <c r="M5" s="2894"/>
      <c r="N5" s="2894"/>
      <c r="O5" s="2894"/>
      <c r="P5" s="3759"/>
      <c r="Q5" s="3760"/>
      <c r="R5" s="3746"/>
      <c r="S5" s="3747"/>
      <c r="T5" s="3746"/>
      <c r="U5" s="3747"/>
      <c r="V5" s="3741"/>
      <c r="W5" s="3741"/>
      <c r="X5" s="1489"/>
      <c r="Y5" s="3746"/>
      <c r="Z5" s="3747"/>
      <c r="AA5" s="3739"/>
      <c r="AB5" s="3739"/>
      <c r="AC5" s="3739"/>
    </row>
    <row r="6" spans="1:29" ht="15.75" thickBot="1">
      <c r="A6" s="366"/>
      <c r="B6" s="367"/>
      <c r="C6" s="3807" t="s">
        <v>2126</v>
      </c>
      <c r="D6" s="3751"/>
      <c r="E6" s="3808" t="s">
        <v>2126</v>
      </c>
      <c r="F6" s="3809"/>
      <c r="G6" s="3807" t="s">
        <v>2126</v>
      </c>
      <c r="H6" s="3751"/>
      <c r="I6" s="3807" t="s">
        <v>2126</v>
      </c>
      <c r="J6" s="3751"/>
      <c r="K6" s="2026" t="s">
        <v>2127</v>
      </c>
      <c r="L6" s="2893"/>
      <c r="M6" s="2894"/>
      <c r="N6" s="2894"/>
      <c r="O6" s="2894"/>
      <c r="P6" s="3761"/>
      <c r="Q6" s="3762"/>
      <c r="R6" s="3746"/>
      <c r="S6" s="3747"/>
      <c r="T6" s="3763"/>
      <c r="U6" s="3764"/>
      <c r="V6" s="3741"/>
      <c r="W6" s="3741"/>
      <c r="X6" s="1489"/>
      <c r="Y6" s="3763"/>
      <c r="Z6" s="3764"/>
      <c r="AA6" s="3740"/>
      <c r="AB6" s="3740"/>
      <c r="AC6" s="3740"/>
    </row>
    <row r="7" spans="1:29" s="113" customFormat="1" ht="15.75" thickBot="1">
      <c r="A7" s="368" t="s">
        <v>2128</v>
      </c>
      <c r="B7" s="369"/>
      <c r="C7" s="370">
        <f>'数据-取费表'!B2</f>
        <v>44868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742" t="s">
        <v>2129</v>
      </c>
      <c r="Q7" s="3765"/>
      <c r="R7" s="709" t="s">
        <v>23</v>
      </c>
      <c r="S7" s="710">
        <f t="shared" ref="S7:S15" si="0">F7</f>
        <v>0</v>
      </c>
      <c r="T7" s="709" t="s">
        <v>23</v>
      </c>
      <c r="U7" s="710">
        <f t="shared" ref="U7:U15" si="1">H7</f>
        <v>0</v>
      </c>
      <c r="V7" s="709" t="s">
        <v>23</v>
      </c>
      <c r="W7" s="710">
        <f t="shared" ref="W7:W15" si="2">J7</f>
        <v>0</v>
      </c>
      <c r="X7" s="711"/>
      <c r="Y7" s="3742" t="s">
        <v>2129</v>
      </c>
      <c r="Z7" s="3743"/>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742" t="s">
        <v>2132</v>
      </c>
      <c r="Q8" s="3743"/>
      <c r="R8" s="709" t="s">
        <v>23</v>
      </c>
      <c r="S8" s="710">
        <f t="shared" si="0"/>
        <v>0</v>
      </c>
      <c r="T8" s="709" t="s">
        <v>23</v>
      </c>
      <c r="U8" s="710">
        <f t="shared" si="1"/>
        <v>0</v>
      </c>
      <c r="V8" s="709" t="s">
        <v>23</v>
      </c>
      <c r="W8" s="710">
        <f t="shared" si="2"/>
        <v>0</v>
      </c>
      <c r="X8" s="711"/>
      <c r="Y8" s="3742" t="s">
        <v>2132</v>
      </c>
      <c r="Z8" s="3743"/>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752" t="s">
        <v>2135</v>
      </c>
      <c r="Q9" s="1477" t="str">
        <f t="shared" ref="Q9:Q15" si="6">B9</f>
        <v>用途</v>
      </c>
      <c r="R9" s="709" t="s">
        <v>17</v>
      </c>
      <c r="S9" s="710">
        <f t="shared" si="0"/>
        <v>100</v>
      </c>
      <c r="T9" s="709" t="s">
        <v>17</v>
      </c>
      <c r="U9" s="710">
        <f t="shared" si="1"/>
        <v>100</v>
      </c>
      <c r="V9" s="709" t="s">
        <v>17</v>
      </c>
      <c r="W9" s="710">
        <f t="shared" si="2"/>
        <v>100</v>
      </c>
      <c r="X9" s="711"/>
      <c r="Y9" s="3705"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752"/>
      <c r="Q10" s="1477" t="str">
        <f t="shared" si="6"/>
        <v>土地使用年限（年）</v>
      </c>
      <c r="R10" s="709" t="s">
        <v>17</v>
      </c>
      <c r="S10" s="710">
        <f t="shared" si="0"/>
        <v>100</v>
      </c>
      <c r="T10" s="709" t="s">
        <v>17</v>
      </c>
      <c r="U10" s="710">
        <f t="shared" si="1"/>
        <v>100</v>
      </c>
      <c r="V10" s="709" t="s">
        <v>17</v>
      </c>
      <c r="W10" s="710">
        <f t="shared" si="2"/>
        <v>100</v>
      </c>
      <c r="X10" s="711"/>
      <c r="Y10" s="3705"/>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752"/>
      <c r="Q11" s="1477" t="str">
        <f t="shared" si="6"/>
        <v>容积率</v>
      </c>
      <c r="R11" s="709" t="s">
        <v>21</v>
      </c>
      <c r="S11" s="710" t="e">
        <f t="shared" si="0"/>
        <v>#N/A</v>
      </c>
      <c r="T11" s="709" t="s">
        <v>21</v>
      </c>
      <c r="U11" s="710" t="e">
        <f t="shared" si="1"/>
        <v>#N/A</v>
      </c>
      <c r="V11" s="709" t="s">
        <v>21</v>
      </c>
      <c r="W11" s="710" t="e">
        <f t="shared" si="2"/>
        <v>#N/A</v>
      </c>
      <c r="X11" s="711"/>
      <c r="Y11" s="3705"/>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752"/>
      <c r="Q12" s="1477">
        <f t="shared" si="6"/>
        <v>111</v>
      </c>
      <c r="R12" s="709" t="s">
        <v>21</v>
      </c>
      <c r="S12" s="710">
        <f t="shared" si="0"/>
        <v>100</v>
      </c>
      <c r="T12" s="709" t="s">
        <v>21</v>
      </c>
      <c r="U12" s="710">
        <f t="shared" si="1"/>
        <v>100</v>
      </c>
      <c r="V12" s="709" t="s">
        <v>21</v>
      </c>
      <c r="W12" s="710">
        <f t="shared" si="2"/>
        <v>100</v>
      </c>
      <c r="X12" s="711"/>
      <c r="Y12" s="3705"/>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752"/>
      <c r="Q13" s="1477">
        <f t="shared" si="6"/>
        <v>111</v>
      </c>
      <c r="R13" s="709" t="s">
        <v>21</v>
      </c>
      <c r="S13" s="710">
        <f t="shared" si="0"/>
        <v>100</v>
      </c>
      <c r="T13" s="709" t="s">
        <v>21</v>
      </c>
      <c r="U13" s="710">
        <f t="shared" si="1"/>
        <v>100</v>
      </c>
      <c r="V13" s="709" t="s">
        <v>21</v>
      </c>
      <c r="W13" s="710">
        <f t="shared" si="2"/>
        <v>100</v>
      </c>
      <c r="X13" s="711"/>
      <c r="Y13" s="3705"/>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752"/>
      <c r="Q14" s="1477">
        <f t="shared" si="6"/>
        <v>111</v>
      </c>
      <c r="R14" s="709" t="s">
        <v>21</v>
      </c>
      <c r="S14" s="710">
        <f t="shared" si="0"/>
        <v>100</v>
      </c>
      <c r="T14" s="709" t="s">
        <v>21</v>
      </c>
      <c r="U14" s="710">
        <f t="shared" si="1"/>
        <v>100</v>
      </c>
      <c r="V14" s="709" t="s">
        <v>21</v>
      </c>
      <c r="W14" s="710">
        <f t="shared" si="2"/>
        <v>100</v>
      </c>
      <c r="X14" s="711"/>
      <c r="Y14" s="3705"/>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766" t="s">
        <v>2140</v>
      </c>
      <c r="Q15" s="1486" t="str">
        <f t="shared" si="6"/>
        <v>居住社区成熟度</v>
      </c>
      <c r="R15" s="713" t="s">
        <v>21</v>
      </c>
      <c r="S15" s="714">
        <f t="shared" si="0"/>
        <v>100</v>
      </c>
      <c r="T15" s="713" t="s">
        <v>21</v>
      </c>
      <c r="U15" s="714">
        <f t="shared" si="1"/>
        <v>100</v>
      </c>
      <c r="V15" s="713" t="s">
        <v>21</v>
      </c>
      <c r="W15" s="714">
        <f t="shared" si="2"/>
        <v>100</v>
      </c>
      <c r="X15" s="1489"/>
      <c r="Y15" s="3768"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767"/>
      <c r="Q16" s="1486"/>
      <c r="R16" s="713"/>
      <c r="S16" s="714"/>
      <c r="T16" s="713"/>
      <c r="U16" s="714"/>
      <c r="V16" s="713"/>
      <c r="W16" s="714"/>
      <c r="X16" s="1489"/>
      <c r="Y16" s="3769"/>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767"/>
      <c r="Q17" s="1486" t="str">
        <f>B17</f>
        <v>交通便捷度</v>
      </c>
      <c r="R17" s="713" t="s">
        <v>21</v>
      </c>
      <c r="S17" s="714">
        <f>F17</f>
        <v>100</v>
      </c>
      <c r="T17" s="713" t="s">
        <v>21</v>
      </c>
      <c r="U17" s="714">
        <f>H17</f>
        <v>100</v>
      </c>
      <c r="V17" s="713" t="s">
        <v>21</v>
      </c>
      <c r="W17" s="714">
        <f>J17</f>
        <v>100</v>
      </c>
      <c r="X17" s="1489"/>
      <c r="Y17" s="3769"/>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767"/>
      <c r="Q18" s="1486"/>
      <c r="R18" s="713"/>
      <c r="S18" s="714"/>
      <c r="T18" s="713"/>
      <c r="U18" s="714"/>
      <c r="V18" s="713"/>
      <c r="W18" s="714"/>
      <c r="X18" s="1489"/>
      <c r="Y18" s="3769"/>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767"/>
      <c r="Q19" s="1486" t="str">
        <f>B19</f>
        <v>公共配套设施</v>
      </c>
      <c r="R19" s="713" t="s">
        <v>21</v>
      </c>
      <c r="S19" s="714">
        <f>F19</f>
        <v>100</v>
      </c>
      <c r="T19" s="713" t="s">
        <v>21</v>
      </c>
      <c r="U19" s="714">
        <f>H19</f>
        <v>100</v>
      </c>
      <c r="V19" s="713" t="s">
        <v>21</v>
      </c>
      <c r="W19" s="714">
        <f>J19</f>
        <v>100</v>
      </c>
      <c r="X19" s="1489"/>
      <c r="Y19" s="3769"/>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767"/>
      <c r="Q20" s="1486"/>
      <c r="R20" s="713"/>
      <c r="S20" s="714"/>
      <c r="T20" s="713"/>
      <c r="U20" s="714"/>
      <c r="V20" s="713"/>
      <c r="W20" s="714"/>
      <c r="X20" s="1489"/>
      <c r="Y20" s="3769"/>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767"/>
      <c r="Q21" s="1486" t="str">
        <f>B21</f>
        <v>基础设施水平</v>
      </c>
      <c r="R21" s="713" t="s">
        <v>17</v>
      </c>
      <c r="S21" s="714">
        <f>F21</f>
        <v>100</v>
      </c>
      <c r="T21" s="713" t="s">
        <v>17</v>
      </c>
      <c r="U21" s="714">
        <f>H21</f>
        <v>100</v>
      </c>
      <c r="V21" s="713" t="s">
        <v>17</v>
      </c>
      <c r="W21" s="714">
        <f>J21</f>
        <v>100</v>
      </c>
      <c r="X21" s="1489"/>
      <c r="Y21" s="3769"/>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767"/>
      <c r="Q22" s="1486"/>
      <c r="R22" s="713"/>
      <c r="S22" s="714"/>
      <c r="T22" s="713"/>
      <c r="U22" s="714"/>
      <c r="V22" s="713"/>
      <c r="W22" s="714"/>
      <c r="X22" s="1489"/>
      <c r="Y22" s="3769"/>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767"/>
      <c r="Q23" s="1486" t="str">
        <f>B23</f>
        <v>自然及人文环境</v>
      </c>
      <c r="R23" s="713" t="s">
        <v>21</v>
      </c>
      <c r="S23" s="714">
        <f>F23</f>
        <v>100</v>
      </c>
      <c r="T23" s="713" t="s">
        <v>21</v>
      </c>
      <c r="U23" s="714">
        <f>H23</f>
        <v>100</v>
      </c>
      <c r="V23" s="713" t="s">
        <v>21</v>
      </c>
      <c r="W23" s="714">
        <f>J23</f>
        <v>100</v>
      </c>
      <c r="X23" s="1489"/>
      <c r="Y23" s="3769"/>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767"/>
      <c r="Q24" s="1486"/>
      <c r="R24" s="713"/>
      <c r="S24" s="714"/>
      <c r="T24" s="713"/>
      <c r="U24" s="714"/>
      <c r="V24" s="713"/>
      <c r="W24" s="714"/>
      <c r="X24" s="1489"/>
      <c r="Y24" s="3769"/>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76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769"/>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767"/>
      <c r="Q26" s="1486" t="str">
        <f t="shared" si="11"/>
        <v>朝向</v>
      </c>
      <c r="R26" s="713" t="s">
        <v>21</v>
      </c>
      <c r="S26" s="714">
        <f t="shared" si="12"/>
        <v>100</v>
      </c>
      <c r="T26" s="713" t="s">
        <v>21</v>
      </c>
      <c r="U26" s="714">
        <f t="shared" si="13"/>
        <v>100</v>
      </c>
      <c r="V26" s="713" t="s">
        <v>21</v>
      </c>
      <c r="W26" s="714">
        <f t="shared" si="14"/>
        <v>100</v>
      </c>
      <c r="X26" s="1489"/>
      <c r="Y26" s="3769"/>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767"/>
      <c r="Q27" s="1477">
        <f t="shared" si="11"/>
        <v>111</v>
      </c>
      <c r="R27" s="709" t="s">
        <v>21</v>
      </c>
      <c r="S27" s="710">
        <f t="shared" si="12"/>
        <v>100</v>
      </c>
      <c r="T27" s="709" t="s">
        <v>21</v>
      </c>
      <c r="U27" s="710">
        <f t="shared" si="13"/>
        <v>100</v>
      </c>
      <c r="V27" s="709" t="s">
        <v>21</v>
      </c>
      <c r="W27" s="710">
        <f t="shared" si="14"/>
        <v>100</v>
      </c>
      <c r="X27" s="711"/>
      <c r="Y27" s="3769"/>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767"/>
      <c r="Q28" s="1486">
        <f t="shared" si="11"/>
        <v>111</v>
      </c>
      <c r="R28" s="713" t="s">
        <v>21</v>
      </c>
      <c r="S28" s="714">
        <f t="shared" si="12"/>
        <v>100</v>
      </c>
      <c r="T28" s="713" t="s">
        <v>21</v>
      </c>
      <c r="U28" s="714">
        <f t="shared" si="13"/>
        <v>100</v>
      </c>
      <c r="V28" s="713" t="s">
        <v>21</v>
      </c>
      <c r="W28" s="714">
        <f t="shared" si="14"/>
        <v>100</v>
      </c>
      <c r="X28" s="1489"/>
      <c r="Y28" s="3769"/>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767"/>
      <c r="Q29" s="1486">
        <f t="shared" si="11"/>
        <v>111</v>
      </c>
      <c r="R29" s="713" t="s">
        <v>21</v>
      </c>
      <c r="S29" s="714">
        <f t="shared" si="12"/>
        <v>100</v>
      </c>
      <c r="T29" s="713" t="s">
        <v>21</v>
      </c>
      <c r="U29" s="714">
        <f t="shared" si="13"/>
        <v>100</v>
      </c>
      <c r="V29" s="713" t="s">
        <v>21</v>
      </c>
      <c r="W29" s="714">
        <f t="shared" si="14"/>
        <v>100</v>
      </c>
      <c r="X29" s="1489"/>
      <c r="Y29" s="3769"/>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767"/>
      <c r="Q30" s="1486">
        <f t="shared" si="11"/>
        <v>111</v>
      </c>
      <c r="R30" s="713" t="s">
        <v>21</v>
      </c>
      <c r="S30" s="714">
        <f t="shared" si="12"/>
        <v>100</v>
      </c>
      <c r="T30" s="713" t="s">
        <v>21</v>
      </c>
      <c r="U30" s="714">
        <f t="shared" si="13"/>
        <v>100</v>
      </c>
      <c r="V30" s="713" t="s">
        <v>21</v>
      </c>
      <c r="W30" s="714">
        <f t="shared" si="14"/>
        <v>100</v>
      </c>
      <c r="X30" s="1489"/>
      <c r="Y30" s="3769"/>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767"/>
      <c r="Q31" s="1486">
        <f t="shared" si="11"/>
        <v>111</v>
      </c>
      <c r="R31" s="713" t="s">
        <v>21</v>
      </c>
      <c r="S31" s="714">
        <f t="shared" si="12"/>
        <v>100</v>
      </c>
      <c r="T31" s="713" t="s">
        <v>21</v>
      </c>
      <c r="U31" s="714">
        <f t="shared" si="13"/>
        <v>100</v>
      </c>
      <c r="V31" s="713" t="s">
        <v>21</v>
      </c>
      <c r="W31" s="714">
        <f t="shared" si="14"/>
        <v>100</v>
      </c>
      <c r="X31" s="1489"/>
      <c r="Y31" s="3769"/>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770" t="s">
        <v>2145</v>
      </c>
      <c r="Q32" s="1486" t="str">
        <f t="shared" si="11"/>
        <v>建筑类型</v>
      </c>
      <c r="R32" s="713" t="s">
        <v>21</v>
      </c>
      <c r="S32" s="714">
        <f t="shared" si="12"/>
        <v>100</v>
      </c>
      <c r="T32" s="713" t="s">
        <v>21</v>
      </c>
      <c r="U32" s="714">
        <f t="shared" si="13"/>
        <v>100</v>
      </c>
      <c r="V32" s="713" t="s">
        <v>21</v>
      </c>
      <c r="W32" s="714">
        <f t="shared" si="14"/>
        <v>100</v>
      </c>
      <c r="X32" s="1489"/>
      <c r="Y32" s="3773"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771"/>
      <c r="Q33" s="715" t="str">
        <f t="shared" si="11"/>
        <v>项目建筑规模</v>
      </c>
      <c r="R33" s="716" t="s">
        <v>21</v>
      </c>
      <c r="S33" s="717" t="e">
        <f t="shared" si="12"/>
        <v>#N/A</v>
      </c>
      <c r="T33" s="716" t="s">
        <v>21</v>
      </c>
      <c r="U33" s="717" t="e">
        <f t="shared" si="13"/>
        <v>#N/A</v>
      </c>
      <c r="V33" s="716" t="s">
        <v>21</v>
      </c>
      <c r="W33" s="717" t="e">
        <f t="shared" si="14"/>
        <v>#N/A</v>
      </c>
      <c r="X33" s="718"/>
      <c r="Y33" s="3773"/>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771"/>
      <c r="Q34" s="1486" t="str">
        <f t="shared" si="11"/>
        <v>建筑结构</v>
      </c>
      <c r="R34" s="713" t="s">
        <v>21</v>
      </c>
      <c r="S34" s="714">
        <f t="shared" si="12"/>
        <v>100</v>
      </c>
      <c r="T34" s="713" t="s">
        <v>21</v>
      </c>
      <c r="U34" s="714">
        <f t="shared" si="13"/>
        <v>100</v>
      </c>
      <c r="V34" s="713" t="s">
        <v>21</v>
      </c>
      <c r="W34" s="714">
        <f t="shared" si="14"/>
        <v>100</v>
      </c>
      <c r="X34" s="1489"/>
      <c r="Y34" s="3773"/>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771"/>
      <c r="Q35" s="1486" t="str">
        <f t="shared" si="11"/>
        <v>建筑品质</v>
      </c>
      <c r="R35" s="713" t="s">
        <v>21</v>
      </c>
      <c r="S35" s="714">
        <f t="shared" si="12"/>
        <v>100</v>
      </c>
      <c r="T35" s="713" t="s">
        <v>21</v>
      </c>
      <c r="U35" s="714">
        <f t="shared" si="13"/>
        <v>100</v>
      </c>
      <c r="V35" s="713" t="s">
        <v>21</v>
      </c>
      <c r="W35" s="714">
        <f t="shared" si="14"/>
        <v>100</v>
      </c>
      <c r="X35" s="1489"/>
      <c r="Y35" s="3773"/>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771"/>
      <c r="Q36" s="1486" t="str">
        <f t="shared" si="11"/>
        <v>公共部分装修</v>
      </c>
      <c r="R36" s="713" t="s">
        <v>21</v>
      </c>
      <c r="S36" s="714">
        <f t="shared" si="12"/>
        <v>100</v>
      </c>
      <c r="T36" s="713" t="s">
        <v>21</v>
      </c>
      <c r="U36" s="714">
        <f t="shared" si="13"/>
        <v>100</v>
      </c>
      <c r="V36" s="713" t="s">
        <v>21</v>
      </c>
      <c r="W36" s="714">
        <f t="shared" si="14"/>
        <v>100</v>
      </c>
      <c r="X36" s="1489"/>
      <c r="Y36" s="3773"/>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771"/>
      <c r="Q37" s="1477" t="str">
        <f t="shared" si="11"/>
        <v>成新度</v>
      </c>
      <c r="R37" s="709" t="s">
        <v>21</v>
      </c>
      <c r="S37" s="710" t="e">
        <f t="shared" si="12"/>
        <v>#N/A</v>
      </c>
      <c r="T37" s="709" t="s">
        <v>21</v>
      </c>
      <c r="U37" s="710" t="e">
        <f t="shared" si="13"/>
        <v>#N/A</v>
      </c>
      <c r="V37" s="709" t="s">
        <v>21</v>
      </c>
      <c r="W37" s="710" t="e">
        <f t="shared" si="14"/>
        <v>#N/A</v>
      </c>
      <c r="X37" s="711"/>
      <c r="Y37" s="3773"/>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771" t="s">
        <v>2145</v>
      </c>
      <c r="Q38" s="1486" t="str">
        <f t="shared" si="11"/>
        <v>物业管理</v>
      </c>
      <c r="R38" s="713" t="s">
        <v>21</v>
      </c>
      <c r="S38" s="714">
        <f t="shared" si="12"/>
        <v>100</v>
      </c>
      <c r="T38" s="713" t="s">
        <v>21</v>
      </c>
      <c r="U38" s="714">
        <f t="shared" si="13"/>
        <v>100</v>
      </c>
      <c r="V38" s="713" t="s">
        <v>21</v>
      </c>
      <c r="W38" s="714">
        <f t="shared" si="14"/>
        <v>100</v>
      </c>
      <c r="X38" s="1489"/>
      <c r="Y38" s="3773"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771"/>
      <c r="Q39" s="1486" t="str">
        <f t="shared" si="11"/>
        <v>市政基础设施</v>
      </c>
      <c r="R39" s="713" t="s">
        <v>21</v>
      </c>
      <c r="S39" s="714">
        <f t="shared" si="12"/>
        <v>100</v>
      </c>
      <c r="T39" s="713" t="s">
        <v>21</v>
      </c>
      <c r="U39" s="714">
        <f t="shared" si="13"/>
        <v>100</v>
      </c>
      <c r="V39" s="713" t="s">
        <v>21</v>
      </c>
      <c r="W39" s="714">
        <f t="shared" si="14"/>
        <v>100</v>
      </c>
      <c r="X39" s="1489"/>
      <c r="Y39" s="3773"/>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771"/>
      <c r="Q40" s="1486" t="str">
        <f t="shared" si="11"/>
        <v>房型</v>
      </c>
      <c r="R40" s="713" t="s">
        <v>21</v>
      </c>
      <c r="S40" s="714">
        <f t="shared" si="12"/>
        <v>100</v>
      </c>
      <c r="T40" s="713" t="s">
        <v>21</v>
      </c>
      <c r="U40" s="714">
        <f t="shared" si="13"/>
        <v>100</v>
      </c>
      <c r="V40" s="713" t="s">
        <v>21</v>
      </c>
      <c r="W40" s="714">
        <f t="shared" si="14"/>
        <v>100</v>
      </c>
      <c r="X40" s="1489"/>
      <c r="Y40" s="3773"/>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771"/>
      <c r="Q41" s="715" t="str">
        <f t="shared" si="11"/>
        <v>单套/主力户型建筑面积</v>
      </c>
      <c r="R41" s="716" t="s">
        <v>21</v>
      </c>
      <c r="S41" s="717">
        <f t="shared" si="12"/>
        <v>100</v>
      </c>
      <c r="T41" s="716" t="s">
        <v>21</v>
      </c>
      <c r="U41" s="717">
        <f t="shared" si="13"/>
        <v>100</v>
      </c>
      <c r="V41" s="716" t="s">
        <v>21</v>
      </c>
      <c r="W41" s="717">
        <f t="shared" si="14"/>
        <v>100</v>
      </c>
      <c r="X41" s="718"/>
      <c r="Y41" s="3773"/>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771"/>
      <c r="Q42" s="1486" t="str">
        <f t="shared" si="11"/>
        <v>内部装修</v>
      </c>
      <c r="R42" s="713" t="s">
        <v>21</v>
      </c>
      <c r="S42" s="714">
        <f t="shared" si="12"/>
        <v>100</v>
      </c>
      <c r="T42" s="713" t="s">
        <v>21</v>
      </c>
      <c r="U42" s="714">
        <f t="shared" si="13"/>
        <v>100</v>
      </c>
      <c r="V42" s="713" t="s">
        <v>21</v>
      </c>
      <c r="W42" s="714">
        <f t="shared" si="14"/>
        <v>100</v>
      </c>
      <c r="X42" s="1489"/>
      <c r="Y42" s="3773"/>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771"/>
      <c r="Q43" s="1486" t="str">
        <f t="shared" si="11"/>
        <v>内部装修维护情况</v>
      </c>
      <c r="R43" s="713" t="s">
        <v>21</v>
      </c>
      <c r="S43" s="714">
        <f t="shared" si="12"/>
        <v>100</v>
      </c>
      <c r="T43" s="713" t="s">
        <v>21</v>
      </c>
      <c r="U43" s="714">
        <f t="shared" si="13"/>
        <v>100</v>
      </c>
      <c r="V43" s="713" t="s">
        <v>21</v>
      </c>
      <c r="W43" s="714">
        <f t="shared" si="14"/>
        <v>100</v>
      </c>
      <c r="X43" s="1489"/>
      <c r="Y43" s="3773"/>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771"/>
      <c r="Q44" s="1477">
        <f t="shared" si="11"/>
        <v>111</v>
      </c>
      <c r="R44" s="709" t="s">
        <v>21</v>
      </c>
      <c r="S44" s="710">
        <f t="shared" si="12"/>
        <v>100</v>
      </c>
      <c r="T44" s="709" t="s">
        <v>21</v>
      </c>
      <c r="U44" s="710">
        <f t="shared" si="13"/>
        <v>100</v>
      </c>
      <c r="V44" s="709" t="s">
        <v>21</v>
      </c>
      <c r="W44" s="710">
        <f t="shared" si="14"/>
        <v>100</v>
      </c>
      <c r="X44" s="711"/>
      <c r="Y44" s="3773"/>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771"/>
      <c r="Q45" s="1486">
        <f t="shared" si="11"/>
        <v>111</v>
      </c>
      <c r="R45" s="713" t="s">
        <v>21</v>
      </c>
      <c r="S45" s="714">
        <f t="shared" si="12"/>
        <v>100</v>
      </c>
      <c r="T45" s="713" t="s">
        <v>21</v>
      </c>
      <c r="U45" s="714">
        <f t="shared" si="13"/>
        <v>100</v>
      </c>
      <c r="V45" s="713" t="s">
        <v>21</v>
      </c>
      <c r="W45" s="714">
        <f t="shared" si="14"/>
        <v>100</v>
      </c>
      <c r="X45" s="1489"/>
      <c r="Y45" s="3773"/>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772"/>
      <c r="Q46" s="1486">
        <f t="shared" si="11"/>
        <v>111</v>
      </c>
      <c r="R46" s="713" t="s">
        <v>20</v>
      </c>
      <c r="S46" s="714">
        <f t="shared" si="12"/>
        <v>100</v>
      </c>
      <c r="T46" s="713" t="s">
        <v>20</v>
      </c>
      <c r="U46" s="714">
        <f t="shared" si="13"/>
        <v>100</v>
      </c>
      <c r="V46" s="713" t="s">
        <v>20</v>
      </c>
      <c r="W46" s="714">
        <f t="shared" si="14"/>
        <v>100</v>
      </c>
      <c r="X46" s="1489"/>
      <c r="Y46" s="3774"/>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775" t="str">
        <f>A47</f>
        <v>成交单价（元/平方米）</v>
      </c>
      <c r="Q47" s="3775"/>
      <c r="R47" s="3776">
        <f>E47</f>
        <v>0</v>
      </c>
      <c r="S47" s="3776"/>
      <c r="T47" s="3776">
        <f>G47</f>
        <v>0</v>
      </c>
      <c r="U47" s="3776"/>
      <c r="V47" s="3776">
        <f>I47</f>
        <v>0</v>
      </c>
      <c r="W47" s="3776"/>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777" t="str">
        <f>A49</f>
        <v>估价对象XX用房的比较价值（楼面单价，元/平方米）</v>
      </c>
      <c r="Q49" s="3778"/>
      <c r="R49" s="3779" t="e">
        <f>IF(F1="售价",ROUND(IF(D48="简单平均",AVERAGE(R48:V48),R48*F48+T48*H48+V48*J48),0),ROUND(IF(D48="简单平均",AVERAGE(R48:V48),R48*F48+T48*H48+V48*J48),1))</f>
        <v>#DIV/0!</v>
      </c>
      <c r="S49" s="3779"/>
      <c r="T49" s="3779"/>
      <c r="U49" s="3779"/>
      <c r="V49" s="3779"/>
      <c r="W49" s="377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E20 I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1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93" t="s">
        <v>2265</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58.81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753" t="s">
        <v>2226</v>
      </c>
      <c r="D4" s="3754"/>
      <c r="E4" s="3755" t="s">
        <v>2227</v>
      </c>
      <c r="F4" s="3756"/>
      <c r="G4" s="3753" t="s">
        <v>2228</v>
      </c>
      <c r="H4" s="3754"/>
      <c r="I4" s="3753" t="s">
        <v>2229</v>
      </c>
      <c r="J4" s="3754"/>
      <c r="K4" s="567" t="s">
        <v>2230</v>
      </c>
      <c r="L4" s="2893"/>
      <c r="M4" s="2894"/>
      <c r="N4" s="2894"/>
      <c r="O4" s="2894"/>
      <c r="P4" s="3816" t="s">
        <v>2231</v>
      </c>
      <c r="Q4" s="3817"/>
      <c r="R4" s="3811" t="s">
        <v>2227</v>
      </c>
      <c r="S4" s="3812"/>
      <c r="T4" s="3811" t="s">
        <v>2228</v>
      </c>
      <c r="U4" s="3812"/>
      <c r="V4" s="3820" t="s">
        <v>2229</v>
      </c>
      <c r="W4" s="3820"/>
      <c r="X4" s="2094"/>
      <c r="Y4" s="3811" t="s">
        <v>2231</v>
      </c>
      <c r="Z4" s="3812"/>
      <c r="AA4" s="3810" t="s">
        <v>2227</v>
      </c>
      <c r="AB4" s="3810" t="s">
        <v>2228</v>
      </c>
      <c r="AC4" s="3813" t="s">
        <v>2229</v>
      </c>
    </row>
    <row r="5" spans="1:29" ht="15">
      <c r="A5" s="364"/>
      <c r="B5" s="365"/>
      <c r="C5" s="3806" t="s">
        <v>2122</v>
      </c>
      <c r="D5" s="3749"/>
      <c r="E5" s="3804" t="s">
        <v>2123</v>
      </c>
      <c r="F5" s="3805"/>
      <c r="G5" s="3806" t="s">
        <v>2124</v>
      </c>
      <c r="H5" s="3749"/>
      <c r="I5" s="3806" t="s">
        <v>2125</v>
      </c>
      <c r="J5" s="3749"/>
      <c r="K5" s="567"/>
      <c r="L5" s="2893"/>
      <c r="M5" s="2894"/>
      <c r="N5" s="2894"/>
      <c r="O5" s="2894"/>
      <c r="P5" s="3818"/>
      <c r="Q5" s="3760"/>
      <c r="R5" s="3746"/>
      <c r="S5" s="3747"/>
      <c r="T5" s="3746"/>
      <c r="U5" s="3747"/>
      <c r="V5" s="3741"/>
      <c r="W5" s="3741"/>
      <c r="X5" s="1489"/>
      <c r="Y5" s="3746"/>
      <c r="Z5" s="3747"/>
      <c r="AA5" s="3739"/>
      <c r="AB5" s="3739"/>
      <c r="AC5" s="3814"/>
    </row>
    <row r="6" spans="1:29" ht="15.75" thickBot="1">
      <c r="A6" s="366"/>
      <c r="B6" s="367"/>
      <c r="C6" s="3807" t="s">
        <v>2126</v>
      </c>
      <c r="D6" s="3751"/>
      <c r="E6" s="3808" t="s">
        <v>2126</v>
      </c>
      <c r="F6" s="3809"/>
      <c r="G6" s="3807" t="s">
        <v>2126</v>
      </c>
      <c r="H6" s="3751"/>
      <c r="I6" s="3807" t="s">
        <v>2126</v>
      </c>
      <c r="J6" s="3751"/>
      <c r="K6" s="567" t="s">
        <v>2127</v>
      </c>
      <c r="L6" s="2893"/>
      <c r="M6" s="2894"/>
      <c r="N6" s="2894"/>
      <c r="O6" s="2894"/>
      <c r="P6" s="3819"/>
      <c r="Q6" s="3762"/>
      <c r="R6" s="3746"/>
      <c r="S6" s="3747"/>
      <c r="T6" s="3763"/>
      <c r="U6" s="3764"/>
      <c r="V6" s="3741"/>
      <c r="W6" s="3741"/>
      <c r="X6" s="1489"/>
      <c r="Y6" s="3763"/>
      <c r="Z6" s="3764"/>
      <c r="AA6" s="3740"/>
      <c r="AB6" s="3740"/>
      <c r="AC6" s="3815"/>
    </row>
    <row r="7" spans="1:29" s="113" customFormat="1" ht="15.75" thickBot="1">
      <c r="A7" s="368" t="s">
        <v>2128</v>
      </c>
      <c r="B7" s="369"/>
      <c r="C7" s="370">
        <f>'数据-取费表'!B2</f>
        <v>44868</v>
      </c>
      <c r="D7" s="371">
        <v>100</v>
      </c>
      <c r="E7" s="372"/>
      <c r="F7" s="373">
        <f>SUMIF(59:59,YEAR(E7)&amp;"-"&amp;MONTH(E7),60:60)</f>
        <v>0</v>
      </c>
      <c r="G7" s="372"/>
      <c r="H7" s="371">
        <f>SUMIF(59:59,YEAR(G7)&amp;"-"&amp;MONTH(G7),60:60)</f>
        <v>0</v>
      </c>
      <c r="I7" s="372"/>
      <c r="J7" s="371">
        <f>SUMIF(59:59,YEAR(I7)&amp;"-"&amp;MONTH(I7),60:60)</f>
        <v>0</v>
      </c>
      <c r="K7" s="568"/>
      <c r="L7" s="2895"/>
      <c r="M7" s="2896"/>
      <c r="N7" s="2896"/>
      <c r="O7" s="2896"/>
      <c r="P7" s="3821" t="s">
        <v>2129</v>
      </c>
      <c r="Q7" s="3765"/>
      <c r="R7" s="709" t="s">
        <v>17</v>
      </c>
      <c r="S7" s="710">
        <f t="shared" ref="S7:S15" si="0">F7</f>
        <v>0</v>
      </c>
      <c r="T7" s="709" t="s">
        <v>17</v>
      </c>
      <c r="U7" s="710">
        <f t="shared" ref="U7:U15" si="1">H7</f>
        <v>0</v>
      </c>
      <c r="V7" s="709" t="s">
        <v>17</v>
      </c>
      <c r="W7" s="710">
        <f t="shared" ref="W7:W15" si="2">J7</f>
        <v>0</v>
      </c>
      <c r="X7" s="711"/>
      <c r="Y7" s="3742" t="s">
        <v>2129</v>
      </c>
      <c r="Z7" s="3743"/>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821" t="s">
        <v>2132</v>
      </c>
      <c r="Q8" s="3743"/>
      <c r="R8" s="709" t="s">
        <v>17</v>
      </c>
      <c r="S8" s="710">
        <f t="shared" si="0"/>
        <v>0</v>
      </c>
      <c r="T8" s="709" t="s">
        <v>17</v>
      </c>
      <c r="U8" s="710">
        <f t="shared" si="1"/>
        <v>0</v>
      </c>
      <c r="V8" s="709" t="s">
        <v>17</v>
      </c>
      <c r="W8" s="710">
        <f t="shared" si="2"/>
        <v>0</v>
      </c>
      <c r="X8" s="711"/>
      <c r="Y8" s="3742" t="s">
        <v>2132</v>
      </c>
      <c r="Z8" s="3743"/>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752" t="s">
        <v>2135</v>
      </c>
      <c r="Q9" s="1477" t="str">
        <f t="shared" ref="Q9:Q15" si="6">B9</f>
        <v>用途</v>
      </c>
      <c r="R9" s="709" t="s">
        <v>17</v>
      </c>
      <c r="S9" s="710">
        <f t="shared" si="0"/>
        <v>100</v>
      </c>
      <c r="T9" s="709" t="s">
        <v>17</v>
      </c>
      <c r="U9" s="710">
        <f t="shared" si="1"/>
        <v>100</v>
      </c>
      <c r="V9" s="709" t="s">
        <v>17</v>
      </c>
      <c r="W9" s="710">
        <f t="shared" si="2"/>
        <v>100</v>
      </c>
      <c r="X9" s="711"/>
      <c r="Y9" s="3705"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752"/>
      <c r="Q10" s="1477" t="str">
        <f t="shared" si="6"/>
        <v>土地使用年限（年）</v>
      </c>
      <c r="R10" s="709" t="s">
        <v>17</v>
      </c>
      <c r="S10" s="710">
        <f t="shared" si="0"/>
        <v>100</v>
      </c>
      <c r="T10" s="709" t="s">
        <v>17</v>
      </c>
      <c r="U10" s="710">
        <f t="shared" si="1"/>
        <v>100</v>
      </c>
      <c r="V10" s="709" t="s">
        <v>17</v>
      </c>
      <c r="W10" s="710">
        <f t="shared" si="2"/>
        <v>100</v>
      </c>
      <c r="X10" s="711"/>
      <c r="Y10" s="3705"/>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752"/>
      <c r="Q11" s="1477" t="str">
        <f t="shared" si="6"/>
        <v>容积率</v>
      </c>
      <c r="R11" s="709" t="s">
        <v>17</v>
      </c>
      <c r="S11" s="710" t="e">
        <f t="shared" si="0"/>
        <v>#N/A</v>
      </c>
      <c r="T11" s="709" t="s">
        <v>17</v>
      </c>
      <c r="U11" s="710" t="e">
        <f t="shared" si="1"/>
        <v>#N/A</v>
      </c>
      <c r="V11" s="709" t="s">
        <v>17</v>
      </c>
      <c r="W11" s="710" t="e">
        <f t="shared" si="2"/>
        <v>#N/A</v>
      </c>
      <c r="X11" s="711"/>
      <c r="Y11" s="3705"/>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752"/>
      <c r="Q12" s="1477">
        <f t="shared" si="6"/>
        <v>111</v>
      </c>
      <c r="R12" s="709" t="s">
        <v>17</v>
      </c>
      <c r="S12" s="710">
        <f t="shared" si="0"/>
        <v>100</v>
      </c>
      <c r="T12" s="709" t="s">
        <v>17</v>
      </c>
      <c r="U12" s="710">
        <f t="shared" si="1"/>
        <v>100</v>
      </c>
      <c r="V12" s="709" t="s">
        <v>17</v>
      </c>
      <c r="W12" s="710">
        <f t="shared" si="2"/>
        <v>100</v>
      </c>
      <c r="X12" s="711"/>
      <c r="Y12" s="3705"/>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752"/>
      <c r="Q13" s="1477">
        <f t="shared" si="6"/>
        <v>111</v>
      </c>
      <c r="R13" s="709" t="s">
        <v>17</v>
      </c>
      <c r="S13" s="710">
        <f t="shared" si="0"/>
        <v>100</v>
      </c>
      <c r="T13" s="709" t="s">
        <v>17</v>
      </c>
      <c r="U13" s="710">
        <f t="shared" si="1"/>
        <v>100</v>
      </c>
      <c r="V13" s="709" t="s">
        <v>17</v>
      </c>
      <c r="W13" s="710">
        <f t="shared" si="2"/>
        <v>100</v>
      </c>
      <c r="X13" s="711"/>
      <c r="Y13" s="3705"/>
      <c r="Z13" s="55">
        <f t="shared" si="7"/>
        <v>111</v>
      </c>
      <c r="AA13" s="712">
        <f t="shared" si="3"/>
        <v>1</v>
      </c>
      <c r="AB13" s="712">
        <f t="shared" si="4"/>
        <v>1</v>
      </c>
      <c r="AC13" s="2095">
        <f t="shared" si="5"/>
        <v>1</v>
      </c>
    </row>
    <row r="14" spans="1:29" ht="15.75" thickBot="1">
      <c r="A14" s="395"/>
      <c r="B14" s="2031">
        <v>111</v>
      </c>
      <c r="C14" s="396"/>
      <c r="D14" s="397">
        <v>100</v>
      </c>
      <c r="E14" s="583"/>
      <c r="F14" s="397">
        <f>SUMIF(75:75,E14,76:76)-SUMIF(75:75,C14,76:76)+100</f>
        <v>100</v>
      </c>
      <c r="G14" s="2096"/>
      <c r="H14" s="397">
        <f>SUMIF(75:75,G14,76:76)-SUMIF(75:75,C14,76:76)+100</f>
        <v>100</v>
      </c>
      <c r="I14" s="391"/>
      <c r="J14" s="397">
        <f>SUMIF(75:75,I14,76:76)-SUMIF(75:75,C14,76:76)+100</f>
        <v>100</v>
      </c>
      <c r="K14" s="570"/>
      <c r="L14" s="2900"/>
      <c r="M14" s="2894"/>
      <c r="N14" s="2894"/>
      <c r="O14" s="2894"/>
      <c r="P14" s="3752"/>
      <c r="Q14" s="1477">
        <f t="shared" si="6"/>
        <v>111</v>
      </c>
      <c r="R14" s="709" t="s">
        <v>17</v>
      </c>
      <c r="S14" s="710">
        <f t="shared" si="0"/>
        <v>100</v>
      </c>
      <c r="T14" s="709" t="s">
        <v>17</v>
      </c>
      <c r="U14" s="710">
        <f t="shared" si="1"/>
        <v>100</v>
      </c>
      <c r="V14" s="709" t="s">
        <v>17</v>
      </c>
      <c r="W14" s="710">
        <f t="shared" si="2"/>
        <v>100</v>
      </c>
      <c r="X14" s="711"/>
      <c r="Y14" s="3705"/>
      <c r="Z14" s="55">
        <f t="shared" si="7"/>
        <v>111</v>
      </c>
      <c r="AA14" s="712">
        <f t="shared" si="3"/>
        <v>1</v>
      </c>
      <c r="AB14" s="712">
        <f t="shared" si="4"/>
        <v>1</v>
      </c>
      <c r="AC14" s="2095">
        <f t="shared" si="5"/>
        <v>1</v>
      </c>
    </row>
    <row r="15" spans="1:29" ht="71.25">
      <c r="A15" s="399" t="s">
        <v>2139</v>
      </c>
      <c r="B15" s="584"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766" t="s">
        <v>2140</v>
      </c>
      <c r="Q15" s="1486" t="str">
        <f t="shared" si="6"/>
        <v>办公集聚程度</v>
      </c>
      <c r="R15" s="713" t="s">
        <v>17</v>
      </c>
      <c r="S15" s="714">
        <f t="shared" si="0"/>
        <v>100</v>
      </c>
      <c r="T15" s="713" t="s">
        <v>17</v>
      </c>
      <c r="U15" s="714">
        <f t="shared" si="1"/>
        <v>100</v>
      </c>
      <c r="V15" s="713" t="s">
        <v>17</v>
      </c>
      <c r="W15" s="714">
        <f t="shared" si="2"/>
        <v>100</v>
      </c>
      <c r="X15" s="1489"/>
      <c r="Y15" s="3768" t="s">
        <v>2140</v>
      </c>
      <c r="Z15" s="1490" t="str">
        <f t="shared" si="7"/>
        <v>办公集聚程度</v>
      </c>
      <c r="AA15" s="1487">
        <f t="shared" si="3"/>
        <v>1</v>
      </c>
      <c r="AB15" s="1487">
        <f t="shared" si="4"/>
        <v>1</v>
      </c>
      <c r="AC15" s="2098">
        <f t="shared" si="5"/>
        <v>1</v>
      </c>
    </row>
    <row r="16" spans="1:29" ht="15">
      <c r="A16" s="387"/>
      <c r="B16" s="585"/>
      <c r="C16" s="2040"/>
      <c r="D16" s="407"/>
      <c r="E16" s="406"/>
      <c r="F16" s="407"/>
      <c r="G16" s="2040"/>
      <c r="H16" s="409"/>
      <c r="I16" s="406"/>
      <c r="J16" s="407"/>
      <c r="K16" s="572"/>
      <c r="L16" s="2900"/>
      <c r="M16" s="2894"/>
      <c r="N16" s="2894"/>
      <c r="O16" s="2894"/>
      <c r="P16" s="3767"/>
      <c r="Q16" s="1486"/>
      <c r="R16" s="713"/>
      <c r="S16" s="714"/>
      <c r="T16" s="713"/>
      <c r="U16" s="714"/>
      <c r="V16" s="713"/>
      <c r="W16" s="714"/>
      <c r="X16" s="1489"/>
      <c r="Y16" s="3769"/>
      <c r="Z16" s="1490"/>
      <c r="AA16" s="1487">
        <v>1</v>
      </c>
      <c r="AB16" s="1487">
        <v>1</v>
      </c>
      <c r="AC16" s="2098">
        <v>1</v>
      </c>
    </row>
    <row r="17" spans="1:29" ht="71.25">
      <c r="A17" s="387"/>
      <c r="B17" s="586"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767"/>
      <c r="Q17" s="1486" t="str">
        <f>B17</f>
        <v>交通便捷度</v>
      </c>
      <c r="R17" s="713" t="s">
        <v>17</v>
      </c>
      <c r="S17" s="714">
        <f>F17</f>
        <v>100</v>
      </c>
      <c r="T17" s="713" t="s">
        <v>17</v>
      </c>
      <c r="U17" s="714">
        <f>H17</f>
        <v>100</v>
      </c>
      <c r="V17" s="713" t="s">
        <v>17</v>
      </c>
      <c r="W17" s="714">
        <f>J17</f>
        <v>100</v>
      </c>
      <c r="X17" s="1489"/>
      <c r="Y17" s="3769"/>
      <c r="Z17" s="1490" t="str">
        <f>Q17</f>
        <v>交通便捷度</v>
      </c>
      <c r="AA17" s="1487">
        <f t="shared" si="3"/>
        <v>1</v>
      </c>
      <c r="AB17" s="1487">
        <f t="shared" si="4"/>
        <v>1</v>
      </c>
      <c r="AC17" s="2098">
        <f t="shared" si="5"/>
        <v>1</v>
      </c>
    </row>
    <row r="18" spans="1:29" ht="15">
      <c r="A18" s="387"/>
      <c r="B18" s="587"/>
      <c r="C18" s="2100"/>
      <c r="D18" s="409"/>
      <c r="E18" s="2038"/>
      <c r="F18" s="409"/>
      <c r="G18" s="2039"/>
      <c r="H18" s="407"/>
      <c r="I18" s="2039"/>
      <c r="J18" s="407"/>
      <c r="K18" s="572"/>
      <c r="L18" s="2900"/>
      <c r="M18" s="2894"/>
      <c r="N18" s="2894"/>
      <c r="O18" s="2894"/>
      <c r="P18" s="3767"/>
      <c r="Q18" s="1486"/>
      <c r="R18" s="713"/>
      <c r="S18" s="714"/>
      <c r="T18" s="713"/>
      <c r="U18" s="714"/>
      <c r="V18" s="713"/>
      <c r="W18" s="714"/>
      <c r="X18" s="1489"/>
      <c r="Y18" s="3769"/>
      <c r="Z18" s="1490"/>
      <c r="AA18" s="1487">
        <v>1</v>
      </c>
      <c r="AB18" s="1487">
        <v>1</v>
      </c>
      <c r="AC18" s="2098">
        <v>1</v>
      </c>
    </row>
    <row r="19" spans="1:29" ht="42.75">
      <c r="A19" s="387"/>
      <c r="B19" s="586"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767"/>
      <c r="Q19" s="1486" t="str">
        <f>B19</f>
        <v>公共配套设施</v>
      </c>
      <c r="R19" s="713" t="s">
        <v>17</v>
      </c>
      <c r="S19" s="714">
        <f>F19</f>
        <v>100</v>
      </c>
      <c r="T19" s="713" t="s">
        <v>17</v>
      </c>
      <c r="U19" s="714">
        <f>H19</f>
        <v>100</v>
      </c>
      <c r="V19" s="713" t="s">
        <v>17</v>
      </c>
      <c r="W19" s="714">
        <f>J19</f>
        <v>100</v>
      </c>
      <c r="X19" s="1489"/>
      <c r="Y19" s="3769"/>
      <c r="Z19" s="1490" t="str">
        <f>Q19</f>
        <v>公共配套设施</v>
      </c>
      <c r="AA19" s="1487">
        <f t="shared" si="3"/>
        <v>1</v>
      </c>
      <c r="AB19" s="1487">
        <f t="shared" si="4"/>
        <v>1</v>
      </c>
      <c r="AC19" s="2098">
        <f t="shared" si="5"/>
        <v>1</v>
      </c>
    </row>
    <row r="20" spans="1:29" ht="15">
      <c r="A20" s="387"/>
      <c r="B20" s="587"/>
      <c r="C20" s="2040"/>
      <c r="D20" s="407"/>
      <c r="E20" s="2033"/>
      <c r="F20" s="407"/>
      <c r="G20" s="2034"/>
      <c r="H20" s="407"/>
      <c r="I20" s="2034"/>
      <c r="J20" s="407"/>
      <c r="K20" s="572"/>
      <c r="L20" s="2900"/>
      <c r="M20" s="2894"/>
      <c r="N20" s="2894"/>
      <c r="O20" s="2894"/>
      <c r="P20" s="3767"/>
      <c r="Q20" s="1486"/>
      <c r="R20" s="713"/>
      <c r="S20" s="714"/>
      <c r="T20" s="713"/>
      <c r="U20" s="714"/>
      <c r="V20" s="713"/>
      <c r="W20" s="714"/>
      <c r="X20" s="1489"/>
      <c r="Y20" s="3769"/>
      <c r="Z20" s="1490"/>
      <c r="AA20" s="1487">
        <v>1</v>
      </c>
      <c r="AB20" s="1487">
        <v>1</v>
      </c>
      <c r="AC20" s="2098">
        <v>1</v>
      </c>
    </row>
    <row r="21" spans="1:29" ht="28.5">
      <c r="A21" s="387"/>
      <c r="B21" s="588"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767"/>
      <c r="Q21" s="1486" t="str">
        <f>B21</f>
        <v>基础设施水平</v>
      </c>
      <c r="R21" s="713" t="s">
        <v>17</v>
      </c>
      <c r="S21" s="714">
        <f>F21</f>
        <v>100</v>
      </c>
      <c r="T21" s="713" t="s">
        <v>17</v>
      </c>
      <c r="U21" s="714">
        <f>H21</f>
        <v>100</v>
      </c>
      <c r="V21" s="713" t="s">
        <v>17</v>
      </c>
      <c r="W21" s="714">
        <f>J21</f>
        <v>100</v>
      </c>
      <c r="X21" s="1489"/>
      <c r="Y21" s="3769"/>
      <c r="Z21" s="1490" t="str">
        <f>Q21</f>
        <v>基础设施水平</v>
      </c>
      <c r="AA21" s="1487">
        <f t="shared" ref="AA21" si="8">D21/F21</f>
        <v>1</v>
      </c>
      <c r="AB21" s="1487">
        <f t="shared" ref="AB21" si="9">D21/H21</f>
        <v>1</v>
      </c>
      <c r="AC21" s="2098">
        <f t="shared" ref="AC21" si="10">D21/J21</f>
        <v>1</v>
      </c>
    </row>
    <row r="22" spans="1:29" ht="15">
      <c r="A22" s="387"/>
      <c r="B22" s="588"/>
      <c r="C22" s="2100"/>
      <c r="D22" s="407"/>
      <c r="E22" s="406"/>
      <c r="F22" s="407"/>
      <c r="G22" s="2040"/>
      <c r="H22" s="407"/>
      <c r="I22" s="2040"/>
      <c r="J22" s="407"/>
      <c r="K22" s="1244"/>
      <c r="L22" s="2900"/>
      <c r="M22" s="2894"/>
      <c r="N22" s="2894"/>
      <c r="O22" s="2894"/>
      <c r="P22" s="3767"/>
      <c r="Q22" s="1486"/>
      <c r="R22" s="713"/>
      <c r="S22" s="714"/>
      <c r="T22" s="713"/>
      <c r="U22" s="714"/>
      <c r="V22" s="713"/>
      <c r="W22" s="714"/>
      <c r="X22" s="1489"/>
      <c r="Y22" s="3769"/>
      <c r="Z22" s="1490"/>
      <c r="AA22" s="1487">
        <v>1</v>
      </c>
      <c r="AB22" s="1487">
        <v>1</v>
      </c>
      <c r="AC22" s="2098">
        <v>1</v>
      </c>
    </row>
    <row r="23" spans="1:29" ht="42.75">
      <c r="A23" s="387"/>
      <c r="B23" s="586"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767"/>
      <c r="Q23" s="1486" t="str">
        <f>B23</f>
        <v>环境质量</v>
      </c>
      <c r="R23" s="713" t="s">
        <v>17</v>
      </c>
      <c r="S23" s="714">
        <f>F23</f>
        <v>100</v>
      </c>
      <c r="T23" s="713" t="s">
        <v>17</v>
      </c>
      <c r="U23" s="714">
        <f>H23</f>
        <v>100</v>
      </c>
      <c r="V23" s="713" t="s">
        <v>17</v>
      </c>
      <c r="W23" s="714">
        <f>J23</f>
        <v>100</v>
      </c>
      <c r="X23" s="1489"/>
      <c r="Y23" s="3769"/>
      <c r="Z23" s="1490" t="str">
        <f>Q23</f>
        <v>环境质量</v>
      </c>
      <c r="AA23" s="1487">
        <f t="shared" si="3"/>
        <v>1</v>
      </c>
      <c r="AB23" s="1487">
        <f t="shared" si="4"/>
        <v>1</v>
      </c>
      <c r="AC23" s="2098">
        <f t="shared" si="5"/>
        <v>1</v>
      </c>
    </row>
    <row r="24" spans="1:29" ht="15">
      <c r="A24" s="387"/>
      <c r="B24" s="588"/>
      <c r="C24" s="2040"/>
      <c r="D24" s="407"/>
      <c r="E24" s="2033"/>
      <c r="F24" s="407"/>
      <c r="G24" s="2034"/>
      <c r="H24" s="407"/>
      <c r="I24" s="2034"/>
      <c r="J24" s="407"/>
      <c r="K24" s="572"/>
      <c r="L24" s="2900"/>
      <c r="M24" s="2894"/>
      <c r="N24" s="2894"/>
      <c r="O24" s="2894"/>
      <c r="P24" s="3767"/>
      <c r="Q24" s="1486"/>
      <c r="R24" s="713"/>
      <c r="S24" s="714"/>
      <c r="T24" s="713"/>
      <c r="U24" s="714"/>
      <c r="V24" s="713"/>
      <c r="W24" s="714"/>
      <c r="X24" s="1489"/>
      <c r="Y24" s="3769"/>
      <c r="Z24" s="1490"/>
      <c r="AA24" s="1487">
        <v>1</v>
      </c>
      <c r="AB24" s="1487">
        <v>1</v>
      </c>
      <c r="AC24" s="2098">
        <v>1</v>
      </c>
    </row>
    <row r="25" spans="1:29" ht="27">
      <c r="A25" s="364"/>
      <c r="B25" s="586" t="s">
        <v>2270</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767"/>
      <c r="Q25" s="1486" t="str">
        <f>B25</f>
        <v>毗邻道路的类型与等级</v>
      </c>
      <c r="R25" s="713" t="s">
        <v>17</v>
      </c>
      <c r="S25" s="714">
        <f>F25</f>
        <v>100</v>
      </c>
      <c r="T25" s="713" t="s">
        <v>17</v>
      </c>
      <c r="U25" s="714">
        <f>H25</f>
        <v>100</v>
      </c>
      <c r="V25" s="713" t="s">
        <v>17</v>
      </c>
      <c r="W25" s="714">
        <f>J25</f>
        <v>100</v>
      </c>
      <c r="X25" s="1489"/>
      <c r="Y25" s="3769"/>
      <c r="Z25" s="1490" t="str">
        <f>Q25</f>
        <v>毗邻道路的类型与等级</v>
      </c>
      <c r="AA25" s="1487">
        <f t="shared" si="3"/>
        <v>1</v>
      </c>
      <c r="AB25" s="1487">
        <f t="shared" si="4"/>
        <v>1</v>
      </c>
      <c r="AC25" s="2098">
        <f t="shared" si="5"/>
        <v>1</v>
      </c>
    </row>
    <row r="26" spans="1:29" ht="15">
      <c r="A26" s="364"/>
      <c r="B26" s="587"/>
      <c r="C26" s="589"/>
      <c r="D26" s="394"/>
      <c r="E26" s="573"/>
      <c r="F26" s="394"/>
      <c r="G26" s="589"/>
      <c r="H26" s="394"/>
      <c r="I26" s="573"/>
      <c r="J26" s="394"/>
      <c r="K26" s="572"/>
      <c r="L26" s="2900"/>
      <c r="M26" s="2894"/>
      <c r="N26" s="2894"/>
      <c r="O26" s="2894"/>
      <c r="P26" s="3767"/>
      <c r="Q26" s="1486"/>
      <c r="R26" s="713"/>
      <c r="S26" s="714"/>
      <c r="T26" s="713"/>
      <c r="U26" s="714"/>
      <c r="V26" s="713"/>
      <c r="W26" s="714"/>
      <c r="X26" s="1489"/>
      <c r="Y26" s="3769"/>
      <c r="Z26" s="1490"/>
      <c r="AA26" s="1487">
        <v>1</v>
      </c>
      <c r="AB26" s="1487">
        <v>1</v>
      </c>
      <c r="AC26" s="2098">
        <v>1</v>
      </c>
    </row>
    <row r="27" spans="1:29" ht="15">
      <c r="A27" s="387"/>
      <c r="B27" s="587" t="s">
        <v>2238</v>
      </c>
      <c r="C27" s="589"/>
      <c r="D27" s="394">
        <v>100</v>
      </c>
      <c r="E27" s="573"/>
      <c r="F27" s="394">
        <f>SUMIF(89:89,E27,90:90)-SUMIF(89:89,C27,90:90)+100</f>
        <v>100</v>
      </c>
      <c r="G27" s="589"/>
      <c r="H27" s="394">
        <f>SUMIF(89:89,G27,90:90)-SUMIF(89:89,C27,90:90)+100</f>
        <v>100</v>
      </c>
      <c r="I27" s="573"/>
      <c r="J27" s="394">
        <f>SUMIF(89:89,I27,90:90)-SUMIF(89:89,C27,90:90)+100</f>
        <v>100</v>
      </c>
      <c r="K27" s="569"/>
      <c r="L27" s="2900"/>
      <c r="M27" s="2894"/>
      <c r="N27" s="2894"/>
      <c r="O27" s="2894"/>
      <c r="P27" s="3767"/>
      <c r="Q27" s="1486" t="str">
        <f t="shared" ref="Q27:Q47" si="11">B27</f>
        <v>楼层</v>
      </c>
      <c r="R27" s="713" t="s">
        <v>17</v>
      </c>
      <c r="S27" s="714">
        <f>F27</f>
        <v>100</v>
      </c>
      <c r="T27" s="713" t="s">
        <v>17</v>
      </c>
      <c r="U27" s="714">
        <f>H27</f>
        <v>100</v>
      </c>
      <c r="V27" s="713" t="s">
        <v>17</v>
      </c>
      <c r="W27" s="714">
        <f>J27</f>
        <v>100</v>
      </c>
      <c r="X27" s="1489"/>
      <c r="Y27" s="3769"/>
      <c r="Z27" s="1490" t="str">
        <f>Q27</f>
        <v>楼层</v>
      </c>
      <c r="AA27" s="1487">
        <f t="shared" si="3"/>
        <v>1</v>
      </c>
      <c r="AB27" s="1487">
        <f t="shared" si="4"/>
        <v>1</v>
      </c>
      <c r="AC27" s="2098">
        <f t="shared" si="5"/>
        <v>1</v>
      </c>
    </row>
    <row r="28" spans="1:29" s="113" customFormat="1" ht="15">
      <c r="A28" s="390"/>
      <c r="B28" s="586"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767"/>
      <c r="Q28" s="1477" t="str">
        <f t="shared" si="11"/>
        <v>朝向</v>
      </c>
      <c r="R28" s="709" t="s">
        <v>17</v>
      </c>
      <c r="S28" s="710">
        <f>F28</f>
        <v>100</v>
      </c>
      <c r="T28" s="709" t="s">
        <v>17</v>
      </c>
      <c r="U28" s="710">
        <f>H28</f>
        <v>100</v>
      </c>
      <c r="V28" s="709" t="s">
        <v>17</v>
      </c>
      <c r="W28" s="710">
        <f>J28</f>
        <v>100</v>
      </c>
      <c r="X28" s="711"/>
      <c r="Y28" s="3769"/>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767"/>
      <c r="Q29" s="1486">
        <f t="shared" si="11"/>
        <v>111</v>
      </c>
      <c r="R29" s="713" t="s">
        <v>17</v>
      </c>
      <c r="S29" s="714">
        <f t="shared" ref="S29:S47" si="12">F29</f>
        <v>100</v>
      </c>
      <c r="T29" s="713" t="s">
        <v>17</v>
      </c>
      <c r="U29" s="714">
        <f t="shared" ref="U29:U47" si="13">H29</f>
        <v>100</v>
      </c>
      <c r="V29" s="713" t="s">
        <v>17</v>
      </c>
      <c r="W29" s="714">
        <f t="shared" ref="W29:W47" si="14">J29</f>
        <v>100</v>
      </c>
      <c r="X29" s="1489"/>
      <c r="Y29" s="3769"/>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767"/>
      <c r="Q30" s="1486">
        <f t="shared" si="11"/>
        <v>111</v>
      </c>
      <c r="R30" s="713" t="s">
        <v>17</v>
      </c>
      <c r="S30" s="714">
        <f t="shared" si="12"/>
        <v>100</v>
      </c>
      <c r="T30" s="713" t="s">
        <v>17</v>
      </c>
      <c r="U30" s="714">
        <f t="shared" si="13"/>
        <v>100</v>
      </c>
      <c r="V30" s="713" t="s">
        <v>17</v>
      </c>
      <c r="W30" s="714">
        <f t="shared" si="14"/>
        <v>100</v>
      </c>
      <c r="X30" s="1489"/>
      <c r="Y30" s="3769"/>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767"/>
      <c r="Q31" s="1486">
        <f t="shared" si="11"/>
        <v>111</v>
      </c>
      <c r="R31" s="713" t="s">
        <v>17</v>
      </c>
      <c r="S31" s="714">
        <f t="shared" si="12"/>
        <v>100</v>
      </c>
      <c r="T31" s="713" t="s">
        <v>17</v>
      </c>
      <c r="U31" s="714">
        <f t="shared" si="13"/>
        <v>100</v>
      </c>
      <c r="V31" s="713" t="s">
        <v>17</v>
      </c>
      <c r="W31" s="714">
        <f t="shared" si="14"/>
        <v>100</v>
      </c>
      <c r="X31" s="1489"/>
      <c r="Y31" s="3769"/>
      <c r="Z31" s="1490">
        <f t="shared" si="15"/>
        <v>111</v>
      </c>
      <c r="AA31" s="1487">
        <f t="shared" si="3"/>
        <v>1</v>
      </c>
      <c r="AB31" s="1487">
        <f t="shared" si="4"/>
        <v>1</v>
      </c>
      <c r="AC31" s="2098">
        <f t="shared" si="5"/>
        <v>1</v>
      </c>
    </row>
    <row r="32" spans="1:29" ht="15.75" thickBot="1">
      <c r="A32" s="395"/>
      <c r="B32" s="590">
        <v>111</v>
      </c>
      <c r="C32" s="2045"/>
      <c r="D32" s="397">
        <v>100</v>
      </c>
      <c r="E32" s="583"/>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767"/>
      <c r="Q32" s="1486">
        <f t="shared" si="11"/>
        <v>111</v>
      </c>
      <c r="R32" s="713" t="s">
        <v>17</v>
      </c>
      <c r="S32" s="714">
        <f t="shared" si="12"/>
        <v>100</v>
      </c>
      <c r="T32" s="713" t="s">
        <v>17</v>
      </c>
      <c r="U32" s="714">
        <f t="shared" si="13"/>
        <v>100</v>
      </c>
      <c r="V32" s="713" t="s">
        <v>17</v>
      </c>
      <c r="W32" s="714">
        <f t="shared" si="14"/>
        <v>100</v>
      </c>
      <c r="X32" s="1489"/>
      <c r="Y32" s="3769"/>
      <c r="Z32" s="1490">
        <f t="shared" si="15"/>
        <v>111</v>
      </c>
      <c r="AA32" s="1487">
        <f t="shared" si="3"/>
        <v>1</v>
      </c>
      <c r="AB32" s="1487">
        <f t="shared" si="4"/>
        <v>1</v>
      </c>
      <c r="AC32" s="2098">
        <f t="shared" si="5"/>
        <v>1</v>
      </c>
    </row>
    <row r="33" spans="1:29" ht="15">
      <c r="A33" s="399" t="s">
        <v>2143</v>
      </c>
      <c r="B33" s="67" t="s">
        <v>2272</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770" t="s">
        <v>2145</v>
      </c>
      <c r="Q33" s="1486" t="str">
        <f t="shared" si="11"/>
        <v>建筑类型</v>
      </c>
      <c r="R33" s="713" t="s">
        <v>17</v>
      </c>
      <c r="S33" s="714">
        <f t="shared" si="12"/>
        <v>100</v>
      </c>
      <c r="T33" s="713" t="s">
        <v>17</v>
      </c>
      <c r="U33" s="714">
        <f t="shared" si="13"/>
        <v>100</v>
      </c>
      <c r="V33" s="713" t="s">
        <v>17</v>
      </c>
      <c r="W33" s="714">
        <f t="shared" si="14"/>
        <v>100</v>
      </c>
      <c r="X33" s="1489"/>
      <c r="Y33" s="3773"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771"/>
      <c r="Q34" s="715" t="str">
        <f t="shared" si="11"/>
        <v>项目建筑规模</v>
      </c>
      <c r="R34" s="716" t="s">
        <v>17</v>
      </c>
      <c r="S34" s="717" t="e">
        <f t="shared" si="12"/>
        <v>#N/A</v>
      </c>
      <c r="T34" s="716" t="s">
        <v>17</v>
      </c>
      <c r="U34" s="717" t="e">
        <f t="shared" si="13"/>
        <v>#N/A</v>
      </c>
      <c r="V34" s="716" t="s">
        <v>17</v>
      </c>
      <c r="W34" s="717" t="e">
        <f t="shared" si="14"/>
        <v>#N/A</v>
      </c>
      <c r="X34" s="718"/>
      <c r="Y34" s="3773"/>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771"/>
      <c r="Q35" s="1486" t="str">
        <f t="shared" si="11"/>
        <v>建筑结构</v>
      </c>
      <c r="R35" s="713" t="s">
        <v>17</v>
      </c>
      <c r="S35" s="714">
        <f t="shared" si="12"/>
        <v>100</v>
      </c>
      <c r="T35" s="713" t="s">
        <v>17</v>
      </c>
      <c r="U35" s="714">
        <f t="shared" si="13"/>
        <v>100</v>
      </c>
      <c r="V35" s="713" t="s">
        <v>17</v>
      </c>
      <c r="W35" s="714">
        <f t="shared" si="14"/>
        <v>100</v>
      </c>
      <c r="X35" s="1489"/>
      <c r="Y35" s="3773"/>
      <c r="Z35" s="1490" t="str">
        <f t="shared" si="15"/>
        <v>建筑结构</v>
      </c>
      <c r="AA35" s="1487">
        <f t="shared" si="3"/>
        <v>1</v>
      </c>
      <c r="AB35" s="1487">
        <f t="shared" si="4"/>
        <v>1</v>
      </c>
      <c r="AC35" s="2098">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771"/>
      <c r="Q36" s="1486" t="str">
        <f t="shared" si="11"/>
        <v>公共部分装修</v>
      </c>
      <c r="R36" s="713" t="s">
        <v>17</v>
      </c>
      <c r="S36" s="714">
        <f t="shared" si="12"/>
        <v>100</v>
      </c>
      <c r="T36" s="713" t="s">
        <v>17</v>
      </c>
      <c r="U36" s="714">
        <f t="shared" si="13"/>
        <v>100</v>
      </c>
      <c r="V36" s="713" t="s">
        <v>17</v>
      </c>
      <c r="W36" s="714">
        <f t="shared" si="14"/>
        <v>100</v>
      </c>
      <c r="X36" s="1489"/>
      <c r="Y36" s="3773"/>
      <c r="Z36" s="1490" t="str">
        <f t="shared" si="15"/>
        <v>公共部分装修</v>
      </c>
      <c r="AA36" s="1487">
        <f t="shared" si="3"/>
        <v>1</v>
      </c>
      <c r="AB36" s="1487">
        <f t="shared" si="4"/>
        <v>1</v>
      </c>
      <c r="AC36" s="2098">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771"/>
      <c r="Q37" s="1486" t="str">
        <f t="shared" si="11"/>
        <v>成新度</v>
      </c>
      <c r="R37" s="713" t="s">
        <v>17</v>
      </c>
      <c r="S37" s="714" t="e">
        <f t="shared" si="12"/>
        <v>#N/A</v>
      </c>
      <c r="T37" s="713" t="s">
        <v>17</v>
      </c>
      <c r="U37" s="714" t="e">
        <f t="shared" si="13"/>
        <v>#N/A</v>
      </c>
      <c r="V37" s="713" t="s">
        <v>17</v>
      </c>
      <c r="W37" s="714" t="e">
        <f t="shared" si="14"/>
        <v>#N/A</v>
      </c>
      <c r="X37" s="1489"/>
      <c r="Y37" s="3773"/>
      <c r="Z37" s="1490" t="str">
        <f t="shared" si="15"/>
        <v>成新度</v>
      </c>
      <c r="AA37" s="1487" t="e">
        <f t="shared" si="3"/>
        <v>#N/A</v>
      </c>
      <c r="AB37" s="1487" t="e">
        <f t="shared" si="4"/>
        <v>#N/A</v>
      </c>
      <c r="AC37" s="2098"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771"/>
      <c r="Q38" s="1477" t="str">
        <f t="shared" si="11"/>
        <v>写字楼等级</v>
      </c>
      <c r="R38" s="709" t="s">
        <v>17</v>
      </c>
      <c r="S38" s="710">
        <f t="shared" si="12"/>
        <v>100</v>
      </c>
      <c r="T38" s="709" t="s">
        <v>17</v>
      </c>
      <c r="U38" s="710">
        <f t="shared" si="13"/>
        <v>100</v>
      </c>
      <c r="V38" s="709" t="s">
        <v>17</v>
      </c>
      <c r="W38" s="710">
        <f t="shared" si="14"/>
        <v>100</v>
      </c>
      <c r="X38" s="711"/>
      <c r="Y38" s="3773"/>
      <c r="Z38" s="55" t="str">
        <f t="shared" si="15"/>
        <v>写字楼等级</v>
      </c>
      <c r="AA38" s="712">
        <f t="shared" si="3"/>
        <v>1</v>
      </c>
      <c r="AB38" s="712">
        <f t="shared" si="4"/>
        <v>1</v>
      </c>
      <c r="AC38" s="2095">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771" t="s">
        <v>2145</v>
      </c>
      <c r="Q39" s="1486" t="str">
        <f t="shared" si="11"/>
        <v>物业管理</v>
      </c>
      <c r="R39" s="713" t="s">
        <v>17</v>
      </c>
      <c r="S39" s="714">
        <f t="shared" si="12"/>
        <v>100</v>
      </c>
      <c r="T39" s="713" t="s">
        <v>17</v>
      </c>
      <c r="U39" s="714">
        <f t="shared" si="13"/>
        <v>100</v>
      </c>
      <c r="V39" s="713" t="s">
        <v>17</v>
      </c>
      <c r="W39" s="714">
        <f t="shared" si="14"/>
        <v>100</v>
      </c>
      <c r="X39" s="1489"/>
      <c r="Y39" s="3773" t="s">
        <v>2145</v>
      </c>
      <c r="Z39" s="1490" t="str">
        <f t="shared" si="15"/>
        <v>物业管理</v>
      </c>
      <c r="AA39" s="1487">
        <f t="shared" si="3"/>
        <v>1</v>
      </c>
      <c r="AB39" s="1487">
        <f t="shared" si="4"/>
        <v>1</v>
      </c>
      <c r="AC39" s="2098">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771"/>
      <c r="Q40" s="1486" t="str">
        <f t="shared" si="11"/>
        <v>市政基础设施</v>
      </c>
      <c r="R40" s="713" t="s">
        <v>17</v>
      </c>
      <c r="S40" s="714">
        <f t="shared" si="12"/>
        <v>100</v>
      </c>
      <c r="T40" s="713" t="s">
        <v>17</v>
      </c>
      <c r="U40" s="714">
        <f t="shared" si="13"/>
        <v>100</v>
      </c>
      <c r="V40" s="713" t="s">
        <v>17</v>
      </c>
      <c r="W40" s="714">
        <f t="shared" si="14"/>
        <v>100</v>
      </c>
      <c r="X40" s="1489"/>
      <c r="Y40" s="3773"/>
      <c r="Z40" s="1490" t="str">
        <f t="shared" si="15"/>
        <v>市政基础设施</v>
      </c>
      <c r="AA40" s="1487">
        <f t="shared" si="3"/>
        <v>1</v>
      </c>
      <c r="AB40" s="1487">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771"/>
      <c r="Q41" s="1486" t="str">
        <f t="shared" si="11"/>
        <v>层高</v>
      </c>
      <c r="R41" s="713" t="s">
        <v>17</v>
      </c>
      <c r="S41" s="714">
        <f t="shared" si="12"/>
        <v>100</v>
      </c>
      <c r="T41" s="713" t="s">
        <v>17</v>
      </c>
      <c r="U41" s="714">
        <f t="shared" si="13"/>
        <v>100</v>
      </c>
      <c r="V41" s="713" t="s">
        <v>17</v>
      </c>
      <c r="W41" s="714">
        <f t="shared" si="14"/>
        <v>100</v>
      </c>
      <c r="X41" s="1489"/>
      <c r="Y41" s="3773"/>
      <c r="Z41" s="1490" t="str">
        <f t="shared" si="15"/>
        <v>层高</v>
      </c>
      <c r="AA41" s="1487">
        <f t="shared" si="3"/>
        <v>1</v>
      </c>
      <c r="AB41" s="1487">
        <f t="shared" si="4"/>
        <v>1</v>
      </c>
      <c r="AC41" s="2098">
        <f t="shared" si="5"/>
        <v>1</v>
      </c>
    </row>
    <row r="42" spans="1:29" s="430" customFormat="1" ht="15">
      <c r="A42" s="427"/>
      <c r="B42" s="1488"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771"/>
      <c r="Q42" s="715" t="str">
        <f t="shared" si="11"/>
        <v>单套建筑面积</v>
      </c>
      <c r="R42" s="716" t="s">
        <v>17</v>
      </c>
      <c r="S42" s="717">
        <f t="shared" si="12"/>
        <v>100</v>
      </c>
      <c r="T42" s="716" t="s">
        <v>17</v>
      </c>
      <c r="U42" s="717">
        <f t="shared" si="13"/>
        <v>100</v>
      </c>
      <c r="V42" s="716" t="s">
        <v>17</v>
      </c>
      <c r="W42" s="717">
        <f t="shared" si="14"/>
        <v>100</v>
      </c>
      <c r="X42" s="718"/>
      <c r="Y42" s="3773"/>
      <c r="Z42" s="719" t="str">
        <f t="shared" si="15"/>
        <v>单套建筑面积</v>
      </c>
      <c r="AA42" s="1487">
        <f t="shared" si="3"/>
        <v>1</v>
      </c>
      <c r="AB42" s="1487">
        <f t="shared" si="4"/>
        <v>1</v>
      </c>
      <c r="AC42" s="2098">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771"/>
      <c r="Q43" s="1486" t="str">
        <f t="shared" si="11"/>
        <v>内部装修</v>
      </c>
      <c r="R43" s="713" t="s">
        <v>17</v>
      </c>
      <c r="S43" s="714">
        <f t="shared" si="12"/>
        <v>100</v>
      </c>
      <c r="T43" s="713" t="s">
        <v>17</v>
      </c>
      <c r="U43" s="714">
        <f t="shared" si="13"/>
        <v>100</v>
      </c>
      <c r="V43" s="713" t="s">
        <v>17</v>
      </c>
      <c r="W43" s="714">
        <f t="shared" si="14"/>
        <v>100</v>
      </c>
      <c r="X43" s="1489"/>
      <c r="Y43" s="3773"/>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771"/>
      <c r="Q44" s="1486" t="str">
        <f t="shared" si="11"/>
        <v>内部装修维护情况</v>
      </c>
      <c r="R44" s="713" t="s">
        <v>17</v>
      </c>
      <c r="S44" s="714">
        <f t="shared" si="12"/>
        <v>100</v>
      </c>
      <c r="T44" s="713" t="s">
        <v>17</v>
      </c>
      <c r="U44" s="714">
        <f t="shared" si="13"/>
        <v>100</v>
      </c>
      <c r="V44" s="713" t="s">
        <v>17</v>
      </c>
      <c r="W44" s="714">
        <f t="shared" si="14"/>
        <v>100</v>
      </c>
      <c r="X44" s="1489"/>
      <c r="Y44" s="3773"/>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771"/>
      <c r="Q45" s="1477">
        <f t="shared" si="11"/>
        <v>111</v>
      </c>
      <c r="R45" s="709" t="s">
        <v>17</v>
      </c>
      <c r="S45" s="710">
        <f t="shared" si="12"/>
        <v>100</v>
      </c>
      <c r="T45" s="709" t="s">
        <v>17</v>
      </c>
      <c r="U45" s="710">
        <f t="shared" si="13"/>
        <v>100</v>
      </c>
      <c r="V45" s="709" t="s">
        <v>17</v>
      </c>
      <c r="W45" s="710">
        <f t="shared" si="14"/>
        <v>100</v>
      </c>
      <c r="X45" s="711"/>
      <c r="Y45" s="3773"/>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771"/>
      <c r="Q46" s="1486">
        <f t="shared" si="11"/>
        <v>111</v>
      </c>
      <c r="R46" s="713" t="s">
        <v>17</v>
      </c>
      <c r="S46" s="714">
        <f t="shared" si="12"/>
        <v>100</v>
      </c>
      <c r="T46" s="713" t="s">
        <v>17</v>
      </c>
      <c r="U46" s="714">
        <f t="shared" si="13"/>
        <v>100</v>
      </c>
      <c r="V46" s="713" t="s">
        <v>17</v>
      </c>
      <c r="W46" s="714">
        <f t="shared" si="14"/>
        <v>100</v>
      </c>
      <c r="X46" s="1489"/>
      <c r="Y46" s="3773"/>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772"/>
      <c r="Q47" s="1486">
        <f t="shared" si="11"/>
        <v>111</v>
      </c>
      <c r="R47" s="713" t="s">
        <v>17</v>
      </c>
      <c r="S47" s="714">
        <f t="shared" si="12"/>
        <v>100</v>
      </c>
      <c r="T47" s="713" t="s">
        <v>17</v>
      </c>
      <c r="U47" s="714">
        <f t="shared" si="13"/>
        <v>100</v>
      </c>
      <c r="V47" s="713" t="s">
        <v>17</v>
      </c>
      <c r="W47" s="714">
        <f t="shared" si="14"/>
        <v>100</v>
      </c>
      <c r="X47" s="1489"/>
      <c r="Y47" s="3774"/>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752" t="str">
        <f>A48</f>
        <v>成交单价（元/平方米）</v>
      </c>
      <c r="Q48" s="3775"/>
      <c r="R48" s="3776">
        <f>E48</f>
        <v>0</v>
      </c>
      <c r="S48" s="3776"/>
      <c r="T48" s="3776">
        <f>G48</f>
        <v>0</v>
      </c>
      <c r="U48" s="3776"/>
      <c r="V48" s="3776">
        <f>I48</f>
        <v>0</v>
      </c>
      <c r="W48" s="3776"/>
      <c r="X48" s="405"/>
      <c r="Y48" s="720"/>
      <c r="Z48" s="405"/>
      <c r="AA48" s="405"/>
      <c r="AB48" s="405"/>
      <c r="AC48" s="585"/>
    </row>
    <row r="49" spans="1:29" ht="15.75" thickBot="1">
      <c r="A49" s="445" t="s">
        <v>2248</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752" t="str">
        <f>A49</f>
        <v>比较价值（元/平方米）</v>
      </c>
      <c r="Q49" s="3775"/>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405"/>
      <c r="Y49" s="405"/>
      <c r="Z49" s="405"/>
      <c r="AA49" s="405"/>
      <c r="AB49" s="405"/>
      <c r="AC49" s="585"/>
    </row>
    <row r="50" spans="1:29" ht="15.75" thickBot="1">
      <c r="A50" s="449" t="s">
        <v>2249</v>
      </c>
      <c r="B50" s="450"/>
      <c r="C50" s="1277" t="e">
        <f>R50</f>
        <v>#DIV/0!</v>
      </c>
      <c r="D50" s="1277"/>
      <c r="E50" s="1277"/>
      <c r="F50" s="1277"/>
      <c r="G50" s="1277"/>
      <c r="H50" s="1277"/>
      <c r="I50" s="1277"/>
      <c r="J50" s="451"/>
      <c r="K50" s="723"/>
      <c r="L50" s="2902"/>
      <c r="M50" s="2894"/>
      <c r="N50" s="2894"/>
      <c r="O50" s="2894"/>
      <c r="P50" s="3822" t="str">
        <f>A50</f>
        <v>估价对象XX用房的比较价值（楼面单价，元/平方米）</v>
      </c>
      <c r="Q50" s="3823"/>
      <c r="R50" s="3824" t="e">
        <f>IF(F1="售价",ROUND(IF(D49="简单平均",AVERAGE(R49:V49),R49*F49+T49*H49+V49*J49),0),ROUND(IF(D49="简单平均",AVERAGE(R49:V49),R49*F49+T49*H49+V49*J49),1))</f>
        <v>#DIV/0!</v>
      </c>
      <c r="S50" s="3824"/>
      <c r="T50" s="3824"/>
      <c r="U50" s="3824"/>
      <c r="V50" s="3824"/>
      <c r="W50" s="382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2253</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2276</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5" t="s">
        <v>2254</v>
      </c>
      <c r="D83" s="615" t="s">
        <v>2255</v>
      </c>
      <c r="E83" s="615" t="s">
        <v>2256</v>
      </c>
      <c r="F83" s="615" t="s">
        <v>2257</v>
      </c>
      <c r="G83" s="615" t="s">
        <v>2258</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1"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C2" xr:uid="{00000000-0002-0000-2600-000016000000}">
      <formula1>"需扣减承租人权益,——"</formula1>
    </dataValidation>
    <dataValidation type="list" allowBlank="1" showInputMessage="1" showErrorMessage="1" sqref="F2" xr:uid="{00000000-0002-0000-2600-000017000000}">
      <formula1>估价方法</formula1>
    </dataValidation>
    <dataValidation type="list" allowBlank="1" showInputMessage="1" showErrorMessage="1" sqref="D49"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27" customWidth="1"/>
    <col min="2" max="2" width="37.125" style="1627" customWidth="1"/>
    <col min="3" max="3" width="11.375" style="1627" customWidth="1"/>
    <col min="4" max="4" width="31.62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估价结果一览表（市场价值不需“结果表-1”）</v>
      </c>
      <c r="B3" s="3452"/>
      <c r="C3" s="3452"/>
      <c r="D3" s="3452"/>
      <c r="E3" s="3452"/>
    </row>
    <row r="4" spans="1:5" ht="19.5" thickBot="1">
      <c r="A4" s="1628"/>
      <c r="B4" s="3450" t="s">
        <v>1354</v>
      </c>
      <c r="C4" s="3450"/>
      <c r="D4" s="3450"/>
      <c r="E4" s="1628"/>
    </row>
    <row r="5" spans="1:5" ht="16.5" thickTop="1">
      <c r="A5" s="1626"/>
      <c r="B5" s="3448" t="s">
        <v>1346</v>
      </c>
      <c r="C5" s="1629" t="s">
        <v>1347</v>
      </c>
      <c r="D5" s="939" t="e">
        <f ca="1">'结果表-商业'!H101</f>
        <v>#REF!</v>
      </c>
      <c r="E5" s="1626"/>
    </row>
    <row r="6" spans="1:5" ht="15.75">
      <c r="A6" s="1626"/>
      <c r="B6" s="3448"/>
      <c r="C6" s="1629" t="s">
        <v>1348</v>
      </c>
      <c r="D6" s="939" t="e">
        <f ca="1">NUMBERSTRING(INT(D5*10000),2)&amp;"元整"</f>
        <v>#REF!</v>
      </c>
      <c r="E6" s="1626"/>
    </row>
    <row r="7" spans="1:5" ht="15.75">
      <c r="A7" s="1626"/>
      <c r="B7" s="3453"/>
      <c r="C7" s="1630" t="s">
        <v>1349</v>
      </c>
      <c r="D7" s="940" t="e">
        <f ca="1">'结果表-商业'!H102</f>
        <v>#REF!</v>
      </c>
      <c r="E7" s="1626"/>
    </row>
    <row r="8" spans="1:5" ht="15.75">
      <c r="A8" s="1626"/>
      <c r="B8" s="3454" t="str">
        <f>'结果表-商业'!E103</f>
        <v>2.估价师知悉的法定优先受偿款</v>
      </c>
      <c r="C8" s="1631" t="s">
        <v>1350</v>
      </c>
      <c r="D8" s="940">
        <f>'结果表-商业'!H103</f>
        <v>0</v>
      </c>
      <c r="E8" s="1626"/>
    </row>
    <row r="9" spans="1:5" ht="15.75">
      <c r="A9" s="1626"/>
      <c r="B9" s="3456"/>
      <c r="C9" s="1629" t="s">
        <v>1348</v>
      </c>
      <c r="D9" s="939" t="str">
        <f>NUMBERSTRING(INT(D8*10000),2)&amp;"元整"</f>
        <v>零元整</v>
      </c>
      <c r="E9" s="1626"/>
    </row>
    <row r="10" spans="1:5" ht="15">
      <c r="A10" s="1626"/>
      <c r="B10" s="1632" t="s">
        <v>1353</v>
      </c>
      <c r="C10" s="1633" t="s">
        <v>1351</v>
      </c>
      <c r="D10" s="941">
        <f>'结果表-商业'!H104</f>
        <v>0</v>
      </c>
      <c r="E10" s="1626"/>
    </row>
    <row r="11" spans="1:5" ht="15">
      <c r="A11" s="1626"/>
      <c r="B11" s="1632" t="s">
        <v>1355</v>
      </c>
      <c r="C11" s="1633" t="s">
        <v>1356</v>
      </c>
      <c r="D11" s="941">
        <f>'结果表-商业'!H105</f>
        <v>0</v>
      </c>
      <c r="E11" s="1626"/>
    </row>
    <row r="12" spans="1:5" ht="15">
      <c r="A12" s="1626"/>
      <c r="B12" s="1632" t="s">
        <v>1357</v>
      </c>
      <c r="C12" s="1633" t="s">
        <v>1356</v>
      </c>
      <c r="D12" s="941">
        <f>'结果表-商业'!H106</f>
        <v>0</v>
      </c>
      <c r="E12" s="1626"/>
    </row>
    <row r="13" spans="1:5" ht="15.75">
      <c r="A13" s="1626"/>
      <c r="B13" s="3447" t="str">
        <f>'结果表-商业'!E107</f>
        <v>3.房地产抵押价值</v>
      </c>
      <c r="C13" s="1634" t="s">
        <v>1347</v>
      </c>
      <c r="D13" s="942" t="e">
        <f ca="1">'结果表-商业'!H107</f>
        <v>#REF!</v>
      </c>
      <c r="E13" s="1626"/>
    </row>
    <row r="14" spans="1:5" ht="15.75">
      <c r="A14" s="1626"/>
      <c r="B14" s="3448"/>
      <c r="C14" s="1629" t="s">
        <v>1348</v>
      </c>
      <c r="D14" s="939" t="e">
        <f ca="1">NUMBERSTRING(INT(D13*10000),2)&amp;"元整"</f>
        <v>#REF!</v>
      </c>
      <c r="E14" s="1626"/>
    </row>
    <row r="15" spans="1:5" ht="15">
      <c r="A15" s="1626"/>
      <c r="B15" s="3453"/>
      <c r="C15" s="1630" t="s">
        <v>1358</v>
      </c>
      <c r="D15" s="948" t="e">
        <f ca="1">'结果表-商业'!H108</f>
        <v>#REF!</v>
      </c>
      <c r="E15" s="1626"/>
    </row>
    <row r="16" spans="1:5" ht="15">
      <c r="A16" s="1626"/>
      <c r="B16" s="3454" t="str">
        <f>'结果表-商业'!E109</f>
        <v>——</v>
      </c>
      <c r="C16" s="1634" t="s">
        <v>1359</v>
      </c>
      <c r="D16" s="1635" t="str">
        <f>'结果表-商业'!H109</f>
        <v>——</v>
      </c>
      <c r="E16" s="1626"/>
    </row>
    <row r="17" spans="1:5" ht="15.75">
      <c r="A17" s="1626"/>
      <c r="B17" s="3455"/>
      <c r="C17" s="1629" t="s">
        <v>1360</v>
      </c>
      <c r="D17" s="939" t="e">
        <f>NUMBERSTRING(INT(D16*10000),2)&amp;"元整"</f>
        <v>#VALUE!</v>
      </c>
      <c r="E17" s="1626"/>
    </row>
    <row r="18" spans="1:5" ht="15">
      <c r="A18" s="1626"/>
      <c r="B18" s="3456"/>
      <c r="C18" s="1630" t="s">
        <v>1349</v>
      </c>
      <c r="D18" s="948" t="str">
        <f>'结果表-商业'!H110</f>
        <v>——</v>
      </c>
      <c r="E18" s="1626"/>
    </row>
    <row r="19" spans="1:5" ht="15.75">
      <c r="A19" s="1626"/>
      <c r="B19" s="3447" t="str">
        <f>'结果表-商业'!E111</f>
        <v>——</v>
      </c>
      <c r="C19" s="1634" t="s">
        <v>1347</v>
      </c>
      <c r="D19" s="940" t="str">
        <f>'结果表-商业'!H111</f>
        <v>——</v>
      </c>
      <c r="E19" s="1626"/>
    </row>
    <row r="20" spans="1:5" ht="15.75">
      <c r="A20" s="1626"/>
      <c r="B20" s="3448"/>
      <c r="C20" s="1629" t="s">
        <v>1360</v>
      </c>
      <c r="D20" s="939" t="e">
        <f>NUMBERSTRING(INT(D19*10000),2)&amp;"元整"</f>
        <v>#VALUE!</v>
      </c>
      <c r="E20" s="1626"/>
    </row>
    <row r="21" spans="1:5" ht="15.75" thickBot="1">
      <c r="A21" s="1626"/>
      <c r="B21" s="3449"/>
      <c r="C21" s="1636" t="s">
        <v>1358</v>
      </c>
      <c r="D21" s="949" t="str">
        <f>'结果表-商业'!H112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93" t="s">
        <v>2281</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58.81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753" t="s">
        <v>2226</v>
      </c>
      <c r="D4" s="3754"/>
      <c r="E4" s="3755" t="s">
        <v>2227</v>
      </c>
      <c r="F4" s="3756"/>
      <c r="G4" s="3753" t="s">
        <v>2228</v>
      </c>
      <c r="H4" s="3754"/>
      <c r="I4" s="3753" t="s">
        <v>2229</v>
      </c>
      <c r="J4" s="3754"/>
      <c r="K4" s="567" t="s">
        <v>2230</v>
      </c>
      <c r="L4" s="1024"/>
      <c r="M4" s="1025"/>
      <c r="N4" s="1025"/>
      <c r="O4" s="1025"/>
      <c r="P4" s="3757" t="s">
        <v>2231</v>
      </c>
      <c r="Q4" s="3758"/>
      <c r="R4" s="3744" t="s">
        <v>2227</v>
      </c>
      <c r="S4" s="3745"/>
      <c r="T4" s="3744" t="s">
        <v>2228</v>
      </c>
      <c r="U4" s="3745"/>
      <c r="V4" s="3741" t="s">
        <v>2229</v>
      </c>
      <c r="W4" s="3741"/>
      <c r="X4" s="1489"/>
      <c r="Y4" s="3744" t="s">
        <v>2231</v>
      </c>
      <c r="Z4" s="3745"/>
      <c r="AA4" s="3738" t="s">
        <v>2227</v>
      </c>
      <c r="AB4" s="3739" t="s">
        <v>2228</v>
      </c>
      <c r="AC4" s="3738" t="s">
        <v>2229</v>
      </c>
    </row>
    <row r="5" spans="1:29" ht="15">
      <c r="A5" s="364"/>
      <c r="B5" s="365"/>
      <c r="C5" s="3806" t="s">
        <v>2122</v>
      </c>
      <c r="D5" s="3749"/>
      <c r="E5" s="3804" t="s">
        <v>2123</v>
      </c>
      <c r="F5" s="3805"/>
      <c r="G5" s="3806" t="s">
        <v>2124</v>
      </c>
      <c r="H5" s="3749"/>
      <c r="I5" s="3806" t="s">
        <v>2125</v>
      </c>
      <c r="J5" s="3749"/>
      <c r="K5" s="567"/>
      <c r="L5" s="1024"/>
      <c r="M5" s="1025"/>
      <c r="N5" s="1025"/>
      <c r="O5" s="1025"/>
      <c r="P5" s="3759"/>
      <c r="Q5" s="3760"/>
      <c r="R5" s="3746"/>
      <c r="S5" s="3747"/>
      <c r="T5" s="3746"/>
      <c r="U5" s="3747"/>
      <c r="V5" s="3741"/>
      <c r="W5" s="3741"/>
      <c r="X5" s="1489"/>
      <c r="Y5" s="3746"/>
      <c r="Z5" s="3747"/>
      <c r="AA5" s="3739"/>
      <c r="AB5" s="3739"/>
      <c r="AC5" s="3739"/>
    </row>
    <row r="6" spans="1:29" ht="15.75" thickBot="1">
      <c r="A6" s="366"/>
      <c r="B6" s="367"/>
      <c r="C6" s="3807" t="s">
        <v>2126</v>
      </c>
      <c r="D6" s="3751"/>
      <c r="E6" s="3808" t="s">
        <v>2126</v>
      </c>
      <c r="F6" s="3809"/>
      <c r="G6" s="3807" t="s">
        <v>2126</v>
      </c>
      <c r="H6" s="3751"/>
      <c r="I6" s="3807" t="s">
        <v>2126</v>
      </c>
      <c r="J6" s="3751"/>
      <c r="K6" s="567" t="s">
        <v>2127</v>
      </c>
      <c r="L6" s="1024"/>
      <c r="M6" s="1025"/>
      <c r="N6" s="1025"/>
      <c r="O6" s="1025"/>
      <c r="P6" s="3761"/>
      <c r="Q6" s="3762"/>
      <c r="R6" s="3746"/>
      <c r="S6" s="3747"/>
      <c r="T6" s="3763"/>
      <c r="U6" s="3764"/>
      <c r="V6" s="3741"/>
      <c r="W6" s="3741"/>
      <c r="X6" s="1489"/>
      <c r="Y6" s="3763"/>
      <c r="Z6" s="3764"/>
      <c r="AA6" s="3740"/>
      <c r="AB6" s="3740"/>
      <c r="AC6" s="3740"/>
    </row>
    <row r="7" spans="1:29" s="113" customFormat="1" ht="15.75" thickBot="1">
      <c r="A7" s="368" t="s">
        <v>2128</v>
      </c>
      <c r="B7" s="369"/>
      <c r="C7" s="370">
        <f>'数据-取费表'!B2</f>
        <v>44868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742" t="s">
        <v>2129</v>
      </c>
      <c r="Q7" s="3765"/>
      <c r="R7" s="709" t="s">
        <v>17</v>
      </c>
      <c r="S7" s="710">
        <f t="shared" ref="S7:S15" si="0">F7</f>
        <v>0</v>
      </c>
      <c r="T7" s="709" t="s">
        <v>17</v>
      </c>
      <c r="U7" s="710">
        <f t="shared" ref="U7:U15" si="1">H7</f>
        <v>0</v>
      </c>
      <c r="V7" s="709" t="s">
        <v>17</v>
      </c>
      <c r="W7" s="710">
        <f t="shared" ref="W7:W15" si="2">J7</f>
        <v>0</v>
      </c>
      <c r="X7" s="711"/>
      <c r="Y7" s="3742" t="s">
        <v>2129</v>
      </c>
      <c r="Z7" s="3743"/>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742" t="s">
        <v>2132</v>
      </c>
      <c r="Q8" s="3743"/>
      <c r="R8" s="709" t="s">
        <v>17</v>
      </c>
      <c r="S8" s="710">
        <f t="shared" si="0"/>
        <v>0</v>
      </c>
      <c r="T8" s="709" t="s">
        <v>17</v>
      </c>
      <c r="U8" s="710">
        <f t="shared" si="1"/>
        <v>0</v>
      </c>
      <c r="V8" s="709" t="s">
        <v>17</v>
      </c>
      <c r="W8" s="710">
        <f t="shared" si="2"/>
        <v>0</v>
      </c>
      <c r="X8" s="711"/>
      <c r="Y8" s="3742" t="s">
        <v>2132</v>
      </c>
      <c r="Z8" s="3743"/>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775" t="s">
        <v>2135</v>
      </c>
      <c r="Q9" s="1477" t="str">
        <f t="shared" ref="Q9:Q15" si="6">B9</f>
        <v>用途</v>
      </c>
      <c r="R9" s="709" t="s">
        <v>17</v>
      </c>
      <c r="S9" s="710">
        <f t="shared" si="0"/>
        <v>100</v>
      </c>
      <c r="T9" s="709" t="s">
        <v>17</v>
      </c>
      <c r="U9" s="710">
        <f t="shared" si="1"/>
        <v>100</v>
      </c>
      <c r="V9" s="709" t="s">
        <v>17</v>
      </c>
      <c r="W9" s="710">
        <f t="shared" si="2"/>
        <v>100</v>
      </c>
      <c r="X9" s="711"/>
      <c r="Y9" s="3705"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775"/>
      <c r="Q10" s="1477" t="str">
        <f t="shared" si="6"/>
        <v>土地使用年限（年）</v>
      </c>
      <c r="R10" s="709" t="s">
        <v>17</v>
      </c>
      <c r="S10" s="710">
        <f t="shared" si="0"/>
        <v>100</v>
      </c>
      <c r="T10" s="709" t="s">
        <v>17</v>
      </c>
      <c r="U10" s="710">
        <f t="shared" si="1"/>
        <v>100</v>
      </c>
      <c r="V10" s="709" t="s">
        <v>17</v>
      </c>
      <c r="W10" s="710">
        <f t="shared" si="2"/>
        <v>100</v>
      </c>
      <c r="X10" s="711"/>
      <c r="Y10" s="3705"/>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775"/>
      <c r="Q11" s="1477" t="str">
        <f t="shared" si="6"/>
        <v>容积率</v>
      </c>
      <c r="R11" s="709" t="s">
        <v>17</v>
      </c>
      <c r="S11" s="710" t="e">
        <f t="shared" si="0"/>
        <v>#N/A</v>
      </c>
      <c r="T11" s="709" t="s">
        <v>17</v>
      </c>
      <c r="U11" s="710" t="e">
        <f t="shared" si="1"/>
        <v>#N/A</v>
      </c>
      <c r="V11" s="709" t="s">
        <v>17</v>
      </c>
      <c r="W11" s="710" t="e">
        <f t="shared" si="2"/>
        <v>#N/A</v>
      </c>
      <c r="X11" s="711"/>
      <c r="Y11" s="3705"/>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775"/>
      <c r="Q12" s="1477">
        <f t="shared" si="6"/>
        <v>111</v>
      </c>
      <c r="R12" s="709" t="s">
        <v>17</v>
      </c>
      <c r="S12" s="710">
        <f t="shared" si="0"/>
        <v>100</v>
      </c>
      <c r="T12" s="709" t="s">
        <v>17</v>
      </c>
      <c r="U12" s="710">
        <f t="shared" si="1"/>
        <v>100</v>
      </c>
      <c r="V12" s="709" t="s">
        <v>17</v>
      </c>
      <c r="W12" s="710">
        <f t="shared" si="2"/>
        <v>100</v>
      </c>
      <c r="X12" s="711"/>
      <c r="Y12" s="3705"/>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775"/>
      <c r="Q13" s="1477">
        <f t="shared" si="6"/>
        <v>111</v>
      </c>
      <c r="R13" s="709" t="s">
        <v>17</v>
      </c>
      <c r="S13" s="710">
        <f t="shared" si="0"/>
        <v>100</v>
      </c>
      <c r="T13" s="709" t="s">
        <v>17</v>
      </c>
      <c r="U13" s="710">
        <f t="shared" si="1"/>
        <v>100</v>
      </c>
      <c r="V13" s="709" t="s">
        <v>17</v>
      </c>
      <c r="W13" s="710">
        <f t="shared" si="2"/>
        <v>100</v>
      </c>
      <c r="X13" s="711"/>
      <c r="Y13" s="3705"/>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775"/>
      <c r="Q14" s="1477">
        <f t="shared" si="6"/>
        <v>111</v>
      </c>
      <c r="R14" s="709" t="s">
        <v>17</v>
      </c>
      <c r="S14" s="710">
        <f t="shared" si="0"/>
        <v>100</v>
      </c>
      <c r="T14" s="709" t="s">
        <v>17</v>
      </c>
      <c r="U14" s="710">
        <f t="shared" si="1"/>
        <v>100</v>
      </c>
      <c r="V14" s="709" t="s">
        <v>17</v>
      </c>
      <c r="W14" s="710">
        <f t="shared" si="2"/>
        <v>100</v>
      </c>
      <c r="X14" s="711"/>
      <c r="Y14" s="3705"/>
      <c r="Z14" s="55">
        <f t="shared" si="7"/>
        <v>111</v>
      </c>
      <c r="AA14" s="712">
        <f t="shared" si="3"/>
        <v>1</v>
      </c>
      <c r="AB14" s="712">
        <f t="shared" si="4"/>
        <v>1</v>
      </c>
      <c r="AC14" s="712">
        <f t="shared" si="5"/>
        <v>1</v>
      </c>
    </row>
    <row r="15" spans="1:29" ht="57">
      <c r="A15" s="399" t="s">
        <v>2139</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768" t="s">
        <v>2140</v>
      </c>
      <c r="Q15" s="1486" t="str">
        <f t="shared" si="6"/>
        <v>产业集聚程度</v>
      </c>
      <c r="R15" s="713" t="s">
        <v>17</v>
      </c>
      <c r="S15" s="714">
        <f t="shared" si="0"/>
        <v>100</v>
      </c>
      <c r="T15" s="713" t="s">
        <v>17</v>
      </c>
      <c r="U15" s="714">
        <f t="shared" si="1"/>
        <v>100</v>
      </c>
      <c r="V15" s="713" t="s">
        <v>17</v>
      </c>
      <c r="W15" s="714">
        <f t="shared" si="2"/>
        <v>100</v>
      </c>
      <c r="X15" s="1489"/>
      <c r="Y15" s="3768"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769"/>
      <c r="Q16" s="1486"/>
      <c r="R16" s="713"/>
      <c r="S16" s="714"/>
      <c r="T16" s="713"/>
      <c r="U16" s="714"/>
      <c r="V16" s="713"/>
      <c r="W16" s="714"/>
      <c r="X16" s="1489"/>
      <c r="Y16" s="3769"/>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769"/>
      <c r="Q17" s="1486" t="str">
        <f>B17</f>
        <v>交通便捷度</v>
      </c>
      <c r="R17" s="713" t="s">
        <v>17</v>
      </c>
      <c r="S17" s="714">
        <f>F17</f>
        <v>100</v>
      </c>
      <c r="T17" s="713" t="s">
        <v>17</v>
      </c>
      <c r="U17" s="714">
        <f>H17</f>
        <v>100</v>
      </c>
      <c r="V17" s="713" t="s">
        <v>17</v>
      </c>
      <c r="W17" s="714">
        <f>J17</f>
        <v>100</v>
      </c>
      <c r="X17" s="1489"/>
      <c r="Y17" s="3769"/>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769"/>
      <c r="Q18" s="1486"/>
      <c r="R18" s="713"/>
      <c r="S18" s="714"/>
      <c r="T18" s="713"/>
      <c r="U18" s="714"/>
      <c r="V18" s="713"/>
      <c r="W18" s="714"/>
      <c r="X18" s="1489"/>
      <c r="Y18" s="3769"/>
      <c r="Z18" s="1490"/>
      <c r="AA18" s="1487">
        <v>1</v>
      </c>
      <c r="AB18" s="1487">
        <v>1</v>
      </c>
      <c r="AC18" s="1487">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769"/>
      <c r="Q19" s="1486" t="str">
        <f>B19</f>
        <v>公共配套设施</v>
      </c>
      <c r="R19" s="713" t="s">
        <v>17</v>
      </c>
      <c r="S19" s="714">
        <f>F19</f>
        <v>100</v>
      </c>
      <c r="T19" s="713" t="s">
        <v>17</v>
      </c>
      <c r="U19" s="714">
        <f>H19</f>
        <v>100</v>
      </c>
      <c r="V19" s="713" t="s">
        <v>17</v>
      </c>
      <c r="W19" s="714">
        <f>J19</f>
        <v>100</v>
      </c>
      <c r="X19" s="1489"/>
      <c r="Y19" s="3769"/>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769"/>
      <c r="Q20" s="1486"/>
      <c r="R20" s="713"/>
      <c r="S20" s="714"/>
      <c r="T20" s="713"/>
      <c r="U20" s="714"/>
      <c r="V20" s="713"/>
      <c r="W20" s="714"/>
      <c r="X20" s="1489"/>
      <c r="Y20" s="3769"/>
      <c r="Z20" s="1490"/>
      <c r="AA20" s="1487">
        <v>1</v>
      </c>
      <c r="AB20" s="1487">
        <v>1</v>
      </c>
      <c r="AC20" s="1487">
        <v>1</v>
      </c>
    </row>
    <row r="21" spans="1:29" ht="28.5">
      <c r="A21" s="387"/>
      <c r="B21" s="1245"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769"/>
      <c r="Q21" s="1486" t="str">
        <f>B21</f>
        <v>基础设施水平</v>
      </c>
      <c r="R21" s="713" t="s">
        <v>17</v>
      </c>
      <c r="S21" s="714">
        <f>F21</f>
        <v>100</v>
      </c>
      <c r="T21" s="713" t="s">
        <v>17</v>
      </c>
      <c r="U21" s="714">
        <f>H21</f>
        <v>100</v>
      </c>
      <c r="V21" s="713" t="s">
        <v>17</v>
      </c>
      <c r="W21" s="714">
        <f>J21</f>
        <v>100</v>
      </c>
      <c r="X21" s="1489"/>
      <c r="Y21" s="3769"/>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769"/>
      <c r="Q22" s="1486"/>
      <c r="R22" s="713"/>
      <c r="S22" s="714"/>
      <c r="T22" s="713"/>
      <c r="U22" s="714"/>
      <c r="V22" s="713"/>
      <c r="W22" s="714"/>
      <c r="X22" s="1489"/>
      <c r="Y22" s="3769"/>
      <c r="Z22" s="1490"/>
      <c r="AA22" s="1487">
        <v>1</v>
      </c>
      <c r="AB22" s="1487">
        <v>1</v>
      </c>
      <c r="AC22" s="1487">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769"/>
      <c r="Q23" s="1486" t="str">
        <f>B23</f>
        <v>环境质量</v>
      </c>
      <c r="R23" s="713" t="s">
        <v>17</v>
      </c>
      <c r="S23" s="714">
        <f>F23</f>
        <v>100</v>
      </c>
      <c r="T23" s="713" t="s">
        <v>17</v>
      </c>
      <c r="U23" s="714">
        <f>H23</f>
        <v>100</v>
      </c>
      <c r="V23" s="713" t="s">
        <v>17</v>
      </c>
      <c r="W23" s="714">
        <f>J23</f>
        <v>100</v>
      </c>
      <c r="X23" s="1489"/>
      <c r="Y23" s="3769"/>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769"/>
      <c r="Q24" s="1486"/>
      <c r="R24" s="713"/>
      <c r="S24" s="714"/>
      <c r="T24" s="713"/>
      <c r="U24" s="714"/>
      <c r="V24" s="713"/>
      <c r="W24" s="714"/>
      <c r="X24" s="1489"/>
      <c r="Y24" s="3769"/>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769"/>
      <c r="Q25" s="1486">
        <f>B25</f>
        <v>111</v>
      </c>
      <c r="R25" s="713" t="s">
        <v>17</v>
      </c>
      <c r="S25" s="714">
        <f>F25</f>
        <v>100</v>
      </c>
      <c r="T25" s="713" t="s">
        <v>17</v>
      </c>
      <c r="U25" s="714">
        <f>H25</f>
        <v>100</v>
      </c>
      <c r="V25" s="713" t="s">
        <v>17</v>
      </c>
      <c r="W25" s="714">
        <f>J25</f>
        <v>100</v>
      </c>
      <c r="X25" s="1489"/>
      <c r="Y25" s="3769"/>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769"/>
      <c r="Q26" s="1486">
        <f t="shared" ref="Q26:Q40" si="11">B26</f>
        <v>111</v>
      </c>
      <c r="R26" s="713" t="s">
        <v>17</v>
      </c>
      <c r="S26" s="714">
        <f>F26</f>
        <v>100</v>
      </c>
      <c r="T26" s="713" t="s">
        <v>17</v>
      </c>
      <c r="U26" s="714">
        <f>H26</f>
        <v>100</v>
      </c>
      <c r="V26" s="713" t="s">
        <v>17</v>
      </c>
      <c r="W26" s="714">
        <f>J26</f>
        <v>100</v>
      </c>
      <c r="X26" s="1489"/>
      <c r="Y26" s="3769"/>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769"/>
      <c r="Q27" s="1477">
        <f t="shared" si="11"/>
        <v>111</v>
      </c>
      <c r="R27" s="709" t="s">
        <v>17</v>
      </c>
      <c r="S27" s="710">
        <f>F27</f>
        <v>100</v>
      </c>
      <c r="T27" s="709" t="s">
        <v>17</v>
      </c>
      <c r="U27" s="710">
        <f>H27</f>
        <v>100</v>
      </c>
      <c r="V27" s="709" t="s">
        <v>17</v>
      </c>
      <c r="W27" s="710">
        <f>J27</f>
        <v>100</v>
      </c>
      <c r="X27" s="711"/>
      <c r="Y27" s="3769"/>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769"/>
      <c r="Q28" s="1486">
        <f t="shared" si="11"/>
        <v>111</v>
      </c>
      <c r="R28" s="713" t="s">
        <v>17</v>
      </c>
      <c r="S28" s="714">
        <f t="shared" ref="S28:S40" si="12">F28</f>
        <v>100</v>
      </c>
      <c r="T28" s="713" t="s">
        <v>17</v>
      </c>
      <c r="U28" s="714">
        <f t="shared" ref="U28:U40" si="13">H28</f>
        <v>100</v>
      </c>
      <c r="V28" s="713" t="s">
        <v>17</v>
      </c>
      <c r="W28" s="714">
        <f t="shared" ref="W28:W40" si="14">J28</f>
        <v>100</v>
      </c>
      <c r="X28" s="1489"/>
      <c r="Y28" s="3769"/>
      <c r="Z28" s="1490">
        <f t="shared" ref="Z28:Z40" si="15">Q28</f>
        <v>111</v>
      </c>
      <c r="AA28" s="1487">
        <f t="shared" si="3"/>
        <v>1</v>
      </c>
      <c r="AB28" s="1487">
        <f t="shared" si="4"/>
        <v>1</v>
      </c>
      <c r="AC28" s="1487">
        <f t="shared" si="5"/>
        <v>1</v>
      </c>
    </row>
    <row r="29" spans="1:29" ht="15">
      <c r="A29" s="425" t="s">
        <v>2143</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825" t="s">
        <v>2145</v>
      </c>
      <c r="Q29" s="1486" t="str">
        <f t="shared" si="11"/>
        <v>建筑类型</v>
      </c>
      <c r="R29" s="713" t="s">
        <v>17</v>
      </c>
      <c r="S29" s="714">
        <f t="shared" si="12"/>
        <v>100</v>
      </c>
      <c r="T29" s="713" t="s">
        <v>17</v>
      </c>
      <c r="U29" s="714">
        <f t="shared" si="13"/>
        <v>100</v>
      </c>
      <c r="V29" s="713" t="s">
        <v>17</v>
      </c>
      <c r="W29" s="714">
        <f t="shared" si="14"/>
        <v>100</v>
      </c>
      <c r="X29" s="1489"/>
      <c r="Y29" s="3773"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773"/>
      <c r="Q30" s="715" t="str">
        <f t="shared" si="11"/>
        <v>项目建筑规模</v>
      </c>
      <c r="R30" s="716" t="s">
        <v>17</v>
      </c>
      <c r="S30" s="717" t="e">
        <f t="shared" si="12"/>
        <v>#N/A</v>
      </c>
      <c r="T30" s="716" t="s">
        <v>17</v>
      </c>
      <c r="U30" s="717" t="e">
        <f t="shared" si="13"/>
        <v>#N/A</v>
      </c>
      <c r="V30" s="716" t="s">
        <v>17</v>
      </c>
      <c r="W30" s="717" t="e">
        <f t="shared" si="14"/>
        <v>#N/A</v>
      </c>
      <c r="X30" s="718"/>
      <c r="Y30" s="3773"/>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773"/>
      <c r="Q31" s="1486" t="str">
        <f t="shared" si="11"/>
        <v>建筑结构</v>
      </c>
      <c r="R31" s="713" t="s">
        <v>17</v>
      </c>
      <c r="S31" s="714">
        <f t="shared" si="12"/>
        <v>100</v>
      </c>
      <c r="T31" s="713" t="s">
        <v>17</v>
      </c>
      <c r="U31" s="714">
        <f t="shared" si="13"/>
        <v>100</v>
      </c>
      <c r="V31" s="713" t="s">
        <v>17</v>
      </c>
      <c r="W31" s="714">
        <f t="shared" si="14"/>
        <v>100</v>
      </c>
      <c r="X31" s="1489"/>
      <c r="Y31" s="3773"/>
      <c r="Z31" s="1490" t="str">
        <f t="shared" si="15"/>
        <v>建筑结构</v>
      </c>
      <c r="AA31" s="1487">
        <f t="shared" si="3"/>
        <v>1</v>
      </c>
      <c r="AB31" s="1487">
        <f t="shared" si="4"/>
        <v>1</v>
      </c>
      <c r="AC31" s="1487">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773"/>
      <c r="Q32" s="1486" t="str">
        <f t="shared" si="11"/>
        <v>公共部分装修</v>
      </c>
      <c r="R32" s="713" t="s">
        <v>17</v>
      </c>
      <c r="S32" s="714">
        <f t="shared" si="12"/>
        <v>100</v>
      </c>
      <c r="T32" s="713" t="s">
        <v>17</v>
      </c>
      <c r="U32" s="714">
        <f t="shared" si="13"/>
        <v>100</v>
      </c>
      <c r="V32" s="713" t="s">
        <v>17</v>
      </c>
      <c r="W32" s="714">
        <f t="shared" si="14"/>
        <v>100</v>
      </c>
      <c r="X32" s="1489"/>
      <c r="Y32" s="3773"/>
      <c r="Z32" s="1490" t="str">
        <f t="shared" si="15"/>
        <v>公共部分装修</v>
      </c>
      <c r="AA32" s="1487">
        <f t="shared" si="3"/>
        <v>1</v>
      </c>
      <c r="AB32" s="1487">
        <f t="shared" si="4"/>
        <v>1</v>
      </c>
      <c r="AC32" s="1487">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773"/>
      <c r="Q33" s="1486" t="str">
        <f t="shared" si="11"/>
        <v>成新度</v>
      </c>
      <c r="R33" s="713" t="s">
        <v>17</v>
      </c>
      <c r="S33" s="714" t="e">
        <f t="shared" si="12"/>
        <v>#N/A</v>
      </c>
      <c r="T33" s="713" t="s">
        <v>17</v>
      </c>
      <c r="U33" s="714" t="e">
        <f t="shared" si="13"/>
        <v>#N/A</v>
      </c>
      <c r="V33" s="713" t="s">
        <v>17</v>
      </c>
      <c r="W33" s="714" t="e">
        <f t="shared" si="14"/>
        <v>#N/A</v>
      </c>
      <c r="X33" s="1489"/>
      <c r="Y33" s="3773"/>
      <c r="Z33" s="1490" t="str">
        <f t="shared" si="15"/>
        <v>成新度</v>
      </c>
      <c r="AA33" s="1487" t="e">
        <f t="shared" si="3"/>
        <v>#N/A</v>
      </c>
      <c r="AB33" s="1487" t="e">
        <f t="shared" si="4"/>
        <v>#N/A</v>
      </c>
      <c r="AC33" s="1487"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773"/>
      <c r="Q34" s="1477" t="str">
        <f t="shared" si="11"/>
        <v>物业管理</v>
      </c>
      <c r="R34" s="709" t="s">
        <v>17</v>
      </c>
      <c r="S34" s="710">
        <f t="shared" si="12"/>
        <v>100</v>
      </c>
      <c r="T34" s="709" t="s">
        <v>17</v>
      </c>
      <c r="U34" s="710">
        <f t="shared" si="13"/>
        <v>100</v>
      </c>
      <c r="V34" s="709" t="s">
        <v>17</v>
      </c>
      <c r="W34" s="710">
        <f t="shared" si="14"/>
        <v>100</v>
      </c>
      <c r="X34" s="711"/>
      <c r="Y34" s="3773"/>
      <c r="Z34" s="55" t="str">
        <f t="shared" si="15"/>
        <v>物业管理</v>
      </c>
      <c r="AA34" s="712">
        <f t="shared" si="3"/>
        <v>1</v>
      </c>
      <c r="AB34" s="712">
        <f t="shared" si="4"/>
        <v>1</v>
      </c>
      <c r="AC34" s="712">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773" t="s">
        <v>2145</v>
      </c>
      <c r="Q35" s="1486" t="str">
        <f t="shared" si="11"/>
        <v>市政基础设施</v>
      </c>
      <c r="R35" s="713" t="s">
        <v>17</v>
      </c>
      <c r="S35" s="714">
        <f t="shared" si="12"/>
        <v>100</v>
      </c>
      <c r="T35" s="713" t="s">
        <v>17</v>
      </c>
      <c r="U35" s="714">
        <f t="shared" si="13"/>
        <v>100</v>
      </c>
      <c r="V35" s="713" t="s">
        <v>17</v>
      </c>
      <c r="W35" s="714">
        <f t="shared" si="14"/>
        <v>100</v>
      </c>
      <c r="X35" s="1489"/>
      <c r="Y35" s="3773" t="s">
        <v>2145</v>
      </c>
      <c r="Z35" s="1490" t="str">
        <f t="shared" si="15"/>
        <v>市政基础设施</v>
      </c>
      <c r="AA35" s="1487">
        <f t="shared" si="3"/>
        <v>1</v>
      </c>
      <c r="AB35" s="1487">
        <f t="shared" si="4"/>
        <v>1</v>
      </c>
      <c r="AC35" s="1487">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773"/>
      <c r="Q36" s="1486" t="str">
        <f t="shared" si="11"/>
        <v>内部装修</v>
      </c>
      <c r="R36" s="713" t="s">
        <v>17</v>
      </c>
      <c r="S36" s="714">
        <f t="shared" si="12"/>
        <v>100</v>
      </c>
      <c r="T36" s="713" t="s">
        <v>17</v>
      </c>
      <c r="U36" s="714">
        <f t="shared" si="13"/>
        <v>100</v>
      </c>
      <c r="V36" s="713" t="s">
        <v>17</v>
      </c>
      <c r="W36" s="714">
        <f t="shared" si="14"/>
        <v>100</v>
      </c>
      <c r="X36" s="1489"/>
      <c r="Y36" s="3773"/>
      <c r="Z36" s="1490" t="str">
        <f t="shared" si="15"/>
        <v>内部装修</v>
      </c>
      <c r="AA36" s="1487">
        <f t="shared" si="3"/>
        <v>1</v>
      </c>
      <c r="AB36" s="1487">
        <f t="shared" si="4"/>
        <v>1</v>
      </c>
      <c r="AC36" s="1487">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773"/>
      <c r="Q37" s="1486" t="str">
        <f t="shared" si="11"/>
        <v>内部装修状况</v>
      </c>
      <c r="R37" s="713" t="s">
        <v>17</v>
      </c>
      <c r="S37" s="714">
        <f t="shared" si="12"/>
        <v>100</v>
      </c>
      <c r="T37" s="713" t="s">
        <v>17</v>
      </c>
      <c r="U37" s="714">
        <f t="shared" si="13"/>
        <v>100</v>
      </c>
      <c r="V37" s="713" t="s">
        <v>17</v>
      </c>
      <c r="W37" s="714">
        <f t="shared" si="14"/>
        <v>100</v>
      </c>
      <c r="X37" s="1489"/>
      <c r="Y37" s="3773"/>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773"/>
      <c r="Q38" s="715">
        <f t="shared" si="11"/>
        <v>111</v>
      </c>
      <c r="R38" s="716" t="s">
        <v>17</v>
      </c>
      <c r="S38" s="717">
        <f t="shared" si="12"/>
        <v>100</v>
      </c>
      <c r="T38" s="716" t="s">
        <v>17</v>
      </c>
      <c r="U38" s="717">
        <f t="shared" si="13"/>
        <v>100</v>
      </c>
      <c r="V38" s="716" t="s">
        <v>17</v>
      </c>
      <c r="W38" s="717">
        <f t="shared" si="14"/>
        <v>100</v>
      </c>
      <c r="X38" s="718"/>
      <c r="Y38" s="3773"/>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773"/>
      <c r="Q39" s="1486">
        <f t="shared" si="11"/>
        <v>111</v>
      </c>
      <c r="R39" s="713" t="s">
        <v>17</v>
      </c>
      <c r="S39" s="714">
        <f t="shared" si="12"/>
        <v>100</v>
      </c>
      <c r="T39" s="713" t="s">
        <v>17</v>
      </c>
      <c r="U39" s="714">
        <f t="shared" si="13"/>
        <v>100</v>
      </c>
      <c r="V39" s="713" t="s">
        <v>17</v>
      </c>
      <c r="W39" s="714">
        <f t="shared" si="14"/>
        <v>100</v>
      </c>
      <c r="X39" s="1489"/>
      <c r="Y39" s="3773"/>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774"/>
      <c r="Q40" s="1486">
        <f t="shared" si="11"/>
        <v>111</v>
      </c>
      <c r="R40" s="713" t="s">
        <v>17</v>
      </c>
      <c r="S40" s="714">
        <f t="shared" si="12"/>
        <v>100</v>
      </c>
      <c r="T40" s="713" t="s">
        <v>17</v>
      </c>
      <c r="U40" s="714">
        <f t="shared" si="13"/>
        <v>100</v>
      </c>
      <c r="V40" s="713" t="s">
        <v>17</v>
      </c>
      <c r="W40" s="714">
        <f t="shared" si="14"/>
        <v>100</v>
      </c>
      <c r="X40" s="1489"/>
      <c r="Y40" s="3774"/>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775" t="str">
        <f>A41</f>
        <v>成交单价（元/平方米）</v>
      </c>
      <c r="Q41" s="3775"/>
      <c r="R41" s="3776">
        <f>E41</f>
        <v>0</v>
      </c>
      <c r="S41" s="3776"/>
      <c r="T41" s="3776">
        <f>G41</f>
        <v>0</v>
      </c>
      <c r="U41" s="3776"/>
      <c r="V41" s="3776">
        <f>I41</f>
        <v>0</v>
      </c>
      <c r="W41" s="3776"/>
      <c r="X41" s="698"/>
      <c r="Y41" s="720"/>
      <c r="Z41" s="698"/>
      <c r="AA41" s="698"/>
      <c r="AB41" s="698"/>
      <c r="AC41" s="698"/>
    </row>
    <row r="42" spans="1:29" ht="15.75" thickBot="1">
      <c r="A42" s="445" t="s">
        <v>2248</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775" t="str">
        <f>A42</f>
        <v>比较价值（元/平方米）</v>
      </c>
      <c r="Q42" s="3775"/>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698"/>
      <c r="Y42" s="698"/>
      <c r="Z42" s="698"/>
      <c r="AA42" s="698"/>
      <c r="AB42" s="698"/>
      <c r="AC42" s="698"/>
    </row>
    <row r="43" spans="1:29" ht="15.75" thickBot="1">
      <c r="A43" s="449" t="s">
        <v>2249</v>
      </c>
      <c r="B43" s="450"/>
      <c r="C43" s="1277" t="e">
        <f>R43</f>
        <v>#DIV/0!</v>
      </c>
      <c r="D43" s="1277"/>
      <c r="E43" s="1277"/>
      <c r="F43" s="1277"/>
      <c r="G43" s="1277"/>
      <c r="H43" s="1277"/>
      <c r="I43" s="1277"/>
      <c r="J43" s="1277"/>
      <c r="K43" s="723"/>
      <c r="L43" s="1037"/>
      <c r="M43" s="1038"/>
      <c r="N43" s="1038"/>
      <c r="O43" s="1038"/>
      <c r="P43" s="3777" t="str">
        <f>A43</f>
        <v>估价对象XX用房的比较价值（楼面单价，元/平方米）</v>
      </c>
      <c r="Q43" s="3778"/>
      <c r="R43" s="3779" t="e">
        <f>IF(F1="售价",ROUND(IF(D42="简单平均",AVERAGE(R42:V42),R42*F42+T42*H42+V42*J42),0),ROUND(IF(D42="简单平均",AVERAGE(R42:V42),R42*F42+T42*H42+V42*J42),1))</f>
        <v>#DIV/0!</v>
      </c>
      <c r="S43" s="3779"/>
      <c r="T43" s="3779"/>
      <c r="U43" s="3779"/>
      <c r="V43" s="3779"/>
      <c r="W43" s="3779"/>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2253</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4">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2284</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2268</v>
      </c>
      <c r="C76" s="615" t="s">
        <v>2254</v>
      </c>
      <c r="D76" s="615" t="s">
        <v>2255</v>
      </c>
      <c r="E76" s="615" t="s">
        <v>2256</v>
      </c>
      <c r="F76" s="615" t="s">
        <v>2257</v>
      </c>
      <c r="G76" s="615" t="s">
        <v>2258</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5"/>
      <c r="O77" s="1045"/>
      <c r="P77" s="45"/>
      <c r="Q77" s="461"/>
    </row>
    <row r="78" spans="1:17" ht="15.75" thickTop="1">
      <c r="A78" s="491"/>
      <c r="B78" s="495" t="s">
        <v>2277</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8"/>
      <c r="J98" s="578"/>
      <c r="K98" s="579"/>
      <c r="L98" s="580"/>
      <c r="M98" s="581"/>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1" t="s">
        <v>2285</v>
      </c>
      <c r="C106" s="535" t="s">
        <v>2177</v>
      </c>
      <c r="D106" s="535" t="s">
        <v>2178</v>
      </c>
      <c r="E106" s="535" t="s">
        <v>2179</v>
      </c>
      <c r="F106" s="535" t="s">
        <v>2180</v>
      </c>
      <c r="G106" s="535" t="s">
        <v>2181</v>
      </c>
      <c r="H106" s="496"/>
      <c r="I106" s="496"/>
      <c r="J106" s="496"/>
      <c r="K106" s="497"/>
      <c r="L106" s="498"/>
      <c r="M106" s="499"/>
      <c r="N106" s="1045"/>
      <c r="O106" s="1045"/>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E20 I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C2" xr:uid="{00000000-0002-0000-2700-000011000000}">
      <formula1>"需扣减承租人权益,——"</formula1>
    </dataValidation>
    <dataValidation type="list" allowBlank="1" showInputMessage="1" showErrorMessage="1" sqref="F2" xr:uid="{00000000-0002-0000-2700-000012000000}">
      <formula1>估价方法</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1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2286</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2287</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753" t="s">
        <v>2226</v>
      </c>
      <c r="D4" s="3754"/>
      <c r="E4" s="3755" t="s">
        <v>2227</v>
      </c>
      <c r="F4" s="3756"/>
      <c r="G4" s="3753" t="s">
        <v>2228</v>
      </c>
      <c r="H4" s="3754"/>
      <c r="I4" s="3753" t="s">
        <v>2229</v>
      </c>
      <c r="J4" s="3754"/>
      <c r="K4" s="567" t="s">
        <v>2230</v>
      </c>
      <c r="L4" s="2893"/>
      <c r="M4" s="2894"/>
      <c r="N4" s="2894"/>
      <c r="O4" s="2894"/>
      <c r="P4" s="3757" t="s">
        <v>2231</v>
      </c>
      <c r="Q4" s="3758"/>
      <c r="R4" s="3744" t="s">
        <v>2227</v>
      </c>
      <c r="S4" s="3745"/>
      <c r="T4" s="3744" t="s">
        <v>2228</v>
      </c>
      <c r="U4" s="3745"/>
      <c r="V4" s="3741" t="s">
        <v>2229</v>
      </c>
      <c r="W4" s="3741"/>
      <c r="X4" s="1489"/>
      <c r="Y4" s="3744" t="s">
        <v>2231</v>
      </c>
      <c r="Z4" s="3745"/>
      <c r="AA4" s="3738" t="s">
        <v>2227</v>
      </c>
      <c r="AB4" s="3739" t="s">
        <v>2228</v>
      </c>
      <c r="AC4" s="3738" t="s">
        <v>2229</v>
      </c>
    </row>
    <row r="5" spans="1:29" ht="15">
      <c r="A5" s="364"/>
      <c r="B5" s="365"/>
      <c r="C5" s="3806" t="s">
        <v>2122</v>
      </c>
      <c r="D5" s="3749"/>
      <c r="E5" s="3804" t="s">
        <v>2123</v>
      </c>
      <c r="F5" s="3805"/>
      <c r="G5" s="3806" t="s">
        <v>2124</v>
      </c>
      <c r="H5" s="3749"/>
      <c r="I5" s="3806" t="s">
        <v>2125</v>
      </c>
      <c r="J5" s="3749"/>
      <c r="K5" s="567"/>
      <c r="L5" s="2893"/>
      <c r="M5" s="2894"/>
      <c r="N5" s="2894"/>
      <c r="O5" s="2894"/>
      <c r="P5" s="3759"/>
      <c r="Q5" s="3760"/>
      <c r="R5" s="3746"/>
      <c r="S5" s="3747"/>
      <c r="T5" s="3746"/>
      <c r="U5" s="3747"/>
      <c r="V5" s="3741"/>
      <c r="W5" s="3741"/>
      <c r="X5" s="1489"/>
      <c r="Y5" s="3746"/>
      <c r="Z5" s="3747"/>
      <c r="AA5" s="3739"/>
      <c r="AB5" s="3739"/>
      <c r="AC5" s="3739"/>
    </row>
    <row r="6" spans="1:29" ht="15.75" thickBot="1">
      <c r="A6" s="366"/>
      <c r="B6" s="367"/>
      <c r="C6" s="3807" t="s">
        <v>2126</v>
      </c>
      <c r="D6" s="3751"/>
      <c r="E6" s="3808" t="s">
        <v>2126</v>
      </c>
      <c r="F6" s="3809"/>
      <c r="G6" s="3807" t="s">
        <v>2126</v>
      </c>
      <c r="H6" s="3751"/>
      <c r="I6" s="3807" t="s">
        <v>2126</v>
      </c>
      <c r="J6" s="3751"/>
      <c r="K6" s="567" t="s">
        <v>2127</v>
      </c>
      <c r="L6" s="2893"/>
      <c r="M6" s="2894"/>
      <c r="N6" s="2894"/>
      <c r="O6" s="2894"/>
      <c r="P6" s="3761"/>
      <c r="Q6" s="3762"/>
      <c r="R6" s="3746"/>
      <c r="S6" s="3747"/>
      <c r="T6" s="3763"/>
      <c r="U6" s="3764"/>
      <c r="V6" s="3741"/>
      <c r="W6" s="3741"/>
      <c r="X6" s="1489"/>
      <c r="Y6" s="3763"/>
      <c r="Z6" s="3764"/>
      <c r="AA6" s="3740"/>
      <c r="AB6" s="3740"/>
      <c r="AC6" s="3740"/>
    </row>
    <row r="7" spans="1:29" s="113" customFormat="1" ht="15.75" thickBot="1">
      <c r="A7" s="368" t="s">
        <v>2128</v>
      </c>
      <c r="B7" s="369"/>
      <c r="C7" s="370">
        <f>'数据-取费表'!B2</f>
        <v>44868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742" t="s">
        <v>2129</v>
      </c>
      <c r="Q7" s="3765"/>
      <c r="R7" s="709" t="s">
        <v>17</v>
      </c>
      <c r="S7" s="710">
        <f t="shared" ref="S7:S14" si="0">F7</f>
        <v>0</v>
      </c>
      <c r="T7" s="709" t="s">
        <v>17</v>
      </c>
      <c r="U7" s="710">
        <f t="shared" ref="U7:U14" si="1">H7</f>
        <v>0</v>
      </c>
      <c r="V7" s="709" t="s">
        <v>17</v>
      </c>
      <c r="W7" s="710">
        <f t="shared" ref="W7:W14" si="2">J7</f>
        <v>0</v>
      </c>
      <c r="X7" s="711"/>
      <c r="Y7" s="3742" t="s">
        <v>2129</v>
      </c>
      <c r="Z7" s="3743"/>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742" t="s">
        <v>2132</v>
      </c>
      <c r="Q8" s="3743"/>
      <c r="R8" s="709" t="s">
        <v>17</v>
      </c>
      <c r="S8" s="710">
        <f t="shared" si="0"/>
        <v>0</v>
      </c>
      <c r="T8" s="709" t="s">
        <v>17</v>
      </c>
      <c r="U8" s="710">
        <f t="shared" si="1"/>
        <v>0</v>
      </c>
      <c r="V8" s="709" t="s">
        <v>17</v>
      </c>
      <c r="W8" s="710">
        <f t="shared" si="2"/>
        <v>0</v>
      </c>
      <c r="X8" s="711"/>
      <c r="Y8" s="3742" t="s">
        <v>2132</v>
      </c>
      <c r="Z8" s="3743"/>
      <c r="AA8" s="712" t="e">
        <f t="shared" ref="AA8:AA36" si="3">D8/F8</f>
        <v>#DIV/0!</v>
      </c>
      <c r="AB8" s="712" t="e">
        <f t="shared" ref="AB8:AB36" si="4">D8/H8</f>
        <v>#DIV/0!</v>
      </c>
      <c r="AC8" s="712"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775" t="s">
        <v>2135</v>
      </c>
      <c r="Q9" s="1477" t="str">
        <f t="shared" ref="Q9:Q14" si="6">B9</f>
        <v>用途</v>
      </c>
      <c r="R9" s="709" t="s">
        <v>17</v>
      </c>
      <c r="S9" s="710">
        <f t="shared" si="0"/>
        <v>100</v>
      </c>
      <c r="T9" s="709" t="s">
        <v>17</v>
      </c>
      <c r="U9" s="710">
        <f t="shared" si="1"/>
        <v>100</v>
      </c>
      <c r="V9" s="709" t="s">
        <v>17</v>
      </c>
      <c r="W9" s="710">
        <f t="shared" si="2"/>
        <v>100</v>
      </c>
      <c r="X9" s="711"/>
      <c r="Y9" s="3705" t="s">
        <v>2136</v>
      </c>
      <c r="Z9" s="55" t="str">
        <f t="shared" ref="Z9:Z14" si="7">Q9</f>
        <v>用途</v>
      </c>
      <c r="AA9" s="712">
        <f t="shared" si="3"/>
        <v>1</v>
      </c>
      <c r="AB9" s="712">
        <f t="shared" si="4"/>
        <v>1</v>
      </c>
      <c r="AC9" s="712">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775"/>
      <c r="Q10" s="1477" t="str">
        <f t="shared" si="6"/>
        <v>土地使用年限（年）</v>
      </c>
      <c r="R10" s="709" t="s">
        <v>17</v>
      </c>
      <c r="S10" s="710">
        <f t="shared" si="0"/>
        <v>100</v>
      </c>
      <c r="T10" s="709" t="s">
        <v>17</v>
      </c>
      <c r="U10" s="710">
        <f t="shared" si="1"/>
        <v>100</v>
      </c>
      <c r="V10" s="709" t="s">
        <v>17</v>
      </c>
      <c r="W10" s="710">
        <f t="shared" si="2"/>
        <v>100</v>
      </c>
      <c r="X10" s="711"/>
      <c r="Y10" s="3705"/>
      <c r="Z10" s="55" t="str">
        <f t="shared" si="7"/>
        <v>土地使用年限（年）</v>
      </c>
      <c r="AA10" s="712">
        <f t="shared" si="3"/>
        <v>1</v>
      </c>
      <c r="AB10" s="712">
        <f t="shared" si="4"/>
        <v>1</v>
      </c>
      <c r="AC10" s="712">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775"/>
      <c r="Q11" s="1477">
        <f t="shared" si="6"/>
        <v>111</v>
      </c>
      <c r="R11" s="709" t="s">
        <v>17</v>
      </c>
      <c r="S11" s="710">
        <f t="shared" si="0"/>
        <v>100</v>
      </c>
      <c r="T11" s="709" t="s">
        <v>17</v>
      </c>
      <c r="U11" s="710">
        <f t="shared" si="1"/>
        <v>100</v>
      </c>
      <c r="V11" s="709" t="s">
        <v>17</v>
      </c>
      <c r="W11" s="710">
        <f t="shared" si="2"/>
        <v>100</v>
      </c>
      <c r="X11" s="711"/>
      <c r="Y11" s="3705"/>
      <c r="Z11" s="55">
        <f t="shared" si="7"/>
        <v>111</v>
      </c>
      <c r="AA11" s="712">
        <f t="shared" si="3"/>
        <v>1</v>
      </c>
      <c r="AB11" s="712">
        <f t="shared" si="4"/>
        <v>1</v>
      </c>
      <c r="AC11" s="712">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775"/>
      <c r="Q12" s="1477">
        <f t="shared" si="6"/>
        <v>111</v>
      </c>
      <c r="R12" s="709" t="s">
        <v>17</v>
      </c>
      <c r="S12" s="710">
        <f t="shared" si="0"/>
        <v>100</v>
      </c>
      <c r="T12" s="709" t="s">
        <v>17</v>
      </c>
      <c r="U12" s="710">
        <f t="shared" si="1"/>
        <v>100</v>
      </c>
      <c r="V12" s="709" t="s">
        <v>17</v>
      </c>
      <c r="W12" s="710">
        <f t="shared" si="2"/>
        <v>100</v>
      </c>
      <c r="X12" s="711"/>
      <c r="Y12" s="3705"/>
      <c r="Z12" s="55">
        <f t="shared" si="7"/>
        <v>111</v>
      </c>
      <c r="AA12" s="712">
        <f>D12/F12</f>
        <v>1</v>
      </c>
      <c r="AB12" s="712">
        <f>D12/H12</f>
        <v>1</v>
      </c>
      <c r="AC12" s="712">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775"/>
      <c r="Q13" s="1477">
        <f t="shared" si="6"/>
        <v>111</v>
      </c>
      <c r="R13" s="709" t="s">
        <v>17</v>
      </c>
      <c r="S13" s="710">
        <f t="shared" si="0"/>
        <v>100</v>
      </c>
      <c r="T13" s="709" t="s">
        <v>17</v>
      </c>
      <c r="U13" s="710">
        <f t="shared" si="1"/>
        <v>100</v>
      </c>
      <c r="V13" s="709" t="s">
        <v>17</v>
      </c>
      <c r="W13" s="710">
        <f t="shared" si="2"/>
        <v>100</v>
      </c>
      <c r="X13" s="711"/>
      <c r="Y13" s="3705"/>
      <c r="Z13" s="55">
        <f t="shared" si="7"/>
        <v>111</v>
      </c>
      <c r="AA13" s="712">
        <f t="shared" si="3"/>
        <v>1</v>
      </c>
      <c r="AB13" s="712">
        <f t="shared" si="4"/>
        <v>1</v>
      </c>
      <c r="AC13" s="712">
        <f t="shared" si="5"/>
        <v>1</v>
      </c>
    </row>
    <row r="14" spans="1:29" ht="85.5">
      <c r="A14" s="361" t="s">
        <v>2139</v>
      </c>
      <c r="B14" s="584"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768" t="s">
        <v>2140</v>
      </c>
      <c r="Q14" s="1486" t="str">
        <f t="shared" si="6"/>
        <v>交通便捷度</v>
      </c>
      <c r="R14" s="713" t="s">
        <v>17</v>
      </c>
      <c r="S14" s="714">
        <f t="shared" si="0"/>
        <v>100</v>
      </c>
      <c r="T14" s="713" t="s">
        <v>17</v>
      </c>
      <c r="U14" s="714">
        <f t="shared" si="1"/>
        <v>100</v>
      </c>
      <c r="V14" s="713" t="s">
        <v>17</v>
      </c>
      <c r="W14" s="714">
        <f t="shared" si="2"/>
        <v>100</v>
      </c>
      <c r="X14" s="1489"/>
      <c r="Y14" s="3768" t="s">
        <v>2140</v>
      </c>
      <c r="Z14" s="1490" t="str">
        <f t="shared" si="7"/>
        <v>交通便捷度</v>
      </c>
      <c r="AA14" s="1487">
        <f t="shared" si="3"/>
        <v>1</v>
      </c>
      <c r="AB14" s="1487">
        <f t="shared" si="4"/>
        <v>1</v>
      </c>
      <c r="AC14" s="1487">
        <f t="shared" si="5"/>
        <v>1</v>
      </c>
    </row>
    <row r="15" spans="1:29" ht="15">
      <c r="A15" s="364"/>
      <c r="B15" s="602"/>
      <c r="C15" s="406"/>
      <c r="D15" s="407"/>
      <c r="E15" s="406"/>
      <c r="F15" s="408"/>
      <c r="G15" s="406"/>
      <c r="H15" s="409"/>
      <c r="I15" s="406"/>
      <c r="J15" s="407"/>
      <c r="K15" s="572"/>
      <c r="L15" s="2900"/>
      <c r="M15" s="2894"/>
      <c r="N15" s="2894"/>
      <c r="O15" s="2894"/>
      <c r="P15" s="3769"/>
      <c r="Q15" s="1486"/>
      <c r="R15" s="713"/>
      <c r="S15" s="714"/>
      <c r="T15" s="713"/>
      <c r="U15" s="714"/>
      <c r="V15" s="713"/>
      <c r="W15" s="714"/>
      <c r="X15" s="1489"/>
      <c r="Y15" s="3769"/>
      <c r="Z15" s="1490"/>
      <c r="AA15" s="1487">
        <v>1</v>
      </c>
      <c r="AB15" s="1487">
        <v>1</v>
      </c>
      <c r="AC15" s="1487">
        <v>1</v>
      </c>
    </row>
    <row r="16" spans="1:29" ht="42.75">
      <c r="A16" s="364"/>
      <c r="B16" s="586"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769"/>
      <c r="Q16" s="1486" t="str">
        <f>B16</f>
        <v>公共配套设施</v>
      </c>
      <c r="R16" s="713" t="s">
        <v>17</v>
      </c>
      <c r="S16" s="714">
        <f>F16</f>
        <v>100</v>
      </c>
      <c r="T16" s="713" t="s">
        <v>17</v>
      </c>
      <c r="U16" s="714">
        <f>H16</f>
        <v>100</v>
      </c>
      <c r="V16" s="713" t="s">
        <v>17</v>
      </c>
      <c r="W16" s="714">
        <f>J16</f>
        <v>100</v>
      </c>
      <c r="X16" s="1489"/>
      <c r="Y16" s="3769"/>
      <c r="Z16" s="1490" t="str">
        <f>Q16</f>
        <v>公共配套设施</v>
      </c>
      <c r="AA16" s="1487">
        <f t="shared" si="3"/>
        <v>1</v>
      </c>
      <c r="AB16" s="1487">
        <f t="shared" si="4"/>
        <v>1</v>
      </c>
      <c r="AC16" s="1487">
        <f t="shared" si="5"/>
        <v>1</v>
      </c>
    </row>
    <row r="17" spans="1:29" ht="15">
      <c r="A17" s="364"/>
      <c r="B17" s="587"/>
      <c r="C17" s="2037"/>
      <c r="D17" s="407"/>
      <c r="E17" s="406"/>
      <c r="F17" s="408"/>
      <c r="G17" s="406"/>
      <c r="H17" s="407"/>
      <c r="I17" s="406"/>
      <c r="J17" s="407"/>
      <c r="K17" s="572"/>
      <c r="L17" s="2900"/>
      <c r="M17" s="2894"/>
      <c r="N17" s="2894"/>
      <c r="O17" s="2894"/>
      <c r="P17" s="3769"/>
      <c r="Q17" s="1486"/>
      <c r="R17" s="713"/>
      <c r="S17" s="714"/>
      <c r="T17" s="713"/>
      <c r="U17" s="714"/>
      <c r="V17" s="713"/>
      <c r="W17" s="714"/>
      <c r="X17" s="1489"/>
      <c r="Y17" s="3769"/>
      <c r="Z17" s="1490"/>
      <c r="AA17" s="1487">
        <v>1</v>
      </c>
      <c r="AB17" s="1487">
        <v>1</v>
      </c>
      <c r="AC17" s="1487">
        <v>1</v>
      </c>
    </row>
    <row r="18" spans="1:29" ht="28.5">
      <c r="A18" s="364"/>
      <c r="B18" s="588"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769"/>
      <c r="Q18" s="1486" t="str">
        <f>B18</f>
        <v>基础设施水平</v>
      </c>
      <c r="R18" s="713" t="s">
        <v>17</v>
      </c>
      <c r="S18" s="714">
        <f>F18</f>
        <v>100</v>
      </c>
      <c r="T18" s="713" t="s">
        <v>17</v>
      </c>
      <c r="U18" s="714">
        <f>H18</f>
        <v>100</v>
      </c>
      <c r="V18" s="713" t="s">
        <v>17</v>
      </c>
      <c r="W18" s="714">
        <f>J18</f>
        <v>100</v>
      </c>
      <c r="X18" s="1489"/>
      <c r="Y18" s="3769"/>
      <c r="Z18" s="1490" t="str">
        <f>Q18</f>
        <v>基础设施水平</v>
      </c>
      <c r="AA18" s="1487">
        <f t="shared" ref="AA18" si="8">D18/F18</f>
        <v>1</v>
      </c>
      <c r="AB18" s="1487">
        <f t="shared" ref="AB18" si="9">D18/H18</f>
        <v>1</v>
      </c>
      <c r="AC18" s="1487">
        <f t="shared" ref="AC18" si="10">D18/J18</f>
        <v>1</v>
      </c>
    </row>
    <row r="19" spans="1:29" ht="15">
      <c r="A19" s="364"/>
      <c r="B19" s="588"/>
      <c r="C19" s="2037"/>
      <c r="D19" s="409"/>
      <c r="E19" s="2037"/>
      <c r="F19" s="412"/>
      <c r="G19" s="2037"/>
      <c r="H19" s="407"/>
      <c r="I19" s="406"/>
      <c r="J19" s="407"/>
      <c r="K19" s="1244"/>
      <c r="L19" s="2900"/>
      <c r="M19" s="2894"/>
      <c r="N19" s="2894"/>
      <c r="O19" s="2894"/>
      <c r="P19" s="3769"/>
      <c r="Q19" s="1486"/>
      <c r="R19" s="713"/>
      <c r="S19" s="714"/>
      <c r="T19" s="713"/>
      <c r="U19" s="714"/>
      <c r="V19" s="713"/>
      <c r="W19" s="714"/>
      <c r="X19" s="1489"/>
      <c r="Y19" s="3769"/>
      <c r="Z19" s="1490"/>
      <c r="AA19" s="1487">
        <v>1</v>
      </c>
      <c r="AB19" s="1487">
        <v>1</v>
      </c>
      <c r="AC19" s="1487">
        <v>1</v>
      </c>
    </row>
    <row r="20" spans="1:29" ht="57">
      <c r="A20" s="364"/>
      <c r="B20" s="586"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769"/>
      <c r="Q20" s="1486" t="str">
        <f>B20</f>
        <v>自然及人文环境</v>
      </c>
      <c r="R20" s="713" t="s">
        <v>17</v>
      </c>
      <c r="S20" s="714">
        <f>F20</f>
        <v>100</v>
      </c>
      <c r="T20" s="713" t="s">
        <v>17</v>
      </c>
      <c r="U20" s="714">
        <f>H20</f>
        <v>100</v>
      </c>
      <c r="V20" s="713" t="s">
        <v>17</v>
      </c>
      <c r="W20" s="714">
        <f>J20</f>
        <v>100</v>
      </c>
      <c r="X20" s="1489"/>
      <c r="Y20" s="3769"/>
      <c r="Z20" s="1490" t="str">
        <f>Q20</f>
        <v>自然及人文环境</v>
      </c>
      <c r="AA20" s="1487">
        <f t="shared" si="3"/>
        <v>1</v>
      </c>
      <c r="AB20" s="1487">
        <f t="shared" si="4"/>
        <v>1</v>
      </c>
      <c r="AC20" s="1487">
        <f t="shared" si="5"/>
        <v>1</v>
      </c>
    </row>
    <row r="21" spans="1:29" ht="15">
      <c r="A21" s="364"/>
      <c r="B21" s="587"/>
      <c r="C21" s="406"/>
      <c r="D21" s="407"/>
      <c r="E21" s="406"/>
      <c r="F21" s="408"/>
      <c r="G21" s="406"/>
      <c r="H21" s="407"/>
      <c r="I21" s="406"/>
      <c r="J21" s="407"/>
      <c r="K21" s="572"/>
      <c r="L21" s="2900"/>
      <c r="M21" s="2894"/>
      <c r="N21" s="2894"/>
      <c r="O21" s="2894"/>
      <c r="P21" s="3769"/>
      <c r="Q21" s="1486"/>
      <c r="R21" s="713"/>
      <c r="S21" s="714"/>
      <c r="T21" s="713"/>
      <c r="U21" s="714"/>
      <c r="V21" s="713"/>
      <c r="W21" s="714"/>
      <c r="X21" s="1489"/>
      <c r="Y21" s="3769"/>
      <c r="Z21" s="1490"/>
      <c r="AA21" s="1487">
        <v>1</v>
      </c>
      <c r="AB21" s="1487">
        <v>1</v>
      </c>
      <c r="AC21" s="1487">
        <v>1</v>
      </c>
    </row>
    <row r="22" spans="1:29" ht="15">
      <c r="A22" s="364"/>
      <c r="B22" s="586"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769"/>
      <c r="Q22" s="1486" t="str">
        <f>B22</f>
        <v>楼层</v>
      </c>
      <c r="R22" s="713" t="s">
        <v>17</v>
      </c>
      <c r="S22" s="714">
        <f>F22</f>
        <v>100</v>
      </c>
      <c r="T22" s="713" t="s">
        <v>17</v>
      </c>
      <c r="U22" s="714">
        <f>H22</f>
        <v>100</v>
      </c>
      <c r="V22" s="713" t="s">
        <v>17</v>
      </c>
      <c r="W22" s="714">
        <f>J22</f>
        <v>100</v>
      </c>
      <c r="X22" s="1489"/>
      <c r="Y22" s="3769"/>
      <c r="Z22" s="1490" t="str">
        <f>Q22</f>
        <v>楼层</v>
      </c>
      <c r="AA22" s="1487">
        <f t="shared" si="3"/>
        <v>1</v>
      </c>
      <c r="AB22" s="1487">
        <f t="shared" si="4"/>
        <v>1</v>
      </c>
      <c r="AC22" s="1487">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769"/>
      <c r="Q23" s="1486">
        <f>B23</f>
        <v>111</v>
      </c>
      <c r="R23" s="713" t="s">
        <v>17</v>
      </c>
      <c r="S23" s="714">
        <f>F23</f>
        <v>100</v>
      </c>
      <c r="T23" s="713" t="s">
        <v>17</v>
      </c>
      <c r="U23" s="714">
        <f>H23</f>
        <v>100</v>
      </c>
      <c r="V23" s="713" t="s">
        <v>17</v>
      </c>
      <c r="W23" s="714">
        <f>J23</f>
        <v>100</v>
      </c>
      <c r="X23" s="1489"/>
      <c r="Y23" s="3769"/>
      <c r="Z23" s="1490">
        <f>Q23</f>
        <v>111</v>
      </c>
      <c r="AA23" s="1487">
        <f t="shared" si="3"/>
        <v>1</v>
      </c>
      <c r="AB23" s="1487">
        <f t="shared" si="4"/>
        <v>1</v>
      </c>
      <c r="AC23" s="1487">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769"/>
      <c r="Q24" s="1486">
        <f t="shared" ref="Q24:Q36" si="11">B24</f>
        <v>111</v>
      </c>
      <c r="R24" s="713" t="s">
        <v>17</v>
      </c>
      <c r="S24" s="714">
        <f>F24</f>
        <v>100</v>
      </c>
      <c r="T24" s="713" t="s">
        <v>17</v>
      </c>
      <c r="U24" s="714">
        <f>H24</f>
        <v>100</v>
      </c>
      <c r="V24" s="713" t="s">
        <v>17</v>
      </c>
      <c r="W24" s="714">
        <f>J24</f>
        <v>100</v>
      </c>
      <c r="X24" s="1489"/>
      <c r="Y24" s="3769"/>
      <c r="Z24" s="1490">
        <f>Q24</f>
        <v>111</v>
      </c>
      <c r="AA24" s="1487">
        <f t="shared" si="3"/>
        <v>1</v>
      </c>
      <c r="AB24" s="1487">
        <f t="shared" si="4"/>
        <v>1</v>
      </c>
      <c r="AC24" s="1487">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5"/>
      <c r="M25" s="2896"/>
      <c r="N25" s="2896"/>
      <c r="O25" s="2896"/>
      <c r="P25" s="3769"/>
      <c r="Q25" s="1477">
        <f t="shared" si="11"/>
        <v>111</v>
      </c>
      <c r="R25" s="709" t="s">
        <v>17</v>
      </c>
      <c r="S25" s="710">
        <f>F25</f>
        <v>100</v>
      </c>
      <c r="T25" s="709" t="s">
        <v>17</v>
      </c>
      <c r="U25" s="710">
        <f>H25</f>
        <v>100</v>
      </c>
      <c r="V25" s="709" t="s">
        <v>17</v>
      </c>
      <c r="W25" s="710">
        <f>J25</f>
        <v>100</v>
      </c>
      <c r="X25" s="711"/>
      <c r="Y25" s="3769"/>
      <c r="Z25" s="55">
        <f>Q25</f>
        <v>111</v>
      </c>
      <c r="AA25" s="1487">
        <f>D25/F25</f>
        <v>1</v>
      </c>
      <c r="AB25" s="1487">
        <f>D25/H25</f>
        <v>1</v>
      </c>
      <c r="AC25" s="1487">
        <f>D25/J25</f>
        <v>1</v>
      </c>
    </row>
    <row r="26" spans="1:29" ht="15">
      <c r="A26" s="607" t="s">
        <v>2143</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825"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773" t="s">
        <v>2145</v>
      </c>
      <c r="Z26" s="1490" t="str">
        <f t="shared" ref="Z26:Z36" si="15">Q26</f>
        <v>配套类型</v>
      </c>
      <c r="AA26" s="1487">
        <f t="shared" si="3"/>
        <v>1</v>
      </c>
      <c r="AB26" s="1487">
        <f t="shared" si="4"/>
        <v>1</v>
      </c>
      <c r="AC26" s="1487">
        <f t="shared" si="5"/>
        <v>1</v>
      </c>
    </row>
    <row r="27" spans="1:29" s="430" customFormat="1" ht="15">
      <c r="A27" s="608"/>
      <c r="B27" s="609" t="s">
        <v>2292</v>
      </c>
      <c r="C27" s="610"/>
      <c r="D27" s="132">
        <v>100</v>
      </c>
      <c r="E27" s="610"/>
      <c r="F27" s="420">
        <f>SUMIF(81:81,E27,82:82)-SUMIF(81:81,C27,82:82)+100</f>
        <v>100</v>
      </c>
      <c r="G27" s="610"/>
      <c r="H27" s="394">
        <f>SUMIF(81:81,G27,82:82)-SUMIF(81:81,C27,82:82)+100</f>
        <v>100</v>
      </c>
      <c r="I27" s="610"/>
      <c r="J27" s="394">
        <f>SUMIF(81:81,I27,82:82)-SUMIF(81:81,C27,82:82)+100</f>
        <v>100</v>
      </c>
      <c r="K27" s="570"/>
      <c r="L27" s="2899"/>
      <c r="M27" s="2901"/>
      <c r="N27" s="2901"/>
      <c r="O27" s="2901"/>
      <c r="P27" s="3773"/>
      <c r="Q27" s="715" t="str">
        <f t="shared" si="11"/>
        <v>项目停车位配比</v>
      </c>
      <c r="R27" s="716" t="s">
        <v>17</v>
      </c>
      <c r="S27" s="717">
        <f t="shared" si="12"/>
        <v>100</v>
      </c>
      <c r="T27" s="716" t="s">
        <v>17</v>
      </c>
      <c r="U27" s="717">
        <f t="shared" si="13"/>
        <v>100</v>
      </c>
      <c r="V27" s="716" t="s">
        <v>17</v>
      </c>
      <c r="W27" s="717">
        <f t="shared" si="14"/>
        <v>100</v>
      </c>
      <c r="X27" s="718"/>
      <c r="Y27" s="3773"/>
      <c r="Z27" s="719" t="str">
        <f t="shared" si="15"/>
        <v>项目停车位配比</v>
      </c>
      <c r="AA27" s="1487">
        <f t="shared" si="3"/>
        <v>1</v>
      </c>
      <c r="AB27" s="1487">
        <f t="shared" si="4"/>
        <v>1</v>
      </c>
      <c r="AC27" s="1487">
        <f t="shared" si="5"/>
        <v>1</v>
      </c>
    </row>
    <row r="28" spans="1:29" ht="15">
      <c r="A28" s="611"/>
      <c r="B28" s="609"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773"/>
      <c r="Q28" s="1486" t="str">
        <f t="shared" si="11"/>
        <v>公共部分装修</v>
      </c>
      <c r="R28" s="713" t="s">
        <v>17</v>
      </c>
      <c r="S28" s="714">
        <f t="shared" si="12"/>
        <v>100</v>
      </c>
      <c r="T28" s="713" t="s">
        <v>17</v>
      </c>
      <c r="U28" s="714">
        <f t="shared" si="13"/>
        <v>100</v>
      </c>
      <c r="V28" s="713" t="s">
        <v>17</v>
      </c>
      <c r="W28" s="714">
        <f t="shared" si="14"/>
        <v>100</v>
      </c>
      <c r="X28" s="1489"/>
      <c r="Y28" s="3773"/>
      <c r="Z28" s="1490" t="str">
        <f t="shared" si="15"/>
        <v>公共部分装修</v>
      </c>
      <c r="AA28" s="1487">
        <f t="shared" si="3"/>
        <v>1</v>
      </c>
      <c r="AB28" s="1487">
        <f t="shared" si="4"/>
        <v>1</v>
      </c>
      <c r="AC28" s="1487">
        <f t="shared" si="5"/>
        <v>1</v>
      </c>
    </row>
    <row r="29" spans="1:29" ht="15">
      <c r="A29" s="611"/>
      <c r="B29" s="609"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773"/>
      <c r="Q29" s="1486" t="str">
        <f t="shared" si="11"/>
        <v>成新率</v>
      </c>
      <c r="R29" s="713" t="s">
        <v>17</v>
      </c>
      <c r="S29" s="714" t="e">
        <f t="shared" si="12"/>
        <v>#N/A</v>
      </c>
      <c r="T29" s="713" t="s">
        <v>17</v>
      </c>
      <c r="U29" s="714" t="e">
        <f t="shared" si="13"/>
        <v>#N/A</v>
      </c>
      <c r="V29" s="713" t="s">
        <v>17</v>
      </c>
      <c r="W29" s="714" t="e">
        <f t="shared" si="14"/>
        <v>#N/A</v>
      </c>
      <c r="X29" s="1489"/>
      <c r="Y29" s="3773"/>
      <c r="Z29" s="1490" t="str">
        <f t="shared" si="15"/>
        <v>成新率</v>
      </c>
      <c r="AA29" s="1487" t="e">
        <f t="shared" si="3"/>
        <v>#N/A</v>
      </c>
      <c r="AB29" s="1487" t="e">
        <f t="shared" si="4"/>
        <v>#N/A</v>
      </c>
      <c r="AC29" s="1487" t="e">
        <f t="shared" si="5"/>
        <v>#N/A</v>
      </c>
    </row>
    <row r="30" spans="1:29" ht="15">
      <c r="A30" s="611"/>
      <c r="B30" s="609" t="s">
        <v>2295</v>
      </c>
      <c r="C30" s="612"/>
      <c r="D30" s="394">
        <v>100</v>
      </c>
      <c r="E30" s="612"/>
      <c r="F30" s="420">
        <f>SUMIF(88:88,E30,89:89)-SUMIF(88:88,C30,89:89)+100</f>
        <v>100</v>
      </c>
      <c r="G30" s="612"/>
      <c r="H30" s="394">
        <f>SUMIF(88:88,E30,89:89)-SUMIF(88:88,C30,89:89)+100</f>
        <v>100</v>
      </c>
      <c r="I30" s="612"/>
      <c r="J30" s="394">
        <f>SUMIF(88:88,E30,89:89)-SUMIF(88:88,C30,89:89)+100</f>
        <v>100</v>
      </c>
      <c r="K30" s="569"/>
      <c r="L30" s="2900"/>
      <c r="M30" s="2894"/>
      <c r="N30" s="2894"/>
      <c r="O30" s="2894"/>
      <c r="P30" s="3773"/>
      <c r="Q30" s="1486" t="str">
        <f t="shared" si="11"/>
        <v>物业等级</v>
      </c>
      <c r="R30" s="713" t="s">
        <v>17</v>
      </c>
      <c r="S30" s="714">
        <f t="shared" si="12"/>
        <v>100</v>
      </c>
      <c r="T30" s="713" t="s">
        <v>17</v>
      </c>
      <c r="U30" s="714">
        <f t="shared" si="13"/>
        <v>100</v>
      </c>
      <c r="V30" s="713" t="s">
        <v>17</v>
      </c>
      <c r="W30" s="714">
        <f t="shared" si="14"/>
        <v>100</v>
      </c>
      <c r="X30" s="1489"/>
      <c r="Y30" s="3773"/>
      <c r="Z30" s="1490" t="str">
        <f t="shared" si="15"/>
        <v>物业等级</v>
      </c>
      <c r="AA30" s="1487">
        <f t="shared" si="3"/>
        <v>1</v>
      </c>
      <c r="AB30" s="1487">
        <f t="shared" si="4"/>
        <v>1</v>
      </c>
      <c r="AC30" s="1487">
        <f t="shared" si="5"/>
        <v>1</v>
      </c>
    </row>
    <row r="31" spans="1:29" s="113" customFormat="1" ht="15">
      <c r="A31" s="613"/>
      <c r="B31" s="609"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773"/>
      <c r="Q31" s="1477" t="str">
        <f t="shared" si="11"/>
        <v>停车位面积</v>
      </c>
      <c r="R31" s="709" t="s">
        <v>17</v>
      </c>
      <c r="S31" s="710" t="e">
        <f t="shared" si="12"/>
        <v>#N/A</v>
      </c>
      <c r="T31" s="709" t="s">
        <v>17</v>
      </c>
      <c r="U31" s="710" t="e">
        <f t="shared" si="13"/>
        <v>#N/A</v>
      </c>
      <c r="V31" s="709" t="s">
        <v>17</v>
      </c>
      <c r="W31" s="710" t="e">
        <f t="shared" si="14"/>
        <v>#N/A</v>
      </c>
      <c r="X31" s="711"/>
      <c r="Y31" s="3773"/>
      <c r="Z31" s="55" t="str">
        <f t="shared" si="15"/>
        <v>停车位面积</v>
      </c>
      <c r="AA31" s="712" t="e">
        <f t="shared" si="3"/>
        <v>#N/A</v>
      </c>
      <c r="AB31" s="712" t="e">
        <f t="shared" si="4"/>
        <v>#N/A</v>
      </c>
      <c r="AC31" s="712" t="e">
        <f t="shared" si="5"/>
        <v>#N/A</v>
      </c>
    </row>
    <row r="32" spans="1:29" ht="15">
      <c r="A32" s="611"/>
      <c r="B32" s="609"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773" t="s">
        <v>2145</v>
      </c>
      <c r="Q32" s="1486" t="str">
        <f t="shared" si="11"/>
        <v>车位类型</v>
      </c>
      <c r="R32" s="713" t="s">
        <v>17</v>
      </c>
      <c r="S32" s="714">
        <f t="shared" si="12"/>
        <v>100</v>
      </c>
      <c r="T32" s="713" t="s">
        <v>17</v>
      </c>
      <c r="U32" s="714">
        <f t="shared" si="13"/>
        <v>100</v>
      </c>
      <c r="V32" s="713" t="s">
        <v>17</v>
      </c>
      <c r="W32" s="714">
        <f t="shared" si="14"/>
        <v>100</v>
      </c>
      <c r="X32" s="1489"/>
      <c r="Y32" s="3773" t="s">
        <v>2145</v>
      </c>
      <c r="Z32" s="1490" t="str">
        <f t="shared" si="15"/>
        <v>车位类型</v>
      </c>
      <c r="AA32" s="1487">
        <f t="shared" si="3"/>
        <v>1</v>
      </c>
      <c r="AB32" s="1487">
        <f t="shared" si="4"/>
        <v>1</v>
      </c>
      <c r="AC32" s="1487">
        <f t="shared" si="5"/>
        <v>1</v>
      </c>
    </row>
    <row r="33" spans="1:29" ht="15">
      <c r="A33" s="611"/>
      <c r="B33" s="609"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773"/>
      <c r="Q33" s="1486" t="str">
        <f t="shared" si="11"/>
        <v>是否直接入户</v>
      </c>
      <c r="R33" s="713" t="s">
        <v>17</v>
      </c>
      <c r="S33" s="714">
        <f t="shared" si="12"/>
        <v>100</v>
      </c>
      <c r="T33" s="713" t="s">
        <v>17</v>
      </c>
      <c r="U33" s="714">
        <f t="shared" si="13"/>
        <v>100</v>
      </c>
      <c r="V33" s="713" t="s">
        <v>17</v>
      </c>
      <c r="W33" s="714">
        <f t="shared" si="14"/>
        <v>100</v>
      </c>
      <c r="X33" s="1489"/>
      <c r="Y33" s="3773"/>
      <c r="Z33" s="1490" t="str">
        <f t="shared" si="15"/>
        <v>是否直接入户</v>
      </c>
      <c r="AA33" s="1487">
        <f t="shared" si="3"/>
        <v>1</v>
      </c>
      <c r="AB33" s="1487">
        <f t="shared" si="4"/>
        <v>1</v>
      </c>
      <c r="AC33" s="1487">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773"/>
      <c r="Q34" s="1486">
        <f t="shared" si="11"/>
        <v>111</v>
      </c>
      <c r="R34" s="713" t="s">
        <v>17</v>
      </c>
      <c r="S34" s="714">
        <f t="shared" si="12"/>
        <v>100</v>
      </c>
      <c r="T34" s="713" t="s">
        <v>17</v>
      </c>
      <c r="U34" s="714">
        <f t="shared" si="13"/>
        <v>100</v>
      </c>
      <c r="V34" s="713" t="s">
        <v>17</v>
      </c>
      <c r="W34" s="714">
        <f t="shared" si="14"/>
        <v>100</v>
      </c>
      <c r="X34" s="1489"/>
      <c r="Y34" s="3773"/>
      <c r="Z34" s="1490">
        <f t="shared" si="15"/>
        <v>111</v>
      </c>
      <c r="AA34" s="1487">
        <f t="shared" si="3"/>
        <v>1</v>
      </c>
      <c r="AB34" s="1487">
        <f t="shared" si="4"/>
        <v>1</v>
      </c>
      <c r="AC34" s="1487">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773"/>
      <c r="Q35" s="715">
        <f t="shared" si="11"/>
        <v>111</v>
      </c>
      <c r="R35" s="716" t="s">
        <v>17</v>
      </c>
      <c r="S35" s="717">
        <f t="shared" si="12"/>
        <v>100</v>
      </c>
      <c r="T35" s="716" t="s">
        <v>17</v>
      </c>
      <c r="U35" s="717">
        <f t="shared" si="13"/>
        <v>100</v>
      </c>
      <c r="V35" s="716" t="s">
        <v>17</v>
      </c>
      <c r="W35" s="717">
        <f t="shared" si="14"/>
        <v>100</v>
      </c>
      <c r="X35" s="718"/>
      <c r="Y35" s="3773"/>
      <c r="Z35" s="719">
        <f t="shared" si="15"/>
        <v>111</v>
      </c>
      <c r="AA35" s="1487">
        <f t="shared" si="3"/>
        <v>1</v>
      </c>
      <c r="AB35" s="1487">
        <f t="shared" si="4"/>
        <v>1</v>
      </c>
      <c r="AC35" s="1487">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773"/>
      <c r="Q36" s="1486">
        <f t="shared" si="11"/>
        <v>111</v>
      </c>
      <c r="R36" s="713" t="s">
        <v>17</v>
      </c>
      <c r="S36" s="714">
        <f t="shared" si="12"/>
        <v>100</v>
      </c>
      <c r="T36" s="713" t="s">
        <v>17</v>
      </c>
      <c r="U36" s="714">
        <f t="shared" si="13"/>
        <v>100</v>
      </c>
      <c r="V36" s="713" t="s">
        <v>17</v>
      </c>
      <c r="W36" s="714">
        <f t="shared" si="14"/>
        <v>100</v>
      </c>
      <c r="X36" s="1489"/>
      <c r="Y36" s="3773"/>
      <c r="Z36" s="1490">
        <f t="shared" si="15"/>
        <v>111</v>
      </c>
      <c r="AA36" s="1487">
        <f t="shared" si="3"/>
        <v>1</v>
      </c>
      <c r="AB36" s="1487">
        <f t="shared" si="4"/>
        <v>1</v>
      </c>
      <c r="AC36" s="1487">
        <f t="shared" si="5"/>
        <v>1</v>
      </c>
    </row>
    <row r="37" spans="1:29" ht="15">
      <c r="A37" s="438" t="s">
        <v>2299</v>
      </c>
      <c r="B37" s="2109" t="s">
        <v>2300</v>
      </c>
      <c r="C37" s="1268" t="s">
        <v>1</v>
      </c>
      <c r="D37" s="1269"/>
      <c r="E37" s="1270"/>
      <c r="F37" s="1271"/>
      <c r="G37" s="1272"/>
      <c r="H37" s="1273"/>
      <c r="I37" s="1270"/>
      <c r="J37" s="1273"/>
      <c r="K37" s="575"/>
      <c r="L37" s="2902"/>
      <c r="M37" s="2903"/>
      <c r="N37" s="2894"/>
      <c r="O37" s="2903"/>
      <c r="P37" s="3775" t="str">
        <f>A37</f>
        <v>成交单价</v>
      </c>
      <c r="Q37" s="3775"/>
      <c r="R37" s="3776">
        <f>E37</f>
        <v>0</v>
      </c>
      <c r="S37" s="3776"/>
      <c r="T37" s="3776">
        <f>G37</f>
        <v>0</v>
      </c>
      <c r="U37" s="3776"/>
      <c r="V37" s="3776">
        <f>I37</f>
        <v>0</v>
      </c>
      <c r="W37" s="3776"/>
      <c r="X37" s="698"/>
      <c r="Y37" s="720"/>
      <c r="Z37" s="698"/>
      <c r="AA37" s="698"/>
      <c r="AB37" s="698"/>
      <c r="AC37" s="698"/>
    </row>
    <row r="38" spans="1:29" ht="15.75" thickBot="1">
      <c r="A38" s="445" t="s">
        <v>2301</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775" t="str">
        <f>A38</f>
        <v>比较价值（元/平方米）</v>
      </c>
      <c r="Q38" s="3775"/>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698"/>
      <c r="Y38" s="698"/>
      <c r="Z38" s="698"/>
      <c r="AA38" s="698"/>
      <c r="AB38" s="698"/>
      <c r="AC38" s="698"/>
    </row>
    <row r="39" spans="1:29" ht="15.75" thickBot="1">
      <c r="A39" s="449" t="s">
        <v>2302</v>
      </c>
      <c r="B39" s="450"/>
      <c r="C39" s="1277" t="e">
        <f>R39</f>
        <v>#DIV/0!</v>
      </c>
      <c r="D39" s="1277"/>
      <c r="E39" s="1277"/>
      <c r="F39" s="1277"/>
      <c r="G39" s="1277"/>
      <c r="H39" s="1277"/>
      <c r="I39" s="1277"/>
      <c r="J39" s="1277"/>
      <c r="K39" s="576"/>
      <c r="L39" s="2902"/>
      <c r="M39" s="2903"/>
      <c r="N39" s="2903"/>
      <c r="O39" s="2903"/>
      <c r="P39" s="3777" t="str">
        <f>A39</f>
        <v>估价对象XX用房的比较价值（楼面单价，元/平方米）</v>
      </c>
      <c r="Q39" s="3778"/>
      <c r="R39" s="3826" t="e">
        <f>IF(F1="售价",ROUND(IF(D38="简单平均",AVERAGE(R38:W38),R38*F38+T38*H38+V38*J38),0),ROUND(IF(D38="简单平均",AVERAGE(R38:V38),R38*F38+T38*H38+V38*J38),1))</f>
        <v>#DIV/0!</v>
      </c>
      <c r="S39" s="3826"/>
      <c r="T39" s="3826"/>
      <c r="U39" s="3826"/>
      <c r="V39" s="3826"/>
      <c r="W39" s="3826"/>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2306</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4">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5">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5" t="s">
        <v>2254</v>
      </c>
      <c r="D67" s="615" t="s">
        <v>2255</v>
      </c>
      <c r="E67" s="615" t="s">
        <v>2256</v>
      </c>
      <c r="F67" s="615" t="s">
        <v>2257</v>
      </c>
      <c r="G67" s="615" t="s">
        <v>2258</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1">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E17 I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C2" xr:uid="{00000000-0002-0000-2800-000011000000}">
      <formula1>"需扣减承租人权益,——"</formula1>
    </dataValidation>
    <dataValidation type="list" allowBlank="1" showInputMessage="1" showErrorMessage="1" sqref="F2" xr:uid="{00000000-0002-0000-2800-000012000000}">
      <formula1>估价方法</formula1>
    </dataValidation>
    <dataValidation type="list" allowBlank="1" showInputMessage="1" showErrorMessage="1" sqref="D38"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2286</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753" t="s">
        <v>2226</v>
      </c>
      <c r="D4" s="3754"/>
      <c r="E4" s="3755" t="s">
        <v>2227</v>
      </c>
      <c r="F4" s="3756"/>
      <c r="G4" s="3753" t="s">
        <v>2228</v>
      </c>
      <c r="H4" s="3754"/>
      <c r="I4" s="3753" t="s">
        <v>2229</v>
      </c>
      <c r="J4" s="3754"/>
      <c r="K4" s="567" t="s">
        <v>2230</v>
      </c>
      <c r="L4" s="2893"/>
      <c r="M4" s="2894"/>
      <c r="N4" s="2894"/>
      <c r="O4" s="2894"/>
      <c r="P4" s="3757" t="s">
        <v>2231</v>
      </c>
      <c r="Q4" s="3758"/>
      <c r="R4" s="3744" t="s">
        <v>2227</v>
      </c>
      <c r="S4" s="3745"/>
      <c r="T4" s="3744" t="s">
        <v>2228</v>
      </c>
      <c r="U4" s="3745"/>
      <c r="V4" s="3741" t="s">
        <v>2229</v>
      </c>
      <c r="W4" s="3741"/>
      <c r="X4" s="1489"/>
      <c r="Y4" s="3744" t="s">
        <v>2231</v>
      </c>
      <c r="Z4" s="3745"/>
      <c r="AA4" s="3738" t="s">
        <v>2227</v>
      </c>
      <c r="AB4" s="3739" t="s">
        <v>2228</v>
      </c>
      <c r="AC4" s="3738" t="s">
        <v>2229</v>
      </c>
    </row>
    <row r="5" spans="1:29" ht="15">
      <c r="A5" s="364"/>
      <c r="B5" s="365"/>
      <c r="C5" s="3806" t="s">
        <v>2122</v>
      </c>
      <c r="D5" s="3749"/>
      <c r="E5" s="3804" t="s">
        <v>2123</v>
      </c>
      <c r="F5" s="3805"/>
      <c r="G5" s="3806" t="s">
        <v>2124</v>
      </c>
      <c r="H5" s="3749"/>
      <c r="I5" s="3806" t="s">
        <v>2125</v>
      </c>
      <c r="J5" s="3749"/>
      <c r="K5" s="567"/>
      <c r="L5" s="2893"/>
      <c r="M5" s="2894"/>
      <c r="N5" s="2894"/>
      <c r="O5" s="2894"/>
      <c r="P5" s="3759"/>
      <c r="Q5" s="3760"/>
      <c r="R5" s="3746"/>
      <c r="S5" s="3747"/>
      <c r="T5" s="3746"/>
      <c r="U5" s="3747"/>
      <c r="V5" s="3741"/>
      <c r="W5" s="3741"/>
      <c r="X5" s="1489"/>
      <c r="Y5" s="3746"/>
      <c r="Z5" s="3747"/>
      <c r="AA5" s="3739"/>
      <c r="AB5" s="3739"/>
      <c r="AC5" s="3739"/>
    </row>
    <row r="6" spans="1:29" ht="15.75" thickBot="1">
      <c r="A6" s="366"/>
      <c r="B6" s="367"/>
      <c r="C6" s="3807" t="s">
        <v>2126</v>
      </c>
      <c r="D6" s="3751"/>
      <c r="E6" s="3808" t="s">
        <v>2126</v>
      </c>
      <c r="F6" s="3809"/>
      <c r="G6" s="3807" t="s">
        <v>2126</v>
      </c>
      <c r="H6" s="3751"/>
      <c r="I6" s="3807" t="s">
        <v>2126</v>
      </c>
      <c r="J6" s="3751"/>
      <c r="K6" s="567" t="s">
        <v>2127</v>
      </c>
      <c r="L6" s="2893"/>
      <c r="M6" s="2894"/>
      <c r="N6" s="2894"/>
      <c r="O6" s="2894"/>
      <c r="P6" s="3761"/>
      <c r="Q6" s="3762"/>
      <c r="R6" s="3746"/>
      <c r="S6" s="3747"/>
      <c r="T6" s="3763"/>
      <c r="U6" s="3764"/>
      <c r="V6" s="3741"/>
      <c r="W6" s="3741"/>
      <c r="X6" s="1489"/>
      <c r="Y6" s="3763"/>
      <c r="Z6" s="3764"/>
      <c r="AA6" s="3740"/>
      <c r="AB6" s="3740"/>
      <c r="AC6" s="3740"/>
    </row>
    <row r="7" spans="1:29" s="113" customFormat="1" ht="15.75" thickBot="1">
      <c r="A7" s="368" t="s">
        <v>2128</v>
      </c>
      <c r="B7" s="369"/>
      <c r="C7" s="370">
        <f>'数据-取费表'!B2</f>
        <v>44868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742" t="s">
        <v>2129</v>
      </c>
      <c r="Q7" s="3765"/>
      <c r="R7" s="709" t="s">
        <v>17</v>
      </c>
      <c r="S7" s="710">
        <f t="shared" ref="S7:S14" si="0">F7</f>
        <v>0</v>
      </c>
      <c r="T7" s="709" t="s">
        <v>17</v>
      </c>
      <c r="U7" s="710">
        <f t="shared" ref="U7:U14" si="1">H7</f>
        <v>0</v>
      </c>
      <c r="V7" s="709" t="s">
        <v>17</v>
      </c>
      <c r="W7" s="710">
        <f t="shared" ref="W7:W14" si="2">J7</f>
        <v>0</v>
      </c>
      <c r="X7" s="711"/>
      <c r="Y7" s="3742" t="s">
        <v>2129</v>
      </c>
      <c r="Z7" s="3743"/>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742" t="s">
        <v>2132</v>
      </c>
      <c r="Q8" s="3743"/>
      <c r="R8" s="709" t="s">
        <v>17</v>
      </c>
      <c r="S8" s="710">
        <f t="shared" si="0"/>
        <v>0</v>
      </c>
      <c r="T8" s="709" t="s">
        <v>17</v>
      </c>
      <c r="U8" s="710">
        <f t="shared" si="1"/>
        <v>0</v>
      </c>
      <c r="V8" s="709" t="s">
        <v>17</v>
      </c>
      <c r="W8" s="710">
        <f t="shared" si="2"/>
        <v>0</v>
      </c>
      <c r="X8" s="711"/>
      <c r="Y8" s="3742" t="s">
        <v>2132</v>
      </c>
      <c r="Z8" s="3743"/>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775" t="s">
        <v>2135</v>
      </c>
      <c r="Q9" s="1477" t="str">
        <f t="shared" ref="Q9:Q14" si="6">B9</f>
        <v>用途</v>
      </c>
      <c r="R9" s="709" t="s">
        <v>17</v>
      </c>
      <c r="S9" s="710">
        <f t="shared" si="0"/>
        <v>100</v>
      </c>
      <c r="T9" s="709" t="s">
        <v>17</v>
      </c>
      <c r="U9" s="710">
        <f t="shared" si="1"/>
        <v>100</v>
      </c>
      <c r="V9" s="709" t="s">
        <v>17</v>
      </c>
      <c r="W9" s="710">
        <f t="shared" si="2"/>
        <v>100</v>
      </c>
      <c r="X9" s="711"/>
      <c r="Y9" s="3705"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775"/>
      <c r="Q10" s="1477" t="str">
        <f t="shared" si="6"/>
        <v>土地使用年限（年）</v>
      </c>
      <c r="R10" s="709" t="s">
        <v>17</v>
      </c>
      <c r="S10" s="710">
        <f t="shared" si="0"/>
        <v>100</v>
      </c>
      <c r="T10" s="709" t="s">
        <v>17</v>
      </c>
      <c r="U10" s="710">
        <f t="shared" si="1"/>
        <v>100</v>
      </c>
      <c r="V10" s="709" t="s">
        <v>17</v>
      </c>
      <c r="W10" s="710">
        <f t="shared" si="2"/>
        <v>100</v>
      </c>
      <c r="X10" s="711"/>
      <c r="Y10" s="3705"/>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775"/>
      <c r="Q11" s="1477">
        <f t="shared" si="6"/>
        <v>111</v>
      </c>
      <c r="R11" s="709" t="s">
        <v>17</v>
      </c>
      <c r="S11" s="710">
        <f t="shared" si="0"/>
        <v>100</v>
      </c>
      <c r="T11" s="709" t="s">
        <v>17</v>
      </c>
      <c r="U11" s="710">
        <f t="shared" si="1"/>
        <v>100</v>
      </c>
      <c r="V11" s="709" t="s">
        <v>17</v>
      </c>
      <c r="W11" s="710">
        <f t="shared" si="2"/>
        <v>100</v>
      </c>
      <c r="X11" s="711"/>
      <c r="Y11" s="3705"/>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775"/>
      <c r="Q12" s="1477">
        <f t="shared" si="6"/>
        <v>111</v>
      </c>
      <c r="R12" s="709" t="s">
        <v>17</v>
      </c>
      <c r="S12" s="710">
        <f t="shared" si="0"/>
        <v>100</v>
      </c>
      <c r="T12" s="709" t="s">
        <v>17</v>
      </c>
      <c r="U12" s="710">
        <f t="shared" si="1"/>
        <v>100</v>
      </c>
      <c r="V12" s="709" t="s">
        <v>17</v>
      </c>
      <c r="W12" s="710">
        <f t="shared" si="2"/>
        <v>100</v>
      </c>
      <c r="X12" s="711"/>
      <c r="Y12" s="3705"/>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775"/>
      <c r="Q13" s="1477">
        <f t="shared" si="6"/>
        <v>111</v>
      </c>
      <c r="R13" s="709" t="s">
        <v>17</v>
      </c>
      <c r="S13" s="710">
        <f t="shared" si="0"/>
        <v>100</v>
      </c>
      <c r="T13" s="709" t="s">
        <v>17</v>
      </c>
      <c r="U13" s="710">
        <f t="shared" si="1"/>
        <v>100</v>
      </c>
      <c r="V13" s="709" t="s">
        <v>17</v>
      </c>
      <c r="W13" s="710">
        <f t="shared" si="2"/>
        <v>100</v>
      </c>
      <c r="X13" s="711"/>
      <c r="Y13" s="3705"/>
      <c r="Z13" s="55">
        <f t="shared" si="7"/>
        <v>111</v>
      </c>
      <c r="AA13" s="712">
        <f t="shared" si="3"/>
        <v>1</v>
      </c>
      <c r="AB13" s="712">
        <f t="shared" si="4"/>
        <v>1</v>
      </c>
      <c r="AC13" s="712">
        <f t="shared" si="5"/>
        <v>1</v>
      </c>
    </row>
    <row r="14" spans="1:29" ht="85.5">
      <c r="A14" s="399" t="s">
        <v>2139</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768" t="s">
        <v>2140</v>
      </c>
      <c r="Q14" s="1486" t="str">
        <f t="shared" si="6"/>
        <v>交通便捷度</v>
      </c>
      <c r="R14" s="713" t="s">
        <v>17</v>
      </c>
      <c r="S14" s="714">
        <f t="shared" si="0"/>
        <v>100</v>
      </c>
      <c r="T14" s="713" t="s">
        <v>17</v>
      </c>
      <c r="U14" s="714">
        <f t="shared" si="1"/>
        <v>100</v>
      </c>
      <c r="V14" s="713" t="s">
        <v>17</v>
      </c>
      <c r="W14" s="714">
        <f t="shared" si="2"/>
        <v>100</v>
      </c>
      <c r="X14" s="1489"/>
      <c r="Y14" s="3768"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769"/>
      <c r="Q15" s="1486"/>
      <c r="R15" s="713"/>
      <c r="S15" s="714"/>
      <c r="T15" s="713"/>
      <c r="U15" s="714"/>
      <c r="V15" s="713"/>
      <c r="W15" s="714"/>
      <c r="X15" s="1489"/>
      <c r="Y15" s="3769"/>
      <c r="Z15" s="1490"/>
      <c r="AA15" s="1487">
        <v>1</v>
      </c>
      <c r="AB15" s="1487">
        <v>1</v>
      </c>
      <c r="AC15" s="1487">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769"/>
      <c r="Q16" s="1486" t="str">
        <f>B16</f>
        <v>公共配套设施</v>
      </c>
      <c r="R16" s="713" t="s">
        <v>17</v>
      </c>
      <c r="S16" s="714">
        <f>F16</f>
        <v>100</v>
      </c>
      <c r="T16" s="713" t="s">
        <v>17</v>
      </c>
      <c r="U16" s="714">
        <f>H16</f>
        <v>100</v>
      </c>
      <c r="V16" s="713" t="s">
        <v>17</v>
      </c>
      <c r="W16" s="714">
        <f>J16</f>
        <v>100</v>
      </c>
      <c r="X16" s="1489"/>
      <c r="Y16" s="3769"/>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769"/>
      <c r="Q17" s="1486"/>
      <c r="R17" s="713"/>
      <c r="S17" s="714"/>
      <c r="T17" s="713"/>
      <c r="U17" s="714"/>
      <c r="V17" s="713"/>
      <c r="W17" s="714"/>
      <c r="X17" s="1489"/>
      <c r="Y17" s="3769"/>
      <c r="Z17" s="1490"/>
      <c r="AA17" s="1487">
        <v>1</v>
      </c>
      <c r="AB17" s="1487">
        <v>1</v>
      </c>
      <c r="AC17" s="1487">
        <v>1</v>
      </c>
    </row>
    <row r="18" spans="1:29" ht="28.5">
      <c r="A18" s="387"/>
      <c r="B18" s="1245"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769"/>
      <c r="Q18" s="1486" t="str">
        <f>B18</f>
        <v>基础设施水平</v>
      </c>
      <c r="R18" s="713" t="s">
        <v>17</v>
      </c>
      <c r="S18" s="714">
        <f>F18</f>
        <v>100</v>
      </c>
      <c r="T18" s="713" t="s">
        <v>17</v>
      </c>
      <c r="U18" s="714">
        <f>H18</f>
        <v>100</v>
      </c>
      <c r="V18" s="713" t="s">
        <v>17</v>
      </c>
      <c r="W18" s="714">
        <f>J18</f>
        <v>100</v>
      </c>
      <c r="X18" s="1489"/>
      <c r="Y18" s="3769"/>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769"/>
      <c r="Q19" s="1486"/>
      <c r="R19" s="713"/>
      <c r="S19" s="714"/>
      <c r="T19" s="713"/>
      <c r="U19" s="714"/>
      <c r="V19" s="713"/>
      <c r="W19" s="714"/>
      <c r="X19" s="1489"/>
      <c r="Y19" s="3769"/>
      <c r="Z19" s="1490"/>
      <c r="AA19" s="1487">
        <v>1</v>
      </c>
      <c r="AB19" s="1487">
        <v>1</v>
      </c>
      <c r="AC19" s="1487">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769"/>
      <c r="Q20" s="1486" t="str">
        <f>B20</f>
        <v>自然及人文环境</v>
      </c>
      <c r="R20" s="713" t="s">
        <v>17</v>
      </c>
      <c r="S20" s="714">
        <f>F20</f>
        <v>100</v>
      </c>
      <c r="T20" s="713" t="s">
        <v>17</v>
      </c>
      <c r="U20" s="714">
        <f>H20</f>
        <v>100</v>
      </c>
      <c r="V20" s="713" t="s">
        <v>17</v>
      </c>
      <c r="W20" s="714">
        <f>J20</f>
        <v>100</v>
      </c>
      <c r="X20" s="1489"/>
      <c r="Y20" s="3769"/>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769"/>
      <c r="Q21" s="1486"/>
      <c r="R21" s="713"/>
      <c r="S21" s="714"/>
      <c r="T21" s="713"/>
      <c r="U21" s="714"/>
      <c r="V21" s="713"/>
      <c r="W21" s="714"/>
      <c r="X21" s="1489"/>
      <c r="Y21" s="3769"/>
      <c r="Z21" s="1490"/>
      <c r="AA21" s="1487">
        <v>1</v>
      </c>
      <c r="AB21" s="1487">
        <v>1</v>
      </c>
      <c r="AC21" s="1487">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769"/>
      <c r="Q22" s="1486" t="str">
        <f>B22</f>
        <v>楼层</v>
      </c>
      <c r="R22" s="713" t="s">
        <v>17</v>
      </c>
      <c r="S22" s="714">
        <f>F22</f>
        <v>100</v>
      </c>
      <c r="T22" s="713" t="s">
        <v>17</v>
      </c>
      <c r="U22" s="714">
        <f>H22</f>
        <v>100</v>
      </c>
      <c r="V22" s="713" t="s">
        <v>17</v>
      </c>
      <c r="W22" s="714">
        <f>J22</f>
        <v>100</v>
      </c>
      <c r="X22" s="1489"/>
      <c r="Y22" s="3769"/>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769"/>
      <c r="Q23" s="1486">
        <f>B23</f>
        <v>111</v>
      </c>
      <c r="R23" s="713" t="s">
        <v>17</v>
      </c>
      <c r="S23" s="714">
        <f>F23</f>
        <v>100</v>
      </c>
      <c r="T23" s="713" t="s">
        <v>17</v>
      </c>
      <c r="U23" s="714">
        <f>H23</f>
        <v>100</v>
      </c>
      <c r="V23" s="713" t="s">
        <v>17</v>
      </c>
      <c r="W23" s="714">
        <f>J23</f>
        <v>100</v>
      </c>
      <c r="X23" s="1489"/>
      <c r="Y23" s="3769"/>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769"/>
      <c r="Q24" s="1486">
        <f t="shared" ref="Q24:Q34" si="11">B24</f>
        <v>111</v>
      </c>
      <c r="R24" s="713" t="s">
        <v>17</v>
      </c>
      <c r="S24" s="714">
        <f>F24</f>
        <v>100</v>
      </c>
      <c r="T24" s="713" t="s">
        <v>17</v>
      </c>
      <c r="U24" s="714">
        <f>H24</f>
        <v>100</v>
      </c>
      <c r="V24" s="713" t="s">
        <v>17</v>
      </c>
      <c r="W24" s="714">
        <f>J24</f>
        <v>100</v>
      </c>
      <c r="X24" s="1489"/>
      <c r="Y24" s="3769"/>
      <c r="Z24" s="1490">
        <f>Q24</f>
        <v>111</v>
      </c>
      <c r="AA24" s="1487">
        <f t="shared" si="3"/>
        <v>1</v>
      </c>
      <c r="AB24" s="1487">
        <f t="shared" si="4"/>
        <v>1</v>
      </c>
      <c r="AC24" s="1487">
        <f t="shared" si="5"/>
        <v>1</v>
      </c>
    </row>
    <row r="25" spans="1:29" s="113" customFormat="1" ht="15.75" thickBot="1">
      <c r="A25" s="390"/>
      <c r="B25" s="2029">
        <v>111</v>
      </c>
      <c r="C25" s="2112"/>
      <c r="D25" s="620">
        <v>100</v>
      </c>
      <c r="E25" s="2112"/>
      <c r="F25" s="621">
        <f>SUMIF(75:75,E25,76:76)-SUMIF(75:75,C25,76:76)+100</f>
        <v>100</v>
      </c>
      <c r="G25" s="2112"/>
      <c r="H25" s="620">
        <f>SUMIF(75:75,G25,76:76)-SUMIF(75:75,C25,76:76)+100</f>
        <v>100</v>
      </c>
      <c r="I25" s="2112"/>
      <c r="J25" s="620">
        <f>SUMIF(75:75,I25,76:76)-SUMIF(75:75,C25,76:76)+100</f>
        <v>100</v>
      </c>
      <c r="K25" s="570"/>
      <c r="L25" s="2895"/>
      <c r="M25" s="2896"/>
      <c r="N25" s="2896"/>
      <c r="O25" s="2950"/>
      <c r="P25" s="3769"/>
      <c r="Q25" s="1477">
        <f t="shared" si="11"/>
        <v>111</v>
      </c>
      <c r="R25" s="709" t="s">
        <v>17</v>
      </c>
      <c r="S25" s="710">
        <f>F25</f>
        <v>100</v>
      </c>
      <c r="T25" s="709" t="s">
        <v>17</v>
      </c>
      <c r="U25" s="710">
        <f>H25</f>
        <v>100</v>
      </c>
      <c r="V25" s="709" t="s">
        <v>17</v>
      </c>
      <c r="W25" s="710">
        <f>J25</f>
        <v>100</v>
      </c>
      <c r="X25" s="711"/>
      <c r="Y25" s="3769"/>
      <c r="Z25" s="55">
        <f>Q25</f>
        <v>111</v>
      </c>
      <c r="AA25" s="1487">
        <f>D25/F25</f>
        <v>1</v>
      </c>
      <c r="AB25" s="1487">
        <f>D25/H25</f>
        <v>1</v>
      </c>
      <c r="AC25" s="1487">
        <f>D25/J25</f>
        <v>1</v>
      </c>
    </row>
    <row r="26" spans="1:29" ht="15">
      <c r="A26" s="425" t="s">
        <v>2143</v>
      </c>
      <c r="B26" s="67" t="s">
        <v>2293</v>
      </c>
      <c r="C26" s="2103"/>
      <c r="D26" s="426">
        <v>100</v>
      </c>
      <c r="E26" s="2103"/>
      <c r="F26" s="622">
        <f>SUMIF(77:77,E26,78:78)-SUMIF(77:77,C26,78:78)+100</f>
        <v>100</v>
      </c>
      <c r="G26" s="2103"/>
      <c r="H26" s="426">
        <f>SUMIF(77:77,G26,78:78)-SUMIF(77:77,C26,78:78)+100</f>
        <v>100</v>
      </c>
      <c r="I26" s="2103"/>
      <c r="J26" s="426">
        <f>SUMIF(77:77,I26,78:78)-SUMIF(77:77,C26,78:78)+100</f>
        <v>100</v>
      </c>
      <c r="K26" s="569"/>
      <c r="L26" s="2900"/>
      <c r="M26" s="2894"/>
      <c r="N26" s="2894"/>
      <c r="O26" s="2952"/>
      <c r="P26" s="3825"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773" t="s">
        <v>2145</v>
      </c>
      <c r="Z26" s="1490" t="str">
        <f t="shared" ref="Z26:Z34" si="15">Q26</f>
        <v>公共部分装修</v>
      </c>
      <c r="AA26" s="1487">
        <f t="shared" si="3"/>
        <v>1</v>
      </c>
      <c r="AB26" s="1487">
        <f t="shared" si="4"/>
        <v>1</v>
      </c>
      <c r="AC26" s="1487">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773"/>
      <c r="Q27" s="715" t="str">
        <f t="shared" si="11"/>
        <v>成新率</v>
      </c>
      <c r="R27" s="716" t="s">
        <v>17</v>
      </c>
      <c r="S27" s="717" t="e">
        <f t="shared" si="12"/>
        <v>#N/A</v>
      </c>
      <c r="T27" s="716" t="s">
        <v>17</v>
      </c>
      <c r="U27" s="717" t="e">
        <f t="shared" si="13"/>
        <v>#N/A</v>
      </c>
      <c r="V27" s="716" t="s">
        <v>17</v>
      </c>
      <c r="W27" s="717" t="e">
        <f t="shared" si="14"/>
        <v>#N/A</v>
      </c>
      <c r="X27" s="718"/>
      <c r="Y27" s="3773"/>
      <c r="Z27" s="719" t="str">
        <f t="shared" si="15"/>
        <v>成新率</v>
      </c>
      <c r="AA27" s="1487" t="e">
        <f t="shared" si="3"/>
        <v>#N/A</v>
      </c>
      <c r="AB27" s="1487" t="e">
        <f t="shared" si="4"/>
        <v>#N/A</v>
      </c>
      <c r="AC27" s="1487"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773"/>
      <c r="Q28" s="1486" t="str">
        <f t="shared" si="11"/>
        <v>物业等级</v>
      </c>
      <c r="R28" s="713" t="s">
        <v>17</v>
      </c>
      <c r="S28" s="714">
        <f t="shared" si="12"/>
        <v>100</v>
      </c>
      <c r="T28" s="713" t="s">
        <v>17</v>
      </c>
      <c r="U28" s="714">
        <f t="shared" si="13"/>
        <v>100</v>
      </c>
      <c r="V28" s="713" t="s">
        <v>17</v>
      </c>
      <c r="W28" s="714">
        <f t="shared" si="14"/>
        <v>100</v>
      </c>
      <c r="X28" s="1489"/>
      <c r="Y28" s="3773"/>
      <c r="Z28" s="1490" t="str">
        <f t="shared" si="15"/>
        <v>物业等级</v>
      </c>
      <c r="AA28" s="1487">
        <f t="shared" si="3"/>
        <v>1</v>
      </c>
      <c r="AB28" s="1487">
        <f t="shared" si="4"/>
        <v>1</v>
      </c>
      <c r="AC28" s="1487">
        <f t="shared" si="5"/>
        <v>1</v>
      </c>
    </row>
    <row r="29" spans="1:29" ht="15">
      <c r="A29" s="431"/>
      <c r="B29" s="381" t="s">
        <v>2316</v>
      </c>
      <c r="C29" s="612"/>
      <c r="D29" s="394">
        <v>100</v>
      </c>
      <c r="E29" s="612"/>
      <c r="F29" s="420">
        <f>SUMIF(84:84,E29,85:85)-SUMIF(84:84,C29,85:85)+100</f>
        <v>100</v>
      </c>
      <c r="G29" s="612"/>
      <c r="H29" s="394">
        <f>SUMIF(84:84,G29,85:85)-SUMIF(84:84,C29,85:85)+100</f>
        <v>100</v>
      </c>
      <c r="I29" s="612"/>
      <c r="J29" s="394">
        <f>SUMIF(84:84,I29,85:85)-SUMIF(84:84,C29,85:85)+100</f>
        <v>100</v>
      </c>
      <c r="K29" s="569"/>
      <c r="L29" s="2900"/>
      <c r="M29" s="2894"/>
      <c r="N29" s="2894"/>
      <c r="O29" s="2952"/>
      <c r="P29" s="3773"/>
      <c r="Q29" s="1486" t="str">
        <f t="shared" si="11"/>
        <v>有无电梯</v>
      </c>
      <c r="R29" s="713" t="s">
        <v>17</v>
      </c>
      <c r="S29" s="714">
        <f t="shared" si="12"/>
        <v>100</v>
      </c>
      <c r="T29" s="713" t="s">
        <v>17</v>
      </c>
      <c r="U29" s="714">
        <f t="shared" si="13"/>
        <v>100</v>
      </c>
      <c r="V29" s="713" t="s">
        <v>17</v>
      </c>
      <c r="W29" s="714">
        <f t="shared" si="14"/>
        <v>100</v>
      </c>
      <c r="X29" s="1489"/>
      <c r="Y29" s="3773"/>
      <c r="Z29" s="1490" t="str">
        <f t="shared" si="15"/>
        <v>有无电梯</v>
      </c>
      <c r="AA29" s="1487">
        <f t="shared" si="3"/>
        <v>1</v>
      </c>
      <c r="AB29" s="1487">
        <f t="shared" si="4"/>
        <v>1</v>
      </c>
      <c r="AC29" s="1487">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773"/>
      <c r="Q30" s="1486" t="str">
        <f t="shared" si="11"/>
        <v>建筑面积</v>
      </c>
      <c r="R30" s="713" t="s">
        <v>17</v>
      </c>
      <c r="S30" s="714" t="e">
        <f t="shared" si="12"/>
        <v>#N/A</v>
      </c>
      <c r="T30" s="713" t="s">
        <v>17</v>
      </c>
      <c r="U30" s="714" t="e">
        <f t="shared" si="13"/>
        <v>#N/A</v>
      </c>
      <c r="V30" s="713" t="s">
        <v>17</v>
      </c>
      <c r="W30" s="714" t="e">
        <f t="shared" si="14"/>
        <v>#N/A</v>
      </c>
      <c r="X30" s="1489"/>
      <c r="Y30" s="3773"/>
      <c r="Z30" s="1490" t="str">
        <f t="shared" si="15"/>
        <v>建筑面积</v>
      </c>
      <c r="AA30" s="1487" t="e">
        <f t="shared" si="3"/>
        <v>#N/A</v>
      </c>
      <c r="AB30" s="1487" t="e">
        <f t="shared" si="4"/>
        <v>#N/A</v>
      </c>
      <c r="AC30" s="1487" t="e">
        <f t="shared" si="5"/>
        <v>#N/A</v>
      </c>
    </row>
    <row r="31" spans="1:29" s="113" customFormat="1" ht="15">
      <c r="A31" s="432"/>
      <c r="B31" s="381" t="s">
        <v>2318</v>
      </c>
      <c r="C31" s="612"/>
      <c r="D31" s="132">
        <v>100</v>
      </c>
      <c r="E31" s="612"/>
      <c r="F31" s="420">
        <f>SUMIF(89:89,E31,90:90)-SUMIF(89:89,C31,90:90)+100</f>
        <v>100</v>
      </c>
      <c r="G31" s="612"/>
      <c r="H31" s="394">
        <f>SUMIF(89:89,G31,90:90)-SUMIF(89:89,C31,90:90)+100</f>
        <v>100</v>
      </c>
      <c r="I31" s="612"/>
      <c r="J31" s="394">
        <f>SUMIF(89:89,I31,90:90)-SUMIF(89:89,C31,90:90)+100</f>
        <v>100</v>
      </c>
      <c r="K31" s="569"/>
      <c r="L31" s="2895"/>
      <c r="M31" s="2896"/>
      <c r="N31" s="2896"/>
      <c r="O31" s="2950"/>
      <c r="P31" s="3773"/>
      <c r="Q31" s="1477" t="str">
        <f t="shared" si="11"/>
        <v>是否封闭</v>
      </c>
      <c r="R31" s="709" t="s">
        <v>17</v>
      </c>
      <c r="S31" s="710">
        <f t="shared" si="12"/>
        <v>100</v>
      </c>
      <c r="T31" s="709" t="s">
        <v>17</v>
      </c>
      <c r="U31" s="710">
        <f t="shared" si="13"/>
        <v>100</v>
      </c>
      <c r="V31" s="709" t="s">
        <v>17</v>
      </c>
      <c r="W31" s="710">
        <f t="shared" si="14"/>
        <v>100</v>
      </c>
      <c r="X31" s="711"/>
      <c r="Y31" s="3773"/>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773" t="s">
        <v>2145</v>
      </c>
      <c r="Q32" s="1486">
        <f t="shared" si="11"/>
        <v>111</v>
      </c>
      <c r="R32" s="713" t="s">
        <v>17</v>
      </c>
      <c r="S32" s="714">
        <f t="shared" si="12"/>
        <v>100</v>
      </c>
      <c r="T32" s="713" t="s">
        <v>17</v>
      </c>
      <c r="U32" s="714">
        <f t="shared" si="13"/>
        <v>100</v>
      </c>
      <c r="V32" s="713" t="s">
        <v>17</v>
      </c>
      <c r="W32" s="714">
        <f t="shared" si="14"/>
        <v>100</v>
      </c>
      <c r="X32" s="1489"/>
      <c r="Y32" s="3773"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773"/>
      <c r="Q33" s="1486">
        <f t="shared" si="11"/>
        <v>111</v>
      </c>
      <c r="R33" s="713" t="s">
        <v>17</v>
      </c>
      <c r="S33" s="714">
        <f t="shared" si="12"/>
        <v>100</v>
      </c>
      <c r="T33" s="713" t="s">
        <v>17</v>
      </c>
      <c r="U33" s="714">
        <f t="shared" si="13"/>
        <v>100</v>
      </c>
      <c r="V33" s="713" t="s">
        <v>17</v>
      </c>
      <c r="W33" s="714">
        <f t="shared" si="14"/>
        <v>100</v>
      </c>
      <c r="X33" s="1489"/>
      <c r="Y33" s="3773"/>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773"/>
      <c r="Q34" s="1486">
        <f t="shared" si="11"/>
        <v>111</v>
      </c>
      <c r="R34" s="713" t="s">
        <v>17</v>
      </c>
      <c r="S34" s="714">
        <f t="shared" si="12"/>
        <v>100</v>
      </c>
      <c r="T34" s="713" t="s">
        <v>17</v>
      </c>
      <c r="U34" s="714">
        <f t="shared" si="13"/>
        <v>100</v>
      </c>
      <c r="V34" s="713" t="s">
        <v>17</v>
      </c>
      <c r="W34" s="714">
        <f t="shared" si="14"/>
        <v>100</v>
      </c>
      <c r="X34" s="1489"/>
      <c r="Y34" s="3773"/>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775" t="str">
        <f>A35</f>
        <v>成交单价（元/平方米）</v>
      </c>
      <c r="Q35" s="3775"/>
      <c r="R35" s="3776">
        <f>E35</f>
        <v>0</v>
      </c>
      <c r="S35" s="3776"/>
      <c r="T35" s="3776">
        <f>G35</f>
        <v>0</v>
      </c>
      <c r="U35" s="3776"/>
      <c r="V35" s="3776">
        <f>I35</f>
        <v>0</v>
      </c>
      <c r="W35" s="3776"/>
      <c r="X35" s="698"/>
      <c r="Y35" s="720"/>
      <c r="Z35" s="698"/>
      <c r="AA35" s="698"/>
      <c r="AB35" s="698"/>
      <c r="AC35" s="698"/>
    </row>
    <row r="36" spans="1:30" ht="15.75" thickBot="1">
      <c r="A36" s="445" t="s">
        <v>2248</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775" t="str">
        <f>A36</f>
        <v>比较价值（元/平方米）</v>
      </c>
      <c r="Q36" s="3775"/>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98"/>
      <c r="Y36" s="698"/>
      <c r="Z36" s="698"/>
      <c r="AA36" s="698"/>
      <c r="AB36" s="698"/>
      <c r="AC36" s="698"/>
    </row>
    <row r="37" spans="1:30" ht="15.75" thickBot="1">
      <c r="A37" s="449" t="s">
        <v>2249</v>
      </c>
      <c r="B37" s="450"/>
      <c r="C37" s="1277" t="e">
        <f>R37</f>
        <v>#DIV/0!</v>
      </c>
      <c r="D37" s="1277"/>
      <c r="E37" s="1277"/>
      <c r="F37" s="1277"/>
      <c r="G37" s="1277"/>
      <c r="H37" s="1277"/>
      <c r="I37" s="1277"/>
      <c r="J37" s="1277"/>
      <c r="K37" s="723"/>
      <c r="L37" s="2902"/>
      <c r="M37" s="2903"/>
      <c r="N37" s="2903"/>
      <c r="O37" s="2903"/>
      <c r="P37" s="3777" t="str">
        <f>A37</f>
        <v>估价对象XX用房的比较价值（楼面单价，元/平方米）</v>
      </c>
      <c r="Q37" s="3778"/>
      <c r="R37" s="3826" t="e">
        <f>IF(F1="售价",ROUND(IF(D36="简单平均",AVERAGE(R36:W36),R36*F36+T36*H36+V36*J36),0),ROUND(IF(D36="简单平均",AVERAGE(R36:V36),R36*F36+T36*H36+V36*J36),1))</f>
        <v>#DIV/0!</v>
      </c>
      <c r="S37" s="3826"/>
      <c r="T37" s="3826"/>
      <c r="U37" s="3826"/>
      <c r="V37" s="3826"/>
      <c r="W37" s="3826"/>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2253</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4">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5">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5" t="s">
        <v>2254</v>
      </c>
      <c r="D65" s="615" t="s">
        <v>2255</v>
      </c>
      <c r="E65" s="615" t="s">
        <v>2256</v>
      </c>
      <c r="F65" s="615" t="s">
        <v>2257</v>
      </c>
      <c r="G65" s="615" t="s">
        <v>2258</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1">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C2" xr:uid="{00000000-0002-0000-2900-00000F000000}">
      <formula1>"需扣减承租人权益,——"</formula1>
    </dataValidation>
    <dataValidation type="list" allowBlank="1" showInputMessage="1" showErrorMessage="1" sqref="F2" xr:uid="{00000000-0002-0000-2900-000010000000}">
      <formula1>估价方法</formula1>
    </dataValidation>
    <dataValidation type="list" allowBlank="1" showInputMessage="1" showErrorMessage="1" sqref="D36"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2323</v>
      </c>
      <c r="B1" s="355"/>
      <c r="C1" s="356" t="s">
        <v>2324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2325</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753" t="s">
        <v>2226</v>
      </c>
      <c r="D4" s="3754"/>
      <c r="E4" s="3755" t="s">
        <v>2227</v>
      </c>
      <c r="F4" s="3756"/>
      <c r="G4" s="3753" t="s">
        <v>2228</v>
      </c>
      <c r="H4" s="3754"/>
      <c r="I4" s="3753" t="s">
        <v>2229</v>
      </c>
      <c r="J4" s="3754"/>
      <c r="K4" s="567" t="s">
        <v>2230</v>
      </c>
      <c r="L4" s="2893"/>
      <c r="M4" s="2894"/>
      <c r="N4" s="2894"/>
      <c r="O4" s="2894"/>
      <c r="P4" s="3757" t="s">
        <v>2231</v>
      </c>
      <c r="Q4" s="3758"/>
      <c r="R4" s="3744" t="s">
        <v>2227</v>
      </c>
      <c r="S4" s="3745"/>
      <c r="T4" s="3744" t="s">
        <v>2228</v>
      </c>
      <c r="U4" s="3745"/>
      <c r="V4" s="3741" t="s">
        <v>2229</v>
      </c>
      <c r="W4" s="3741"/>
      <c r="X4" s="1489"/>
      <c r="Y4" s="3744" t="s">
        <v>2231</v>
      </c>
      <c r="Z4" s="3745"/>
      <c r="AA4" s="3738" t="s">
        <v>2227</v>
      </c>
      <c r="AB4" s="3739" t="s">
        <v>2228</v>
      </c>
      <c r="AC4" s="3738" t="s">
        <v>2229</v>
      </c>
    </row>
    <row r="5" spans="1:30" ht="15">
      <c r="A5" s="364"/>
      <c r="B5" s="365"/>
      <c r="C5" s="3806" t="s">
        <v>2122</v>
      </c>
      <c r="D5" s="3749"/>
      <c r="E5" s="3804" t="s">
        <v>2123</v>
      </c>
      <c r="F5" s="3805"/>
      <c r="G5" s="3806" t="s">
        <v>2124</v>
      </c>
      <c r="H5" s="3749"/>
      <c r="I5" s="3806" t="s">
        <v>2125</v>
      </c>
      <c r="J5" s="3749"/>
      <c r="K5" s="567"/>
      <c r="L5" s="2893"/>
      <c r="M5" s="2894"/>
      <c r="N5" s="2894"/>
      <c r="O5" s="2894"/>
      <c r="P5" s="3759"/>
      <c r="Q5" s="3760"/>
      <c r="R5" s="3746"/>
      <c r="S5" s="3747"/>
      <c r="T5" s="3746"/>
      <c r="U5" s="3747"/>
      <c r="V5" s="3741"/>
      <c r="W5" s="3741"/>
      <c r="X5" s="1489"/>
      <c r="Y5" s="3746"/>
      <c r="Z5" s="3747"/>
      <c r="AA5" s="3739"/>
      <c r="AB5" s="3739"/>
      <c r="AC5" s="3739"/>
    </row>
    <row r="6" spans="1:30" ht="15.75" thickBot="1">
      <c r="A6" s="366"/>
      <c r="B6" s="367"/>
      <c r="C6" s="3807" t="s">
        <v>2126</v>
      </c>
      <c r="D6" s="3751"/>
      <c r="E6" s="3808" t="s">
        <v>2126</v>
      </c>
      <c r="F6" s="3809"/>
      <c r="G6" s="3807" t="s">
        <v>2126</v>
      </c>
      <c r="H6" s="3751"/>
      <c r="I6" s="3807" t="s">
        <v>2126</v>
      </c>
      <c r="J6" s="3751"/>
      <c r="K6" s="567" t="s">
        <v>2127</v>
      </c>
      <c r="L6" s="2893"/>
      <c r="M6" s="2894"/>
      <c r="N6" s="2894"/>
      <c r="O6" s="2894"/>
      <c r="P6" s="3761"/>
      <c r="Q6" s="3762"/>
      <c r="R6" s="3746"/>
      <c r="S6" s="3747"/>
      <c r="T6" s="3763"/>
      <c r="U6" s="3764"/>
      <c r="V6" s="3741"/>
      <c r="W6" s="3741"/>
      <c r="X6" s="1489"/>
      <c r="Y6" s="3763"/>
      <c r="Z6" s="3764"/>
      <c r="AA6" s="3740"/>
      <c r="AB6" s="3740"/>
      <c r="AC6" s="3740"/>
    </row>
    <row r="7" spans="1:30" s="113" customFormat="1" ht="15.75" thickBot="1">
      <c r="A7" s="368" t="s">
        <v>2128</v>
      </c>
      <c r="B7" s="369"/>
      <c r="C7" s="370">
        <f>'数据-取费表'!B2</f>
        <v>44868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742" t="s">
        <v>2129</v>
      </c>
      <c r="Q7" s="3765"/>
      <c r="R7" s="709" t="s">
        <v>17</v>
      </c>
      <c r="S7" s="710">
        <f t="shared" ref="S7:S15" si="0">F7</f>
        <v>0</v>
      </c>
      <c r="T7" s="709" t="s">
        <v>17</v>
      </c>
      <c r="U7" s="710">
        <f t="shared" ref="U7:U15" si="1">H7</f>
        <v>0</v>
      </c>
      <c r="V7" s="709" t="s">
        <v>17</v>
      </c>
      <c r="W7" s="710">
        <f t="shared" ref="W7:W15" si="2">J7</f>
        <v>0</v>
      </c>
      <c r="X7" s="711"/>
      <c r="Y7" s="3742" t="s">
        <v>2129</v>
      </c>
      <c r="Z7" s="3743"/>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742" t="s">
        <v>2132</v>
      </c>
      <c r="Q8" s="3743"/>
      <c r="R8" s="709" t="s">
        <v>17</v>
      </c>
      <c r="S8" s="710">
        <f t="shared" si="0"/>
        <v>0</v>
      </c>
      <c r="T8" s="709" t="s">
        <v>17</v>
      </c>
      <c r="U8" s="710">
        <f t="shared" si="1"/>
        <v>0</v>
      </c>
      <c r="V8" s="709" t="s">
        <v>17</v>
      </c>
      <c r="W8" s="710">
        <f t="shared" si="2"/>
        <v>0</v>
      </c>
      <c r="X8" s="711"/>
      <c r="Y8" s="3742" t="s">
        <v>2132</v>
      </c>
      <c r="Z8" s="3743"/>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775" t="s">
        <v>2135</v>
      </c>
      <c r="Q9" s="1477" t="str">
        <f t="shared" ref="Q9:Q15" si="6">B9</f>
        <v>用途</v>
      </c>
      <c r="R9" s="709" t="s">
        <v>17</v>
      </c>
      <c r="S9" s="710">
        <f t="shared" si="0"/>
        <v>100</v>
      </c>
      <c r="T9" s="709" t="s">
        <v>17</v>
      </c>
      <c r="U9" s="710">
        <f t="shared" si="1"/>
        <v>100</v>
      </c>
      <c r="V9" s="709" t="s">
        <v>17</v>
      </c>
      <c r="W9" s="710">
        <f t="shared" si="2"/>
        <v>100</v>
      </c>
      <c r="X9" s="711"/>
      <c r="Y9" s="3705"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128</v>
      </c>
      <c r="G10" s="422"/>
      <c r="H10" s="132">
        <f>ROUND(100/'数据-取费表'!G16,0)</f>
        <v>128</v>
      </c>
      <c r="I10" s="422"/>
      <c r="J10" s="132">
        <f>ROUND(100/'数据-取费表'!G16,0)</f>
        <v>128</v>
      </c>
      <c r="K10" s="627"/>
      <c r="L10" s="2897"/>
      <c r="M10" s="2898"/>
      <c r="N10" s="2898"/>
      <c r="O10" s="2951"/>
      <c r="P10" s="3775"/>
      <c r="Q10" s="1477" t="str">
        <f t="shared" si="6"/>
        <v>土地使用年限（年）</v>
      </c>
      <c r="R10" s="709" t="s">
        <v>17</v>
      </c>
      <c r="S10" s="710">
        <f t="shared" si="0"/>
        <v>128</v>
      </c>
      <c r="T10" s="709" t="s">
        <v>17</v>
      </c>
      <c r="U10" s="710">
        <f t="shared" si="1"/>
        <v>128</v>
      </c>
      <c r="V10" s="709" t="s">
        <v>17</v>
      </c>
      <c r="W10" s="710">
        <f t="shared" si="2"/>
        <v>128</v>
      </c>
      <c r="X10" s="711"/>
      <c r="Y10" s="3705"/>
      <c r="Z10" s="55" t="str">
        <f t="shared" si="7"/>
        <v>土地使用年限（年）</v>
      </c>
      <c r="AA10" s="712">
        <f t="shared" si="3"/>
        <v>0.78125</v>
      </c>
      <c r="AB10" s="712">
        <f t="shared" si="4"/>
        <v>0.78125</v>
      </c>
      <c r="AC10" s="712">
        <f t="shared" si="5"/>
        <v>0.78125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9"/>
      <c r="M11" s="2894"/>
      <c r="N11" s="2894"/>
      <c r="O11" s="2952"/>
      <c r="P11" s="3775"/>
      <c r="Q11" s="1477" t="str">
        <f t="shared" si="6"/>
        <v>容积率</v>
      </c>
      <c r="R11" s="709" t="s">
        <v>17</v>
      </c>
      <c r="S11" s="710" t="e">
        <f t="shared" si="0"/>
        <v>#N/A</v>
      </c>
      <c r="T11" s="709" t="s">
        <v>17</v>
      </c>
      <c r="U11" s="710" t="e">
        <f t="shared" si="1"/>
        <v>#N/A</v>
      </c>
      <c r="V11" s="709" t="s">
        <v>17</v>
      </c>
      <c r="W11" s="710" t="e">
        <f t="shared" si="2"/>
        <v>#N/A</v>
      </c>
      <c r="X11" s="711"/>
      <c r="Y11" s="3705"/>
      <c r="Z11" s="55" t="str">
        <f t="shared" si="7"/>
        <v>容积率</v>
      </c>
      <c r="AA11" s="712" t="e">
        <f t="shared" si="3"/>
        <v>#N/A</v>
      </c>
      <c r="AB11" s="712" t="e">
        <f t="shared" si="4"/>
        <v>#N/A</v>
      </c>
      <c r="AC11" s="712"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7"/>
      <c r="L12" s="2895"/>
      <c r="M12" s="2896"/>
      <c r="N12" s="2896"/>
      <c r="O12" s="2950"/>
      <c r="P12" s="3775"/>
      <c r="Q12" s="1477" t="str">
        <f t="shared" si="6"/>
        <v>配建</v>
      </c>
      <c r="R12" s="709" t="s">
        <v>17</v>
      </c>
      <c r="S12" s="710">
        <f t="shared" si="0"/>
        <v>100</v>
      </c>
      <c r="T12" s="709" t="s">
        <v>17</v>
      </c>
      <c r="U12" s="710">
        <f t="shared" si="1"/>
        <v>100</v>
      </c>
      <c r="V12" s="709" t="s">
        <v>17</v>
      </c>
      <c r="W12" s="710">
        <f t="shared" si="2"/>
        <v>100</v>
      </c>
      <c r="X12" s="711"/>
      <c r="Y12" s="3705"/>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29"/>
      <c r="H13" s="394">
        <f>SUMIF(83:83,G13,84:84)-SUMIF(83:83,C13,84:84)+100</f>
        <v>100</v>
      </c>
      <c r="I13" s="629"/>
      <c r="J13" s="394">
        <f>SUMIF(83:83,I13,84:84)-SUMIF(83:83,C13,84:84)+100</f>
        <v>100</v>
      </c>
      <c r="K13" s="627"/>
      <c r="L13" s="2900"/>
      <c r="M13" s="2894"/>
      <c r="N13" s="2894"/>
      <c r="O13" s="2952"/>
      <c r="P13" s="3775"/>
      <c r="Q13" s="1477">
        <f t="shared" si="6"/>
        <v>111</v>
      </c>
      <c r="R13" s="709" t="s">
        <v>17</v>
      </c>
      <c r="S13" s="710">
        <f t="shared" si="0"/>
        <v>100</v>
      </c>
      <c r="T13" s="709" t="s">
        <v>17</v>
      </c>
      <c r="U13" s="710">
        <f t="shared" si="1"/>
        <v>100</v>
      </c>
      <c r="V13" s="709" t="s">
        <v>17</v>
      </c>
      <c r="W13" s="710">
        <f t="shared" si="2"/>
        <v>100</v>
      </c>
      <c r="X13" s="711"/>
      <c r="Y13" s="3705"/>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29"/>
      <c r="H14" s="397">
        <f>SUMIF(85:85,G14,86:86)-SUMIF(85:85,C14,86:86)+100</f>
        <v>100</v>
      </c>
      <c r="I14" s="629"/>
      <c r="J14" s="397">
        <f>SUMIF(85:85,I14,86:86)-SUMIF(85:85,C14,86:86)+100</f>
        <v>100</v>
      </c>
      <c r="K14" s="627"/>
      <c r="L14" s="2900"/>
      <c r="M14" s="2894"/>
      <c r="N14" s="2894"/>
      <c r="O14" s="2952"/>
      <c r="P14" s="3775"/>
      <c r="Q14" s="1477">
        <f t="shared" si="6"/>
        <v>111</v>
      </c>
      <c r="R14" s="709" t="s">
        <v>17</v>
      </c>
      <c r="S14" s="710">
        <f t="shared" si="0"/>
        <v>100</v>
      </c>
      <c r="T14" s="709" t="s">
        <v>17</v>
      </c>
      <c r="U14" s="710">
        <f t="shared" si="1"/>
        <v>100</v>
      </c>
      <c r="V14" s="709" t="s">
        <v>17</v>
      </c>
      <c r="W14" s="710">
        <f t="shared" si="2"/>
        <v>100</v>
      </c>
      <c r="X14" s="711"/>
      <c r="Y14" s="3705"/>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900"/>
      <c r="M15" s="2894"/>
      <c r="N15" s="2894"/>
      <c r="O15" s="2952"/>
      <c r="P15" s="3768" t="s">
        <v>2140</v>
      </c>
      <c r="Q15" s="1486" t="str">
        <f t="shared" si="6"/>
        <v>居住社区成熟度</v>
      </c>
      <c r="R15" s="713" t="s">
        <v>17</v>
      </c>
      <c r="S15" s="714">
        <f t="shared" si="0"/>
        <v>100</v>
      </c>
      <c r="T15" s="713" t="s">
        <v>17</v>
      </c>
      <c r="U15" s="714">
        <f t="shared" si="1"/>
        <v>100</v>
      </c>
      <c r="V15" s="713" t="s">
        <v>17</v>
      </c>
      <c r="W15" s="714">
        <f t="shared" si="2"/>
        <v>100</v>
      </c>
      <c r="X15" s="1489"/>
      <c r="Y15" s="3768"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7"/>
      <c r="L16" s="2900"/>
      <c r="M16" s="2894"/>
      <c r="N16" s="2894"/>
      <c r="O16" s="2952"/>
      <c r="P16" s="3769"/>
      <c r="Q16" s="1486"/>
      <c r="R16" s="713"/>
      <c r="S16" s="714"/>
      <c r="T16" s="713"/>
      <c r="U16" s="714"/>
      <c r="V16" s="713"/>
      <c r="W16" s="714"/>
      <c r="X16" s="1489"/>
      <c r="Y16" s="3769"/>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900"/>
      <c r="M17" s="2894"/>
      <c r="N17" s="2894"/>
      <c r="O17" s="2952"/>
      <c r="P17" s="3769"/>
      <c r="Q17" s="1486" t="str">
        <f>B17</f>
        <v>商业繁华度</v>
      </c>
      <c r="R17" s="713" t="s">
        <v>17</v>
      </c>
      <c r="S17" s="714">
        <f>F17</f>
        <v>100</v>
      </c>
      <c r="T17" s="713" t="s">
        <v>17</v>
      </c>
      <c r="U17" s="714">
        <f>H17</f>
        <v>100</v>
      </c>
      <c r="V17" s="713" t="s">
        <v>17</v>
      </c>
      <c r="W17" s="714">
        <f>J17</f>
        <v>100</v>
      </c>
      <c r="X17" s="1489"/>
      <c r="Y17" s="3769"/>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7"/>
      <c r="L18" s="2900"/>
      <c r="M18" s="2894"/>
      <c r="N18" s="2894"/>
      <c r="O18" s="2952"/>
      <c r="P18" s="3769"/>
      <c r="Q18" s="1486"/>
      <c r="R18" s="713"/>
      <c r="S18" s="714"/>
      <c r="T18" s="713"/>
      <c r="U18" s="714"/>
      <c r="V18" s="713"/>
      <c r="W18" s="714"/>
      <c r="X18" s="1489"/>
      <c r="Y18" s="3769"/>
      <c r="Z18" s="1490"/>
      <c r="AA18" s="1487">
        <v>1</v>
      </c>
      <c r="AB18" s="1487">
        <v>1</v>
      </c>
      <c r="AC18" s="1487">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900"/>
      <c r="M19" s="2894"/>
      <c r="N19" s="2894"/>
      <c r="O19" s="2952"/>
      <c r="P19" s="3769"/>
      <c r="Q19" s="1486" t="str">
        <f>B19</f>
        <v>办公集聚程度</v>
      </c>
      <c r="R19" s="713" t="s">
        <v>17</v>
      </c>
      <c r="S19" s="714">
        <f>F19</f>
        <v>100</v>
      </c>
      <c r="T19" s="713" t="s">
        <v>17</v>
      </c>
      <c r="U19" s="714">
        <f>H19</f>
        <v>100</v>
      </c>
      <c r="V19" s="713" t="s">
        <v>17</v>
      </c>
      <c r="W19" s="714">
        <f>J19</f>
        <v>100</v>
      </c>
      <c r="X19" s="1489"/>
      <c r="Y19" s="3769"/>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7"/>
      <c r="L20" s="2900"/>
      <c r="M20" s="2894"/>
      <c r="N20" s="2894"/>
      <c r="O20" s="2952"/>
      <c r="P20" s="3769"/>
      <c r="Q20" s="1486"/>
      <c r="R20" s="713"/>
      <c r="S20" s="714"/>
      <c r="T20" s="713"/>
      <c r="U20" s="714"/>
      <c r="V20" s="713"/>
      <c r="W20" s="714"/>
      <c r="X20" s="1489"/>
      <c r="Y20" s="3769"/>
      <c r="Z20" s="1490"/>
      <c r="AA20" s="1487">
        <v>1</v>
      </c>
      <c r="AB20" s="1487">
        <v>1</v>
      </c>
      <c r="AC20" s="1487">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900"/>
      <c r="M21" s="2894"/>
      <c r="N21" s="2894"/>
      <c r="O21" s="2952"/>
      <c r="P21" s="3769"/>
      <c r="Q21" s="1486" t="str">
        <f>B21</f>
        <v>交通便捷度</v>
      </c>
      <c r="R21" s="713" t="s">
        <v>17</v>
      </c>
      <c r="S21" s="714">
        <f>F21</f>
        <v>100</v>
      </c>
      <c r="T21" s="713" t="s">
        <v>17</v>
      </c>
      <c r="U21" s="714">
        <f>H21</f>
        <v>100</v>
      </c>
      <c r="V21" s="713" t="s">
        <v>17</v>
      </c>
      <c r="W21" s="714">
        <f>J21</f>
        <v>100</v>
      </c>
      <c r="X21" s="1489"/>
      <c r="Y21" s="3769"/>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7"/>
      <c r="L22" s="2900"/>
      <c r="M22" s="2894"/>
      <c r="N22" s="2894"/>
      <c r="O22" s="2952"/>
      <c r="P22" s="3769"/>
      <c r="Q22" s="1486"/>
      <c r="R22" s="713"/>
      <c r="S22" s="714"/>
      <c r="T22" s="713"/>
      <c r="U22" s="714"/>
      <c r="V22" s="713"/>
      <c r="W22" s="714"/>
      <c r="X22" s="1489"/>
      <c r="Y22" s="3769"/>
      <c r="Z22" s="1490"/>
      <c r="AA22" s="1487">
        <v>1</v>
      </c>
      <c r="AB22" s="1487">
        <v>1</v>
      </c>
      <c r="AC22" s="1487">
        <v>1</v>
      </c>
    </row>
    <row r="23" spans="1:29" ht="15">
      <c r="A23" s="364"/>
      <c r="B23" s="410" t="s">
        <v>2327</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900"/>
      <c r="M23" s="2894"/>
      <c r="N23" s="2894"/>
      <c r="O23" s="2952"/>
      <c r="P23" s="3769"/>
      <c r="Q23" s="1486" t="str">
        <f t="shared" ref="Q23:Q37" si="8">B23</f>
        <v>区域土地利用方向</v>
      </c>
      <c r="R23" s="713" t="s">
        <v>17</v>
      </c>
      <c r="S23" s="714">
        <f>F23</f>
        <v>100</v>
      </c>
      <c r="T23" s="713" t="s">
        <v>17</v>
      </c>
      <c r="U23" s="714">
        <f>H23</f>
        <v>100</v>
      </c>
      <c r="V23" s="713" t="s">
        <v>17</v>
      </c>
      <c r="W23" s="714">
        <f>J23</f>
        <v>100</v>
      </c>
      <c r="X23" s="1489"/>
      <c r="Y23" s="3769"/>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769"/>
      <c r="Q24" s="1486"/>
      <c r="R24" s="713"/>
      <c r="S24" s="714"/>
      <c r="T24" s="713"/>
      <c r="U24" s="714"/>
      <c r="V24" s="713"/>
      <c r="W24" s="714"/>
      <c r="X24" s="1489"/>
      <c r="Y24" s="3769"/>
      <c r="Z24" s="1490"/>
      <c r="AA24" s="1487"/>
      <c r="AB24" s="1487"/>
      <c r="AC24" s="1487"/>
    </row>
    <row r="25" spans="1:29" ht="57">
      <c r="A25" s="364"/>
      <c r="B25" s="1245"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900"/>
      <c r="M25" s="2894"/>
      <c r="N25" s="2894"/>
      <c r="O25" s="2952"/>
      <c r="P25" s="3769"/>
      <c r="Q25" s="1486" t="str">
        <f t="shared" si="8"/>
        <v>自然及人文环境状况</v>
      </c>
      <c r="R25" s="713" t="s">
        <v>17</v>
      </c>
      <c r="S25" s="714">
        <f>F25</f>
        <v>100</v>
      </c>
      <c r="T25" s="713" t="s">
        <v>17</v>
      </c>
      <c r="U25" s="714">
        <f>H25</f>
        <v>100</v>
      </c>
      <c r="V25" s="713" t="s">
        <v>17</v>
      </c>
      <c r="W25" s="714">
        <f>J25</f>
        <v>100</v>
      </c>
      <c r="X25" s="1489"/>
      <c r="Y25" s="3769"/>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7"/>
      <c r="L26" s="2900"/>
      <c r="M26" s="2894"/>
      <c r="N26" s="2894"/>
      <c r="O26" s="2952"/>
      <c r="P26" s="3769"/>
      <c r="Q26" s="1486"/>
      <c r="R26" s="713"/>
      <c r="S26" s="714"/>
      <c r="T26" s="713"/>
      <c r="U26" s="714"/>
      <c r="V26" s="713"/>
      <c r="W26" s="714"/>
      <c r="X26" s="1489"/>
      <c r="Y26" s="3769"/>
      <c r="Z26" s="1490"/>
      <c r="AA26" s="1487">
        <v>1</v>
      </c>
      <c r="AB26" s="1487">
        <v>1</v>
      </c>
      <c r="AC26" s="1487">
        <v>1</v>
      </c>
    </row>
    <row r="27" spans="1:29" s="113" customFormat="1" ht="42.75">
      <c r="A27" s="604"/>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5"/>
      <c r="M27" s="2896"/>
      <c r="N27" s="2896"/>
      <c r="O27" s="2950"/>
      <c r="P27" s="3769"/>
      <c r="Q27" s="1477" t="str">
        <f t="shared" si="8"/>
        <v>公共配套设施</v>
      </c>
      <c r="R27" s="709" t="s">
        <v>17</v>
      </c>
      <c r="S27" s="710">
        <f>F27</f>
        <v>100</v>
      </c>
      <c r="T27" s="709" t="s">
        <v>17</v>
      </c>
      <c r="U27" s="710">
        <f>H27</f>
        <v>100</v>
      </c>
      <c r="V27" s="709" t="s">
        <v>17</v>
      </c>
      <c r="W27" s="710">
        <f>J27</f>
        <v>100</v>
      </c>
      <c r="X27" s="711"/>
      <c r="Y27" s="3769"/>
      <c r="Z27" s="55" t="str">
        <f>Q27</f>
        <v>公共配套设施</v>
      </c>
      <c r="AA27" s="1487">
        <f>D27/F27</f>
        <v>1</v>
      </c>
      <c r="AB27" s="1487">
        <f>D27/H27</f>
        <v>1</v>
      </c>
      <c r="AC27" s="1487">
        <f>D27/J27</f>
        <v>1</v>
      </c>
    </row>
    <row r="28" spans="1:29" s="113" customFormat="1" ht="15">
      <c r="A28" s="604"/>
      <c r="B28" s="415"/>
      <c r="C28" s="2114"/>
      <c r="D28" s="407"/>
      <c r="E28" s="2040"/>
      <c r="F28" s="407"/>
      <c r="G28" s="2040"/>
      <c r="H28" s="407"/>
      <c r="I28" s="406"/>
      <c r="J28" s="407"/>
      <c r="K28" s="627"/>
      <c r="L28" s="2895"/>
      <c r="M28" s="2896"/>
      <c r="N28" s="2896"/>
      <c r="O28" s="2950"/>
      <c r="P28" s="3769"/>
      <c r="Q28" s="1477"/>
      <c r="R28" s="709"/>
      <c r="S28" s="710"/>
      <c r="T28" s="709"/>
      <c r="U28" s="710"/>
      <c r="V28" s="709"/>
      <c r="W28" s="710"/>
      <c r="X28" s="711"/>
      <c r="Y28" s="3769"/>
      <c r="Z28" s="55"/>
      <c r="AA28" s="1487">
        <v>1</v>
      </c>
      <c r="AB28" s="1487">
        <v>1</v>
      </c>
      <c r="AC28" s="1487">
        <v>1</v>
      </c>
    </row>
    <row r="29" spans="1:29" s="113" customFormat="1" ht="28.5">
      <c r="A29" s="604"/>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5"/>
      <c r="M29" s="2896"/>
      <c r="N29" s="2896"/>
      <c r="O29" s="2950"/>
      <c r="P29" s="3769"/>
      <c r="Q29" s="1477" t="str">
        <f t="shared" ref="Q29" si="9">B29</f>
        <v>基础设施水平</v>
      </c>
      <c r="R29" s="709" t="s">
        <v>17</v>
      </c>
      <c r="S29" s="710">
        <f>F29</f>
        <v>100</v>
      </c>
      <c r="T29" s="709" t="s">
        <v>17</v>
      </c>
      <c r="U29" s="710">
        <f>H29</f>
        <v>100</v>
      </c>
      <c r="V29" s="709" t="s">
        <v>17</v>
      </c>
      <c r="W29" s="710">
        <f>J29</f>
        <v>100</v>
      </c>
      <c r="X29" s="711"/>
      <c r="Y29" s="3769"/>
      <c r="Z29" s="55" t="str">
        <f>Q29</f>
        <v>基础设施水平</v>
      </c>
      <c r="AA29" s="1487">
        <f>D29/F29</f>
        <v>1</v>
      </c>
      <c r="AB29" s="1487">
        <f>D29/H29</f>
        <v>1</v>
      </c>
      <c r="AC29" s="1487">
        <f>D29/J29</f>
        <v>1</v>
      </c>
    </row>
    <row r="30" spans="1:29" s="113" customFormat="1" ht="15">
      <c r="A30" s="604"/>
      <c r="B30" s="415"/>
      <c r="C30" s="2114"/>
      <c r="D30" s="407"/>
      <c r="E30" s="2115"/>
      <c r="F30" s="407"/>
      <c r="G30" s="2115"/>
      <c r="H30" s="407"/>
      <c r="I30" s="2115"/>
      <c r="J30" s="407"/>
      <c r="K30" s="627"/>
      <c r="L30" s="2895"/>
      <c r="M30" s="2896"/>
      <c r="N30" s="2896"/>
      <c r="O30" s="2950"/>
      <c r="P30" s="3769"/>
      <c r="Q30" s="1477"/>
      <c r="R30" s="709"/>
      <c r="S30" s="710"/>
      <c r="T30" s="709"/>
      <c r="U30" s="710"/>
      <c r="V30" s="709"/>
      <c r="W30" s="710"/>
      <c r="X30" s="711"/>
      <c r="Y30" s="3769"/>
      <c r="Z30" s="55"/>
      <c r="AA30" s="1487">
        <v>1</v>
      </c>
      <c r="AB30" s="1487">
        <v>1</v>
      </c>
      <c r="AC30" s="1487">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900"/>
      <c r="M31" s="2894"/>
      <c r="N31" s="2894"/>
      <c r="O31" s="2952"/>
      <c r="P31" s="3769"/>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769"/>
      <c r="Z31" s="1490" t="str">
        <f t="shared" ref="Z31:Z45" si="13">Q31</f>
        <v>临街状况</v>
      </c>
      <c r="AA31" s="1487">
        <f t="shared" si="3"/>
        <v>1</v>
      </c>
      <c r="AB31" s="1487">
        <f t="shared" si="4"/>
        <v>1</v>
      </c>
      <c r="AC31" s="1487">
        <f t="shared" si="5"/>
        <v>1</v>
      </c>
    </row>
    <row r="32" spans="1:29" ht="27">
      <c r="A32" s="387"/>
      <c r="B32" s="1245"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900"/>
      <c r="M32" s="2894"/>
      <c r="N32" s="2894"/>
      <c r="O32" s="2952"/>
      <c r="P32" s="3769"/>
      <c r="Q32" s="1486" t="str">
        <f t="shared" si="8"/>
        <v>毗邻道路的类型与等级</v>
      </c>
      <c r="R32" s="713" t="s">
        <v>17</v>
      </c>
      <c r="S32" s="714">
        <f t="shared" si="10"/>
        <v>100</v>
      </c>
      <c r="T32" s="713" t="s">
        <v>17</v>
      </c>
      <c r="U32" s="714">
        <f t="shared" si="11"/>
        <v>100</v>
      </c>
      <c r="V32" s="713" t="s">
        <v>17</v>
      </c>
      <c r="W32" s="714">
        <f t="shared" si="12"/>
        <v>100</v>
      </c>
      <c r="X32" s="1489"/>
      <c r="Y32" s="3769"/>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769"/>
      <c r="Q33" s="1486"/>
      <c r="R33" s="713"/>
      <c r="S33" s="714"/>
      <c r="T33" s="713"/>
      <c r="U33" s="714"/>
      <c r="V33" s="713"/>
      <c r="W33" s="714"/>
      <c r="X33" s="1489"/>
      <c r="Y33" s="3769"/>
      <c r="Z33" s="1490"/>
      <c r="AA33" s="1487">
        <v>1</v>
      </c>
      <c r="AB33" s="1487">
        <v>1</v>
      </c>
      <c r="AC33" s="1487">
        <v>1</v>
      </c>
    </row>
    <row r="34" spans="1:29" ht="15">
      <c r="A34" s="387"/>
      <c r="B34" s="381" t="s">
        <v>2329</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900"/>
      <c r="M34" s="2894"/>
      <c r="N34" s="2894"/>
      <c r="O34" s="2952"/>
      <c r="P34" s="3769"/>
      <c r="Q34" s="1486" t="str">
        <f t="shared" si="8"/>
        <v>土地级别</v>
      </c>
      <c r="R34" s="713" t="s">
        <v>17</v>
      </c>
      <c r="S34" s="714">
        <f t="shared" si="10"/>
        <v>100</v>
      </c>
      <c r="T34" s="713" t="s">
        <v>17</v>
      </c>
      <c r="U34" s="714">
        <f t="shared" si="11"/>
        <v>100</v>
      </c>
      <c r="V34" s="713" t="s">
        <v>17</v>
      </c>
      <c r="W34" s="714">
        <f t="shared" si="12"/>
        <v>100</v>
      </c>
      <c r="X34" s="1489"/>
      <c r="Y34" s="3769"/>
      <c r="Z34" s="1490" t="str">
        <f t="shared" si="13"/>
        <v>土地级别</v>
      </c>
      <c r="AA34" s="1487">
        <f t="shared" si="3"/>
        <v>1</v>
      </c>
      <c r="AB34" s="1487">
        <f t="shared" si="4"/>
        <v>1</v>
      </c>
      <c r="AC34" s="1487">
        <f t="shared" si="5"/>
        <v>1</v>
      </c>
    </row>
    <row r="35" spans="1:29" ht="15">
      <c r="A35" s="364"/>
      <c r="B35" s="1247">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900"/>
      <c r="M35" s="2894"/>
      <c r="N35" s="2894"/>
      <c r="O35" s="2952"/>
      <c r="P35" s="3769"/>
      <c r="Q35" s="1486">
        <f t="shared" si="8"/>
        <v>111</v>
      </c>
      <c r="R35" s="713" t="s">
        <v>17</v>
      </c>
      <c r="S35" s="714">
        <f t="shared" si="10"/>
        <v>100</v>
      </c>
      <c r="T35" s="713" t="s">
        <v>17</v>
      </c>
      <c r="U35" s="714">
        <f t="shared" si="11"/>
        <v>100</v>
      </c>
      <c r="V35" s="713" t="s">
        <v>17</v>
      </c>
      <c r="W35" s="714">
        <f t="shared" si="12"/>
        <v>100</v>
      </c>
      <c r="X35" s="1489"/>
      <c r="Y35" s="3769"/>
      <c r="Z35" s="1490">
        <f t="shared" si="13"/>
        <v>111</v>
      </c>
      <c r="AA35" s="1487">
        <f t="shared" si="3"/>
        <v>1</v>
      </c>
      <c r="AB35" s="1487">
        <f t="shared" si="4"/>
        <v>1</v>
      </c>
      <c r="AC35" s="1487">
        <f t="shared" si="5"/>
        <v>1</v>
      </c>
    </row>
    <row r="36" spans="1:29" ht="15">
      <c r="A36" s="630"/>
      <c r="B36" s="1248">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900"/>
      <c r="M36" s="2894"/>
      <c r="N36" s="2894"/>
      <c r="O36" s="2952"/>
      <c r="P36" s="3825" t="s">
        <v>2145</v>
      </c>
      <c r="Q36" s="1486">
        <f t="shared" si="8"/>
        <v>111</v>
      </c>
      <c r="R36" s="713" t="s">
        <v>17</v>
      </c>
      <c r="S36" s="714">
        <f t="shared" si="10"/>
        <v>100</v>
      </c>
      <c r="T36" s="713" t="s">
        <v>17</v>
      </c>
      <c r="U36" s="714">
        <f t="shared" si="11"/>
        <v>100</v>
      </c>
      <c r="V36" s="713" t="s">
        <v>17</v>
      </c>
      <c r="W36" s="714">
        <f t="shared" si="12"/>
        <v>100</v>
      </c>
      <c r="X36" s="1489"/>
      <c r="Y36" s="3773" t="s">
        <v>2145</v>
      </c>
      <c r="Z36" s="1490">
        <f t="shared" si="13"/>
        <v>111</v>
      </c>
      <c r="AA36" s="1487">
        <f t="shared" si="3"/>
        <v>1</v>
      </c>
      <c r="AB36" s="1487">
        <f t="shared" si="4"/>
        <v>1</v>
      </c>
      <c r="AC36" s="1487">
        <f t="shared" si="5"/>
        <v>1</v>
      </c>
    </row>
    <row r="37" spans="1:29" s="430" customFormat="1" ht="15.75" thickBot="1">
      <c r="A37" s="631"/>
      <c r="B37" s="1249">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9"/>
      <c r="M37" s="2901"/>
      <c r="N37" s="2901"/>
      <c r="O37" s="2953"/>
      <c r="P37" s="3773"/>
      <c r="Q37" s="1486">
        <f t="shared" si="8"/>
        <v>111</v>
      </c>
      <c r="R37" s="716" t="s">
        <v>17</v>
      </c>
      <c r="S37" s="717">
        <f t="shared" si="10"/>
        <v>100</v>
      </c>
      <c r="T37" s="716" t="s">
        <v>17</v>
      </c>
      <c r="U37" s="717">
        <f t="shared" si="11"/>
        <v>100</v>
      </c>
      <c r="V37" s="716" t="s">
        <v>17</v>
      </c>
      <c r="W37" s="717">
        <f t="shared" si="12"/>
        <v>100</v>
      </c>
      <c r="X37" s="718"/>
      <c r="Y37" s="3773"/>
      <c r="Z37" s="719">
        <f t="shared" si="13"/>
        <v>111</v>
      </c>
      <c r="AA37" s="1487">
        <f t="shared" si="3"/>
        <v>1</v>
      </c>
      <c r="AB37" s="1487">
        <f t="shared" si="4"/>
        <v>1</v>
      </c>
      <c r="AC37" s="1487">
        <f t="shared" si="5"/>
        <v>1</v>
      </c>
    </row>
    <row r="38" spans="1:29" ht="15">
      <c r="A38" s="431" t="s">
        <v>2143</v>
      </c>
      <c r="B38" s="415" t="s">
        <v>2330</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900"/>
      <c r="M38" s="2894"/>
      <c r="N38" s="2894"/>
      <c r="O38" s="2952"/>
      <c r="P38" s="3773"/>
      <c r="Q38" s="1486" t="str">
        <f>B38</f>
        <v>宗地面积</v>
      </c>
      <c r="R38" s="713" t="s">
        <v>17</v>
      </c>
      <c r="S38" s="714" t="e">
        <f t="shared" si="10"/>
        <v>#N/A</v>
      </c>
      <c r="T38" s="713" t="s">
        <v>17</v>
      </c>
      <c r="U38" s="714" t="e">
        <f t="shared" si="11"/>
        <v>#N/A</v>
      </c>
      <c r="V38" s="713" t="s">
        <v>17</v>
      </c>
      <c r="W38" s="714" t="e">
        <f t="shared" si="12"/>
        <v>#N/A</v>
      </c>
      <c r="X38" s="1489"/>
      <c r="Y38" s="3773"/>
      <c r="Z38" s="1490" t="str">
        <f t="shared" si="13"/>
        <v>宗地面积</v>
      </c>
      <c r="AA38" s="1487" t="e">
        <f t="shared" si="3"/>
        <v>#N/A</v>
      </c>
      <c r="AB38" s="1487" t="e">
        <f t="shared" si="4"/>
        <v>#N/A</v>
      </c>
      <c r="AC38" s="1487"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773"/>
      <c r="Q39" s="1486" t="str">
        <f t="shared" ref="Q39:Q45" si="14">B39</f>
        <v>宗地形状</v>
      </c>
      <c r="R39" s="713" t="s">
        <v>17</v>
      </c>
      <c r="S39" s="714">
        <f t="shared" si="10"/>
        <v>100</v>
      </c>
      <c r="T39" s="713" t="s">
        <v>17</v>
      </c>
      <c r="U39" s="714">
        <f t="shared" si="11"/>
        <v>100</v>
      </c>
      <c r="V39" s="713" t="s">
        <v>17</v>
      </c>
      <c r="W39" s="714">
        <f t="shared" si="12"/>
        <v>100</v>
      </c>
      <c r="X39" s="1489"/>
      <c r="Y39" s="3773"/>
      <c r="Z39" s="1490" t="str">
        <f t="shared" si="13"/>
        <v>宗地形状</v>
      </c>
      <c r="AA39" s="1487">
        <f t="shared" si="3"/>
        <v>1</v>
      </c>
      <c r="AB39" s="1487">
        <f t="shared" si="4"/>
        <v>1</v>
      </c>
      <c r="AC39" s="1487">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773"/>
      <c r="Q40" s="1486" t="str">
        <f t="shared" si="14"/>
        <v>临街宽度及深度</v>
      </c>
      <c r="R40" s="713" t="s">
        <v>17</v>
      </c>
      <c r="S40" s="714">
        <f t="shared" si="10"/>
        <v>100</v>
      </c>
      <c r="T40" s="713" t="s">
        <v>17</v>
      </c>
      <c r="U40" s="714">
        <f t="shared" si="11"/>
        <v>100</v>
      </c>
      <c r="V40" s="713" t="s">
        <v>17</v>
      </c>
      <c r="W40" s="714">
        <f t="shared" si="12"/>
        <v>100</v>
      </c>
      <c r="X40" s="1489"/>
      <c r="Y40" s="3773"/>
      <c r="Z40" s="1490" t="str">
        <f t="shared" si="13"/>
        <v>临街宽度及深度</v>
      </c>
      <c r="AA40" s="1487">
        <f t="shared" si="3"/>
        <v>1</v>
      </c>
      <c r="AB40" s="1487">
        <f t="shared" si="4"/>
        <v>1</v>
      </c>
      <c r="AC40" s="1487">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773"/>
      <c r="Q41" s="1486" t="str">
        <f t="shared" si="14"/>
        <v>宗地开发程度</v>
      </c>
      <c r="R41" s="709" t="s">
        <v>17</v>
      </c>
      <c r="S41" s="710">
        <f t="shared" si="10"/>
        <v>100</v>
      </c>
      <c r="T41" s="709" t="s">
        <v>17</v>
      </c>
      <c r="U41" s="710">
        <f t="shared" si="11"/>
        <v>100</v>
      </c>
      <c r="V41" s="709" t="s">
        <v>17</v>
      </c>
      <c r="W41" s="710">
        <f t="shared" si="12"/>
        <v>100</v>
      </c>
      <c r="X41" s="711"/>
      <c r="Y41" s="3773"/>
      <c r="Z41" s="55" t="str">
        <f t="shared" si="13"/>
        <v>宗地开发程度</v>
      </c>
      <c r="AA41" s="712">
        <f t="shared" si="3"/>
        <v>1</v>
      </c>
      <c r="AB41" s="712">
        <f t="shared" si="4"/>
        <v>1</v>
      </c>
      <c r="AC41" s="712">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773" t="s">
        <v>2145</v>
      </c>
      <c r="Q42" s="1486" t="str">
        <f t="shared" si="14"/>
        <v>工程地质条件</v>
      </c>
      <c r="R42" s="713" t="s">
        <v>17</v>
      </c>
      <c r="S42" s="714">
        <f t="shared" si="10"/>
        <v>100</v>
      </c>
      <c r="T42" s="713" t="s">
        <v>17</v>
      </c>
      <c r="U42" s="714">
        <f t="shared" si="11"/>
        <v>100</v>
      </c>
      <c r="V42" s="713" t="s">
        <v>17</v>
      </c>
      <c r="W42" s="714">
        <f t="shared" si="12"/>
        <v>100</v>
      </c>
      <c r="X42" s="1489"/>
      <c r="Y42" s="3773" t="s">
        <v>2145</v>
      </c>
      <c r="Z42" s="1490" t="str">
        <f t="shared" si="13"/>
        <v>工程地质条件</v>
      </c>
      <c r="AA42" s="1487">
        <f t="shared" si="3"/>
        <v>1</v>
      </c>
      <c r="AB42" s="1487">
        <f t="shared" si="4"/>
        <v>1</v>
      </c>
      <c r="AC42" s="1487">
        <f t="shared" si="5"/>
        <v>1</v>
      </c>
    </row>
    <row r="43" spans="1:29" ht="15">
      <c r="A43" s="431"/>
      <c r="B43" s="1248">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900"/>
      <c r="M43" s="2894"/>
      <c r="N43" s="2894"/>
      <c r="O43" s="2952"/>
      <c r="P43" s="3773"/>
      <c r="Q43" s="1486">
        <f t="shared" si="14"/>
        <v>111</v>
      </c>
      <c r="R43" s="713" t="s">
        <v>17</v>
      </c>
      <c r="S43" s="714">
        <f t="shared" si="10"/>
        <v>100</v>
      </c>
      <c r="T43" s="713" t="s">
        <v>17</v>
      </c>
      <c r="U43" s="714">
        <f t="shared" si="11"/>
        <v>100</v>
      </c>
      <c r="V43" s="713" t="s">
        <v>17</v>
      </c>
      <c r="W43" s="714">
        <f t="shared" si="12"/>
        <v>100</v>
      </c>
      <c r="X43" s="1489"/>
      <c r="Y43" s="3773"/>
      <c r="Z43" s="1490">
        <f t="shared" si="13"/>
        <v>111</v>
      </c>
      <c r="AA43" s="1487">
        <f t="shared" si="3"/>
        <v>1</v>
      </c>
      <c r="AB43" s="1487">
        <f t="shared" si="4"/>
        <v>1</v>
      </c>
      <c r="AC43" s="1487">
        <f t="shared" si="5"/>
        <v>1</v>
      </c>
    </row>
    <row r="44" spans="1:29" ht="15">
      <c r="A44" s="431"/>
      <c r="B44" s="1248">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900"/>
      <c r="M44" s="2894"/>
      <c r="N44" s="2894"/>
      <c r="O44" s="2952"/>
      <c r="P44" s="3773"/>
      <c r="Q44" s="1486">
        <f t="shared" si="14"/>
        <v>111</v>
      </c>
      <c r="R44" s="713" t="s">
        <v>17</v>
      </c>
      <c r="S44" s="714">
        <f t="shared" si="10"/>
        <v>100</v>
      </c>
      <c r="T44" s="713" t="s">
        <v>17</v>
      </c>
      <c r="U44" s="714">
        <f t="shared" si="11"/>
        <v>100</v>
      </c>
      <c r="V44" s="713" t="s">
        <v>17</v>
      </c>
      <c r="W44" s="714">
        <f t="shared" si="12"/>
        <v>100</v>
      </c>
      <c r="X44" s="1489"/>
      <c r="Y44" s="3773"/>
      <c r="Z44" s="1490">
        <f t="shared" si="13"/>
        <v>111</v>
      </c>
      <c r="AA44" s="1487">
        <f t="shared" si="3"/>
        <v>1</v>
      </c>
      <c r="AB44" s="1487">
        <f t="shared" si="4"/>
        <v>1</v>
      </c>
      <c r="AC44" s="1487">
        <f t="shared" si="5"/>
        <v>1</v>
      </c>
    </row>
    <row r="45" spans="1:29" s="430" customFormat="1" ht="15.75" thickBot="1">
      <c r="A45" s="427"/>
      <c r="B45" s="1248">
        <v>111</v>
      </c>
      <c r="C45" s="2117"/>
      <c r="D45" s="635">
        <v>100</v>
      </c>
      <c r="E45" s="629"/>
      <c r="F45" s="397">
        <f>SUMIF(130:130,E45,131:131)-SUMIF(130:130,C45,131:131)+100</f>
        <v>100</v>
      </c>
      <c r="G45" s="629"/>
      <c r="H45" s="397">
        <f>SUMIF(130:130,G45,131:131)-SUMIF(130:130,C45,131:131)+100</f>
        <v>100</v>
      </c>
      <c r="I45" s="629"/>
      <c r="J45" s="397">
        <f>SUMIF(130:130,I45,131:131)-SUMIF(130:130,C45,131:131)+100</f>
        <v>100</v>
      </c>
      <c r="K45" s="636"/>
      <c r="L45" s="2899"/>
      <c r="M45" s="2901"/>
      <c r="N45" s="2901"/>
      <c r="O45" s="2953"/>
      <c r="P45" s="3773"/>
      <c r="Q45" s="1486">
        <f t="shared" si="14"/>
        <v>111</v>
      </c>
      <c r="R45" s="716" t="s">
        <v>17</v>
      </c>
      <c r="S45" s="717">
        <f t="shared" si="10"/>
        <v>100</v>
      </c>
      <c r="T45" s="716" t="s">
        <v>17</v>
      </c>
      <c r="U45" s="717">
        <f t="shared" si="11"/>
        <v>100</v>
      </c>
      <c r="V45" s="716" t="s">
        <v>17</v>
      </c>
      <c r="W45" s="717">
        <f t="shared" si="12"/>
        <v>100</v>
      </c>
      <c r="X45" s="718"/>
      <c r="Y45" s="3773"/>
      <c r="Z45" s="719">
        <f t="shared" si="13"/>
        <v>111</v>
      </c>
      <c r="AA45" s="1487">
        <f t="shared" si="3"/>
        <v>1</v>
      </c>
      <c r="AB45" s="1487">
        <f t="shared" si="4"/>
        <v>1</v>
      </c>
      <c r="AC45" s="1487">
        <f t="shared" si="5"/>
        <v>1</v>
      </c>
    </row>
    <row r="46" spans="1:29" ht="15">
      <c r="A46" s="438" t="s">
        <v>2299</v>
      </c>
      <c r="B46" s="2118" t="s">
        <v>2335</v>
      </c>
      <c r="C46" s="637" t="s">
        <v>1</v>
      </c>
      <c r="D46" s="440"/>
      <c r="E46" s="441"/>
      <c r="F46" s="442"/>
      <c r="G46" s="443"/>
      <c r="H46" s="444"/>
      <c r="I46" s="441"/>
      <c r="J46" s="444"/>
      <c r="K46" s="722"/>
      <c r="L46" s="2902"/>
      <c r="M46" s="2903"/>
      <c r="N46" s="2894"/>
      <c r="O46" s="2903"/>
      <c r="P46" s="3775" t="str">
        <f>A46</f>
        <v>成交单价</v>
      </c>
      <c r="Q46" s="3775"/>
      <c r="R46" s="3741">
        <f>E46</f>
        <v>0</v>
      </c>
      <c r="S46" s="3741"/>
      <c r="T46" s="3741">
        <f>G46</f>
        <v>0</v>
      </c>
      <c r="U46" s="3741"/>
      <c r="V46" s="3741">
        <f>I46</f>
        <v>0</v>
      </c>
      <c r="W46" s="3741"/>
      <c r="X46" s="698"/>
      <c r="Y46" s="720"/>
      <c r="Z46" s="698"/>
      <c r="AA46" s="698"/>
      <c r="AB46" s="698"/>
      <c r="AC46" s="698"/>
    </row>
    <row r="47" spans="1:29" ht="15.75" thickBot="1">
      <c r="A47" s="445" t="s">
        <v>2248</v>
      </c>
      <c r="B47" s="638"/>
      <c r="C47" s="448" t="e">
        <f>R48</f>
        <v>#DIV/0!</v>
      </c>
      <c r="D47" s="2488" t="s">
        <v>2638</v>
      </c>
      <c r="E47" s="448" t="e">
        <f>R47</f>
        <v>#DIV/0!</v>
      </c>
      <c r="F47" s="2489"/>
      <c r="G47" s="447" t="e">
        <f>T47</f>
        <v>#DIV/0!</v>
      </c>
      <c r="H47" s="2489"/>
      <c r="I47" s="448" t="e">
        <f>V47</f>
        <v>#DIV/0!</v>
      </c>
      <c r="J47" s="2489"/>
      <c r="K47" s="2491">
        <f>F47+H47+J47</f>
        <v>0</v>
      </c>
      <c r="L47" s="2902"/>
      <c r="M47" s="2903"/>
      <c r="N47" s="2903"/>
      <c r="O47" s="2903"/>
      <c r="P47" s="3775" t="str">
        <f>A47</f>
        <v>比较价值（元/平方米）</v>
      </c>
      <c r="Q47" s="3775"/>
      <c r="R47" s="3827" t="e">
        <f>ROUND(PRODUCT(R46,AA7:AA45),0)</f>
        <v>#DIV/0!</v>
      </c>
      <c r="S47" s="3827"/>
      <c r="T47" s="3827" t="e">
        <f>ROUND(PRODUCT(T46,AB7:AB45),0)</f>
        <v>#DIV/0!</v>
      </c>
      <c r="U47" s="3827"/>
      <c r="V47" s="3827" t="e">
        <f>ROUND(PRODUCT(V46,AC7:AC45),0)</f>
        <v>#DIV/0!</v>
      </c>
      <c r="W47" s="3827"/>
      <c r="X47" s="698"/>
      <c r="Y47" s="698"/>
      <c r="Z47" s="698"/>
      <c r="AA47" s="698"/>
      <c r="AB47" s="698"/>
      <c r="AC47" s="698"/>
    </row>
    <row r="48" spans="1:29" ht="15.75" thickBot="1">
      <c r="A48" s="449" t="s">
        <v>2336</v>
      </c>
      <c r="B48" s="450"/>
      <c r="C48" s="451" t="e">
        <f>R48</f>
        <v>#DIV/0!</v>
      </c>
      <c r="D48" s="451"/>
      <c r="E48" s="451"/>
      <c r="F48" s="451"/>
      <c r="G48" s="451"/>
      <c r="H48" s="451"/>
      <c r="I48" s="451"/>
      <c r="J48" s="451"/>
      <c r="K48" s="723"/>
      <c r="L48" s="2902"/>
      <c r="M48" s="2903"/>
      <c r="N48" s="2903"/>
      <c r="O48" s="2903"/>
      <c r="P48" s="3777" t="str">
        <f>A48</f>
        <v>估价对象XX用房的比较价值（楼面单价，元/平方米）</v>
      </c>
      <c r="Q48" s="3778"/>
      <c r="R48" s="3828" t="e">
        <f>ROUND(IF(D47="简单平均",AVERAGE(R47:W47),R47*F47+T47*H47+V47*J47),0)</f>
        <v>#DIV/0!</v>
      </c>
      <c r="S48" s="3828"/>
      <c r="T48" s="3828"/>
      <c r="U48" s="3828"/>
      <c r="V48" s="3828"/>
      <c r="W48" s="3828"/>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2337</v>
      </c>
      <c r="B55" s="640" t="s">
        <v>2338</v>
      </c>
      <c r="C55" s="2119" t="s">
        <v>2339</v>
      </c>
      <c r="D55" s="2120" t="s">
        <v>2340</v>
      </c>
      <c r="E55" s="641" t="s">
        <v>2341</v>
      </c>
      <c r="F55" s="1001" t="s">
        <v>2342</v>
      </c>
      <c r="G55" s="3753" t="s">
        <v>2343</v>
      </c>
      <c r="H55" s="3829"/>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2346</v>
      </c>
      <c r="B56" s="644" t="e">
        <f>C48</f>
        <v>#DIV/0!</v>
      </c>
      <c r="C56" s="645">
        <v>1</v>
      </c>
      <c r="D56" s="1055">
        <v>1</v>
      </c>
      <c r="E56" s="645">
        <f>'数据-汇总表'!E8+'数据-汇总表'!E9</f>
        <v>58.81</v>
      </c>
      <c r="F56" s="997" t="e">
        <f t="shared" ref="F56:F64" si="15">ROUND(B56*E56/10000,0)</f>
        <v>#DIV/0!</v>
      </c>
      <c r="G56" s="3752"/>
      <c r="H56" s="3775"/>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2347</v>
      </c>
      <c r="B57" s="224" t="e">
        <f>ROUND($C$48*C57*D57,0)</f>
        <v>#DIV/0!</v>
      </c>
      <c r="C57" s="176">
        <f t="shared" ref="C57:C64" si="16">IF($C$55="北京市系数",I57,J57)</f>
        <v>0.7</v>
      </c>
      <c r="D57" s="1056">
        <v>0.25</v>
      </c>
      <c r="E57" s="649"/>
      <c r="F57" s="997" t="e">
        <f t="shared" si="15"/>
        <v>#DIV/0!</v>
      </c>
      <c r="G57" s="3227" t="s">
        <v>2348</v>
      </c>
      <c r="H57" s="998" t="str">
        <f>项目基本情况!B37</f>
        <v>二级</v>
      </c>
      <c r="I57" s="1002">
        <f>SUMIF(修正!A57:A68,H57,修正!B57:B68)</f>
        <v>0.7</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2349</v>
      </c>
      <c r="B58" s="224" t="e">
        <f t="shared" ref="B58:B64" si="17">ROUND($C$48*C58*D58,0)</f>
        <v>#DIV/0!</v>
      </c>
      <c r="C58" s="176">
        <f t="shared" si="16"/>
        <v>0.4</v>
      </c>
      <c r="D58" s="1056">
        <v>0.25</v>
      </c>
      <c r="E58" s="649"/>
      <c r="F58" s="997" t="e">
        <f t="shared" si="15"/>
        <v>#DIV/0!</v>
      </c>
      <c r="G58" s="3228"/>
      <c r="H58" s="998" t="str">
        <f>项目基本情况!B37</f>
        <v>二级</v>
      </c>
      <c r="I58" s="1002">
        <f>SUMIF(修正!A57:A68,H58,修正!C57:C68)</f>
        <v>0.4</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2350</v>
      </c>
      <c r="B59" s="224" t="e">
        <f t="shared" si="17"/>
        <v>#DIV/0!</v>
      </c>
      <c r="C59" s="176">
        <f t="shared" si="16"/>
        <v>0.3</v>
      </c>
      <c r="D59" s="1056">
        <v>0.25</v>
      </c>
      <c r="E59" s="649"/>
      <c r="F59" s="997" t="e">
        <f t="shared" si="15"/>
        <v>#DIV/0!</v>
      </c>
      <c r="G59" s="3228"/>
      <c r="H59" s="998" t="str">
        <f>项目基本情况!B37</f>
        <v>二级</v>
      </c>
      <c r="I59" s="1002">
        <f>SUMIF(修正!A57:A68,H59,修正!D57:D68)</f>
        <v>0.3</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2351</v>
      </c>
      <c r="B60" s="224" t="e">
        <f t="shared" si="17"/>
        <v>#DIV/0!</v>
      </c>
      <c r="C60" s="176">
        <f t="shared" si="16"/>
        <v>0</v>
      </c>
      <c r="D60" s="1056">
        <v>0.25</v>
      </c>
      <c r="E60" s="223">
        <f>'数据-汇总表'!E11</f>
        <v>0</v>
      </c>
      <c r="F60" s="997" t="e">
        <f t="shared" si="15"/>
        <v>#DIV/0!</v>
      </c>
      <c r="G60" s="2123" t="s">
        <v>2352</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2353</v>
      </c>
      <c r="B61" s="224" t="e">
        <f t="shared" si="17"/>
        <v>#DIV/0!</v>
      </c>
      <c r="C61" s="176">
        <f t="shared" si="16"/>
        <v>0</v>
      </c>
      <c r="D61" s="1056">
        <v>0.25</v>
      </c>
      <c r="E61" s="223">
        <f>'数据-汇总表'!E12</f>
        <v>0</v>
      </c>
      <c r="F61" s="997" t="e">
        <f t="shared" si="15"/>
        <v>#DIV/0!</v>
      </c>
      <c r="G61" s="1003" t="s">
        <v>2354</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2355</v>
      </c>
      <c r="B62" s="224" t="e">
        <f t="shared" si="17"/>
        <v>#DIV/0!</v>
      </c>
      <c r="C62" s="176">
        <f t="shared" si="16"/>
        <v>0</v>
      </c>
      <c r="D62" s="1056">
        <v>0.25</v>
      </c>
      <c r="E62" s="223">
        <f>'数据-汇总表'!E13</f>
        <v>0</v>
      </c>
      <c r="F62" s="997" t="e">
        <f t="shared" si="15"/>
        <v>#DIV/0!</v>
      </c>
      <c r="G62" s="1003" t="s">
        <v>2356</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2357</v>
      </c>
      <c r="B63" s="224" t="e">
        <f t="shared" si="17"/>
        <v>#DIV/0!</v>
      </c>
      <c r="C63" s="176">
        <f t="shared" si="16"/>
        <v>0.2</v>
      </c>
      <c r="D63" s="1056">
        <v>0.25</v>
      </c>
      <c r="E63" s="223">
        <f>'数据-汇总表'!E14</f>
        <v>0</v>
      </c>
      <c r="F63" s="997" t="e">
        <f t="shared" si="15"/>
        <v>#DIV/0!</v>
      </c>
      <c r="G63" s="2123" t="s">
        <v>2348</v>
      </c>
      <c r="H63" s="998" t="str">
        <f>项目基本情况!B37</f>
        <v>二级</v>
      </c>
      <c r="I63" s="1002">
        <f>SUMIF(修正!A57:A68,H63,修正!G57:G68)</f>
        <v>0.2</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2358</v>
      </c>
      <c r="B64" s="224" t="e">
        <f t="shared" si="17"/>
        <v>#DIV/0!</v>
      </c>
      <c r="C64" s="176">
        <f t="shared" si="16"/>
        <v>0</v>
      </c>
      <c r="D64" s="1056">
        <v>0.25</v>
      </c>
      <c r="E64" s="223">
        <f>'数据-汇总表'!E15</f>
        <v>0</v>
      </c>
      <c r="F64" s="997" t="e">
        <f t="shared" si="15"/>
        <v>#DIV/0!</v>
      </c>
      <c r="G64" s="2124" t="s">
        <v>2352</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2359</v>
      </c>
      <c r="B65" s="651" t="s">
        <v>28</v>
      </c>
      <c r="C65" s="651" t="s">
        <v>29</v>
      </c>
      <c r="D65" s="651" t="s">
        <v>816</v>
      </c>
      <c r="E65" s="651">
        <f>IF(B46="楼面地价",SUM(E56:E64),'数据-汇总表'!D3)</f>
        <v>58.81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2253</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4">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3"/>
      <c r="M95" s="577"/>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7"/>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5" t="s">
        <v>2254</v>
      </c>
      <c r="D101" s="615" t="s">
        <v>2255</v>
      </c>
      <c r="E101" s="615" t="s">
        <v>2256</v>
      </c>
      <c r="F101" s="615" t="s">
        <v>2257</v>
      </c>
      <c r="G101" s="615" t="s">
        <v>2258</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5"/>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A00-000000000000}">
      <formula1>住宅朝向</formula1>
    </dataValidation>
    <dataValidation type="list" allowBlank="1" showInputMessage="1" showErrorMessage="1" sqref="E28 C28 G28 I28" xr:uid="{00000000-0002-0000-2A00-000001000000}">
      <formula1>公共配套设施</formula1>
    </dataValidation>
    <dataValidation type="list" allowBlank="1" showInputMessage="1" showErrorMessage="1" sqref="E22 C22 G22 I22" xr:uid="{00000000-0002-0000-2A00-000002000000}">
      <formula1>交通便捷度</formula1>
    </dataValidation>
    <dataValidation type="list" allowBlank="1" showInputMessage="1" showErrorMessage="1" sqref="E16 G16 I16 C16" xr:uid="{00000000-0002-0000-2A00-000003000000}">
      <formula1>居住社区成熟度</formula1>
    </dataValidation>
    <dataValidation type="list" allowBlank="1" showInputMessage="1" showErrorMessage="1" sqref="C26 E26 G26 I26" xr:uid="{00000000-0002-0000-2A00-000004000000}">
      <formula1>环境</formula1>
    </dataValidation>
    <dataValidation type="list" allowBlank="1" showInputMessage="1" showErrorMessage="1" sqref="B46" xr:uid="{00000000-0002-0000-2A00-000005000000}">
      <formula1>单价内涵</formula1>
    </dataValidation>
    <dataValidation type="list" allowBlank="1" showInputMessage="1" showErrorMessage="1" sqref="C8 E8 G8 I8" xr:uid="{00000000-0002-0000-2A00-000006000000}">
      <formula1>套综交易情况</formula1>
    </dataValidation>
    <dataValidation type="list" allowBlank="1" showInputMessage="1" showErrorMessage="1" sqref="C9 E9 G9 I9" xr:uid="{00000000-0002-0000-2A00-000007000000}">
      <formula1>套综用途</formula1>
    </dataValidation>
    <dataValidation type="list" allowBlank="1" showInputMessage="1" showErrorMessage="1" sqref="E18 C18 G18 I18" xr:uid="{00000000-0002-0000-2A00-000008000000}">
      <formula1>商业繁华度</formula1>
    </dataValidation>
    <dataValidation type="list" allowBlank="1" showInputMessage="1" showErrorMessage="1" sqref="E20 C20 G20 I20" xr:uid="{00000000-0002-0000-2A00-000009000000}">
      <formula1>办公集聚程度</formula1>
    </dataValidation>
    <dataValidation type="list" allowBlank="1" showInputMessage="1" showErrorMessage="1" sqref="C33 E33 G33 I33" xr:uid="{00000000-0002-0000-2A00-00000A000000}">
      <formula1>套综道路等级</formula1>
    </dataValidation>
    <dataValidation type="list" allowBlank="1" showInputMessage="1" showErrorMessage="1" sqref="C34 E34 G34 I34" xr:uid="{00000000-0002-0000-2A00-00000B000000}">
      <formula1>套综土地级别</formula1>
    </dataValidation>
    <dataValidation type="list" allowBlank="1" showInputMessage="1" showErrorMessage="1" sqref="C39 E39 G39 I39" xr:uid="{00000000-0002-0000-2A00-00000C000000}">
      <formula1>套综宗地形状</formula1>
    </dataValidation>
    <dataValidation type="list" allowBlank="1" showInputMessage="1" showErrorMessage="1" sqref="C40 E40 G40 I40" xr:uid="{00000000-0002-0000-2A00-00000D000000}">
      <formula1>套综临街宽度及深度</formula1>
    </dataValidation>
    <dataValidation type="list" allowBlank="1" showInputMessage="1" showErrorMessage="1" sqref="C41 E41 G41 I41" xr:uid="{00000000-0002-0000-2A00-00000E000000}">
      <formula1>套综宗地内开发程度</formula1>
    </dataValidation>
    <dataValidation type="list" allowBlank="1" showInputMessage="1" showErrorMessage="1" sqref="C42 E42 G42 I42" xr:uid="{00000000-0002-0000-2A00-00000F000000}">
      <formula1>套综工程地质条件</formula1>
    </dataValidation>
    <dataValidation type="list" allowBlank="1" showInputMessage="1" showErrorMessage="1" sqref="C31 E31 G31 I31" xr:uid="{00000000-0002-0000-2A00-000010000000}">
      <formula1>临街状况</formula1>
    </dataValidation>
    <dataValidation type="list" allowBlank="1" showInputMessage="1" showErrorMessage="1" sqref="E24 G24 I24 C24" xr:uid="{00000000-0002-0000-2A00-000011000000}">
      <formula1>区域土地利用方向</formula1>
    </dataValidation>
    <dataValidation type="list" allowBlank="1" showInputMessage="1" showErrorMessage="1" sqref="C55" xr:uid="{00000000-0002-0000-2A00-000012000000}">
      <formula1>"北京市系数,其他省市系数"</formula1>
    </dataValidation>
    <dataValidation type="list" allowBlank="1" showInputMessage="1" showErrorMessage="1" sqref="G61" xr:uid="{00000000-0002-0000-2A00-000013000000}">
      <formula1>"商业,办公,住宅,工业"</formula1>
    </dataValidation>
    <dataValidation type="list" allowBlank="1" showInputMessage="1" showErrorMessage="1" sqref="G62" xr:uid="{00000000-0002-0000-2A00-000014000000}">
      <formula1>"住宅,工业"</formula1>
    </dataValidation>
    <dataValidation type="list" allowBlank="1" showInputMessage="1" showErrorMessage="1" sqref="C30 E30 G30 I30" xr:uid="{00000000-0002-0000-2A00-000015000000}">
      <formula1>基础设施水平</formula1>
    </dataValidation>
    <dataValidation type="list" allowBlank="1" showInputMessage="1" showErrorMessage="1" sqref="A70" xr:uid="{00000000-0002-0000-2A00-000016000000}">
      <formula1>"综合,商业,办公,住宅"</formula1>
    </dataValidation>
    <dataValidation type="list" allowBlank="1" showInputMessage="1" showErrorMessage="1" sqref="D47" xr:uid="{00000000-0002-0000-2A00-000017000000}">
      <formula1>"简单平均,加权平均"</formula1>
    </dataValidation>
    <dataValidation type="list" allowBlank="1" showInputMessage="1" showErrorMessage="1" sqref="D57:D64" xr:uid="{00000000-0002-0000-2A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2323</v>
      </c>
      <c r="B1" s="355"/>
      <c r="C1" s="356"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2325</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753" t="s">
        <v>2226</v>
      </c>
      <c r="D4" s="3754"/>
      <c r="E4" s="3755" t="s">
        <v>2227</v>
      </c>
      <c r="F4" s="3756"/>
      <c r="G4" s="3753" t="s">
        <v>2228</v>
      </c>
      <c r="H4" s="3754"/>
      <c r="I4" s="3753" t="s">
        <v>2229</v>
      </c>
      <c r="J4" s="3754"/>
      <c r="K4" s="567" t="s">
        <v>2230</v>
      </c>
      <c r="L4" s="2893"/>
      <c r="M4" s="2894"/>
      <c r="N4" s="2894"/>
      <c r="O4" s="2894"/>
      <c r="P4" s="3757" t="s">
        <v>2231</v>
      </c>
      <c r="Q4" s="3758"/>
      <c r="R4" s="3744" t="s">
        <v>2227</v>
      </c>
      <c r="S4" s="3745"/>
      <c r="T4" s="3744" t="s">
        <v>2228</v>
      </c>
      <c r="U4" s="3745"/>
      <c r="V4" s="3741" t="s">
        <v>2229</v>
      </c>
      <c r="W4" s="3741"/>
      <c r="X4" s="1489"/>
      <c r="Y4" s="3744" t="s">
        <v>2231</v>
      </c>
      <c r="Z4" s="3745"/>
      <c r="AA4" s="3738" t="s">
        <v>2227</v>
      </c>
      <c r="AB4" s="3739" t="s">
        <v>2228</v>
      </c>
      <c r="AC4" s="3738" t="s">
        <v>2229</v>
      </c>
    </row>
    <row r="5" spans="1:29" ht="15">
      <c r="A5" s="364"/>
      <c r="B5" s="365"/>
      <c r="C5" s="3806" t="s">
        <v>2122</v>
      </c>
      <c r="D5" s="3749"/>
      <c r="E5" s="3804" t="s">
        <v>2123</v>
      </c>
      <c r="F5" s="3805"/>
      <c r="G5" s="3806" t="s">
        <v>2124</v>
      </c>
      <c r="H5" s="3749"/>
      <c r="I5" s="3806" t="s">
        <v>2125</v>
      </c>
      <c r="J5" s="3749"/>
      <c r="K5" s="567"/>
      <c r="L5" s="2893"/>
      <c r="M5" s="2894"/>
      <c r="N5" s="2894"/>
      <c r="O5" s="2894"/>
      <c r="P5" s="3759"/>
      <c r="Q5" s="3760"/>
      <c r="R5" s="3746"/>
      <c r="S5" s="3747"/>
      <c r="T5" s="3746"/>
      <c r="U5" s="3747"/>
      <c r="V5" s="3741"/>
      <c r="W5" s="3741"/>
      <c r="X5" s="1489"/>
      <c r="Y5" s="3746"/>
      <c r="Z5" s="3747"/>
      <c r="AA5" s="3739"/>
      <c r="AB5" s="3739"/>
      <c r="AC5" s="3739"/>
    </row>
    <row r="6" spans="1:29" ht="15.75" thickBot="1">
      <c r="A6" s="366"/>
      <c r="B6" s="367"/>
      <c r="C6" s="3830" t="s">
        <v>2375</v>
      </c>
      <c r="D6" s="3831"/>
      <c r="E6" s="3832" t="s">
        <v>2375</v>
      </c>
      <c r="F6" s="3833"/>
      <c r="G6" s="3830" t="s">
        <v>2375</v>
      </c>
      <c r="H6" s="3831"/>
      <c r="I6" s="3830" t="s">
        <v>2375</v>
      </c>
      <c r="J6" s="3831"/>
      <c r="K6" s="567" t="s">
        <v>2127</v>
      </c>
      <c r="L6" s="2893"/>
      <c r="M6" s="2894"/>
      <c r="N6" s="2894"/>
      <c r="O6" s="2894"/>
      <c r="P6" s="3761"/>
      <c r="Q6" s="3762"/>
      <c r="R6" s="3746"/>
      <c r="S6" s="3747"/>
      <c r="T6" s="3763"/>
      <c r="U6" s="3764"/>
      <c r="V6" s="3741"/>
      <c r="W6" s="3741"/>
      <c r="X6" s="1489"/>
      <c r="Y6" s="3763"/>
      <c r="Z6" s="3764"/>
      <c r="AA6" s="3740"/>
      <c r="AB6" s="3740"/>
      <c r="AC6" s="3740"/>
    </row>
    <row r="7" spans="1:29" s="113" customFormat="1" ht="15.75" thickBot="1">
      <c r="A7" s="368" t="s">
        <v>2128</v>
      </c>
      <c r="B7" s="369"/>
      <c r="C7" s="370">
        <f>'数据-取费表'!B2</f>
        <v>44868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742" t="s">
        <v>2129</v>
      </c>
      <c r="Q7" s="3765"/>
      <c r="R7" s="709" t="s">
        <v>17</v>
      </c>
      <c r="S7" s="710">
        <f t="shared" ref="S7:S15" si="0">F7</f>
        <v>0</v>
      </c>
      <c r="T7" s="709" t="s">
        <v>17</v>
      </c>
      <c r="U7" s="710">
        <f t="shared" ref="U7:U15" si="1">H7</f>
        <v>0</v>
      </c>
      <c r="V7" s="709" t="s">
        <v>17</v>
      </c>
      <c r="W7" s="710">
        <f t="shared" ref="W7:W15" si="2">J7</f>
        <v>0</v>
      </c>
      <c r="X7" s="711"/>
      <c r="Y7" s="3742" t="s">
        <v>2129</v>
      </c>
      <c r="Z7" s="3743"/>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742" t="s">
        <v>2132</v>
      </c>
      <c r="Q8" s="3743"/>
      <c r="R8" s="709" t="s">
        <v>17</v>
      </c>
      <c r="S8" s="710">
        <f t="shared" si="0"/>
        <v>0</v>
      </c>
      <c r="T8" s="709" t="s">
        <v>17</v>
      </c>
      <c r="U8" s="710">
        <f t="shared" si="1"/>
        <v>0</v>
      </c>
      <c r="V8" s="709" t="s">
        <v>17</v>
      </c>
      <c r="W8" s="710">
        <f t="shared" si="2"/>
        <v>0</v>
      </c>
      <c r="X8" s="711"/>
      <c r="Y8" s="3742" t="s">
        <v>2132</v>
      </c>
      <c r="Z8" s="3743"/>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775" t="s">
        <v>2135</v>
      </c>
      <c r="Q9" s="1477" t="str">
        <f t="shared" ref="Q9:Q15" si="6">B9</f>
        <v>用途</v>
      </c>
      <c r="R9" s="709" t="s">
        <v>17</v>
      </c>
      <c r="S9" s="710">
        <f t="shared" si="0"/>
        <v>100</v>
      </c>
      <c r="T9" s="709" t="s">
        <v>17</v>
      </c>
      <c r="U9" s="710">
        <f t="shared" si="1"/>
        <v>100</v>
      </c>
      <c r="V9" s="709" t="s">
        <v>17</v>
      </c>
      <c r="W9" s="710">
        <f t="shared" si="2"/>
        <v>100</v>
      </c>
      <c r="X9" s="711"/>
      <c r="Y9" s="3705"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128</v>
      </c>
      <c r="G10" s="391"/>
      <c r="H10" s="132">
        <f>ROUND(100/'数据-取费表'!G16,0)</f>
        <v>128</v>
      </c>
      <c r="I10" s="391"/>
      <c r="J10" s="132">
        <f>ROUND(100/'数据-取费表'!G16,0)</f>
        <v>128</v>
      </c>
      <c r="K10" s="627"/>
      <c r="L10" s="2897"/>
      <c r="M10" s="2898"/>
      <c r="N10" s="2898"/>
      <c r="O10" s="2951"/>
      <c r="P10" s="3775"/>
      <c r="Q10" s="1477" t="str">
        <f t="shared" si="6"/>
        <v>土地使用年限（年）</v>
      </c>
      <c r="R10" s="709" t="s">
        <v>17</v>
      </c>
      <c r="S10" s="710">
        <f t="shared" si="0"/>
        <v>128</v>
      </c>
      <c r="T10" s="709" t="s">
        <v>17</v>
      </c>
      <c r="U10" s="710">
        <f t="shared" si="1"/>
        <v>128</v>
      </c>
      <c r="V10" s="709" t="s">
        <v>17</v>
      </c>
      <c r="W10" s="710">
        <f t="shared" si="2"/>
        <v>128</v>
      </c>
      <c r="X10" s="711"/>
      <c r="Y10" s="3705"/>
      <c r="Z10" s="55" t="str">
        <f t="shared" si="7"/>
        <v>土地使用年限（年）</v>
      </c>
      <c r="AA10" s="712">
        <f t="shared" si="3"/>
        <v>0.78125</v>
      </c>
      <c r="AB10" s="712">
        <f t="shared" si="4"/>
        <v>0.78125</v>
      </c>
      <c r="AC10" s="712">
        <f t="shared" si="5"/>
        <v>0.78125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9"/>
      <c r="M11" s="2894"/>
      <c r="N11" s="2894"/>
      <c r="O11" s="2952"/>
      <c r="P11" s="3775"/>
      <c r="Q11" s="1477" t="str">
        <f t="shared" si="6"/>
        <v>容积率</v>
      </c>
      <c r="R11" s="709" t="s">
        <v>17</v>
      </c>
      <c r="S11" s="710" t="e">
        <f t="shared" si="0"/>
        <v>#N/A</v>
      </c>
      <c r="T11" s="709" t="s">
        <v>17</v>
      </c>
      <c r="U11" s="710" t="e">
        <f t="shared" si="1"/>
        <v>#N/A</v>
      </c>
      <c r="V11" s="709" t="s">
        <v>17</v>
      </c>
      <c r="W11" s="710" t="e">
        <f t="shared" si="2"/>
        <v>#N/A</v>
      </c>
      <c r="X11" s="711"/>
      <c r="Y11" s="3705"/>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29"/>
      <c r="H12" s="132">
        <f>SUMIF(77:77,G12,78:78)-SUMIF(77:77,C12,78:78)+100</f>
        <v>100</v>
      </c>
      <c r="I12" s="506"/>
      <c r="J12" s="132">
        <f>SUMIF(77:77,I12,78:78)-SUMIF(77:77,C12,78:78)+100</f>
        <v>100</v>
      </c>
      <c r="K12" s="627"/>
      <c r="L12" s="2895"/>
      <c r="M12" s="2896"/>
      <c r="N12" s="2896"/>
      <c r="O12" s="2950"/>
      <c r="P12" s="3775"/>
      <c r="Q12" s="1477">
        <f t="shared" si="6"/>
        <v>111</v>
      </c>
      <c r="R12" s="709" t="s">
        <v>17</v>
      </c>
      <c r="S12" s="710">
        <f t="shared" si="0"/>
        <v>100</v>
      </c>
      <c r="T12" s="709" t="s">
        <v>17</v>
      </c>
      <c r="U12" s="710">
        <f t="shared" si="1"/>
        <v>100</v>
      </c>
      <c r="V12" s="709" t="s">
        <v>17</v>
      </c>
      <c r="W12" s="710">
        <f t="shared" si="2"/>
        <v>100</v>
      </c>
      <c r="X12" s="711"/>
      <c r="Y12" s="3705"/>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29"/>
      <c r="H13" s="394">
        <f>SUMIF(79:79,G13,80:80)-SUMIF(79:79,C13,80:80)+100</f>
        <v>100</v>
      </c>
      <c r="I13" s="506"/>
      <c r="J13" s="394">
        <f>SUMIF(79:79,I13,80:80)-SUMIF(79:79,C13,80:80)+100</f>
        <v>100</v>
      </c>
      <c r="K13" s="627"/>
      <c r="L13" s="2900"/>
      <c r="M13" s="2894"/>
      <c r="N13" s="2894"/>
      <c r="O13" s="2952"/>
      <c r="P13" s="3775"/>
      <c r="Q13" s="1477">
        <f t="shared" si="6"/>
        <v>111</v>
      </c>
      <c r="R13" s="709" t="s">
        <v>17</v>
      </c>
      <c r="S13" s="710">
        <f t="shared" si="0"/>
        <v>100</v>
      </c>
      <c r="T13" s="709" t="s">
        <v>17</v>
      </c>
      <c r="U13" s="710">
        <f t="shared" si="1"/>
        <v>100</v>
      </c>
      <c r="V13" s="709" t="s">
        <v>17</v>
      </c>
      <c r="W13" s="710">
        <f t="shared" si="2"/>
        <v>100</v>
      </c>
      <c r="X13" s="711"/>
      <c r="Y13" s="3705"/>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29"/>
      <c r="H14" s="397">
        <f>SUMIF(81:81,G14,82:82)-SUMIF(81:81,C14,82:82)+100</f>
        <v>100</v>
      </c>
      <c r="I14" s="506"/>
      <c r="J14" s="397">
        <f>SUMIF(81:81,I14,82:82)-SUMIF(81:81,C14,82:82)+100</f>
        <v>100</v>
      </c>
      <c r="K14" s="627"/>
      <c r="L14" s="2900"/>
      <c r="M14" s="2894"/>
      <c r="N14" s="2894"/>
      <c r="O14" s="2952"/>
      <c r="P14" s="3775"/>
      <c r="Q14" s="1477">
        <f t="shared" si="6"/>
        <v>111</v>
      </c>
      <c r="R14" s="709" t="s">
        <v>17</v>
      </c>
      <c r="S14" s="710">
        <f t="shared" si="0"/>
        <v>100</v>
      </c>
      <c r="T14" s="709" t="s">
        <v>17</v>
      </c>
      <c r="U14" s="710">
        <f t="shared" si="1"/>
        <v>100</v>
      </c>
      <c r="V14" s="709" t="s">
        <v>17</v>
      </c>
      <c r="W14" s="710">
        <f t="shared" si="2"/>
        <v>100</v>
      </c>
      <c r="X14" s="711"/>
      <c r="Y14" s="3705"/>
      <c r="Z14" s="55">
        <f t="shared" si="7"/>
        <v>111</v>
      </c>
      <c r="AA14" s="712">
        <f t="shared" si="3"/>
        <v>1</v>
      </c>
      <c r="AB14" s="712">
        <f t="shared" si="4"/>
        <v>1</v>
      </c>
      <c r="AC14" s="712">
        <f t="shared" si="5"/>
        <v>1</v>
      </c>
    </row>
    <row r="15" spans="1:29" ht="57">
      <c r="A15" s="399" t="s">
        <v>2139</v>
      </c>
      <c r="B15" s="584"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00"/>
      <c r="M15" s="2894"/>
      <c r="N15" s="2894"/>
      <c r="O15" s="2952"/>
      <c r="P15" s="3768" t="s">
        <v>2140</v>
      </c>
      <c r="Q15" s="1486" t="str">
        <f t="shared" si="6"/>
        <v>产业集聚程度</v>
      </c>
      <c r="R15" s="713" t="s">
        <v>17</v>
      </c>
      <c r="S15" s="714">
        <f t="shared" si="0"/>
        <v>100</v>
      </c>
      <c r="T15" s="713" t="s">
        <v>17</v>
      </c>
      <c r="U15" s="714">
        <f t="shared" si="1"/>
        <v>100</v>
      </c>
      <c r="V15" s="713" t="s">
        <v>17</v>
      </c>
      <c r="W15" s="714">
        <f t="shared" si="2"/>
        <v>100</v>
      </c>
      <c r="X15" s="1489"/>
      <c r="Y15" s="3768" t="s">
        <v>2140</v>
      </c>
      <c r="Z15" s="1490" t="str">
        <f t="shared" si="7"/>
        <v>产业集聚程度</v>
      </c>
      <c r="AA15" s="1487">
        <f t="shared" si="3"/>
        <v>1</v>
      </c>
      <c r="AB15" s="1487">
        <f t="shared" si="4"/>
        <v>1</v>
      </c>
      <c r="AC15" s="1487">
        <f t="shared" si="5"/>
        <v>1</v>
      </c>
    </row>
    <row r="16" spans="1:29" ht="15">
      <c r="A16" s="387"/>
      <c r="B16" s="585"/>
      <c r="C16" s="406"/>
      <c r="D16" s="407"/>
      <c r="E16" s="2040"/>
      <c r="F16" s="407"/>
      <c r="G16" s="2040"/>
      <c r="H16" s="409"/>
      <c r="I16" s="2040"/>
      <c r="J16" s="407"/>
      <c r="K16" s="627"/>
      <c r="L16" s="2900"/>
      <c r="M16" s="2894"/>
      <c r="N16" s="2894"/>
      <c r="O16" s="2952"/>
      <c r="P16" s="3769"/>
      <c r="Q16" s="1486"/>
      <c r="R16" s="713"/>
      <c r="S16" s="714"/>
      <c r="T16" s="713"/>
      <c r="U16" s="714"/>
      <c r="V16" s="713"/>
      <c r="W16" s="714"/>
      <c r="X16" s="1489"/>
      <c r="Y16" s="3769"/>
      <c r="Z16" s="1490"/>
      <c r="AA16" s="1487">
        <v>1</v>
      </c>
      <c r="AB16" s="1487">
        <v>1</v>
      </c>
      <c r="AC16" s="1487">
        <v>1</v>
      </c>
    </row>
    <row r="17" spans="1:29" ht="85.5">
      <c r="A17" s="387"/>
      <c r="B17" s="586"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00"/>
      <c r="M17" s="2894"/>
      <c r="N17" s="2894"/>
      <c r="O17" s="2952"/>
      <c r="P17" s="3769"/>
      <c r="Q17" s="1486" t="str">
        <f>B17</f>
        <v>交通便捷度</v>
      </c>
      <c r="R17" s="713" t="s">
        <v>17</v>
      </c>
      <c r="S17" s="714">
        <f>F17</f>
        <v>100</v>
      </c>
      <c r="T17" s="713" t="s">
        <v>17</v>
      </c>
      <c r="U17" s="714">
        <f>H17</f>
        <v>100</v>
      </c>
      <c r="V17" s="713" t="s">
        <v>17</v>
      </c>
      <c r="W17" s="714">
        <f>J17</f>
        <v>100</v>
      </c>
      <c r="X17" s="1489"/>
      <c r="Y17" s="3769"/>
      <c r="Z17" s="1490" t="str">
        <f>Q17</f>
        <v>交通便捷度</v>
      </c>
      <c r="AA17" s="1487">
        <f t="shared" si="3"/>
        <v>1</v>
      </c>
      <c r="AB17" s="1487">
        <f t="shared" si="4"/>
        <v>1</v>
      </c>
      <c r="AC17" s="1487">
        <f t="shared" si="5"/>
        <v>1</v>
      </c>
    </row>
    <row r="18" spans="1:29" ht="15">
      <c r="A18" s="387"/>
      <c r="B18" s="587"/>
      <c r="C18" s="406"/>
      <c r="D18" s="407"/>
      <c r="E18" s="2034"/>
      <c r="F18" s="407"/>
      <c r="G18" s="2034"/>
      <c r="H18" s="407"/>
      <c r="I18" s="2033"/>
      <c r="J18" s="407"/>
      <c r="K18" s="627"/>
      <c r="L18" s="2900"/>
      <c r="M18" s="2894"/>
      <c r="N18" s="2894"/>
      <c r="O18" s="2952"/>
      <c r="P18" s="3769"/>
      <c r="Q18" s="1486"/>
      <c r="R18" s="713"/>
      <c r="S18" s="714"/>
      <c r="T18" s="713"/>
      <c r="U18" s="714"/>
      <c r="V18" s="713"/>
      <c r="W18" s="714"/>
      <c r="X18" s="1489"/>
      <c r="Y18" s="3769"/>
      <c r="Z18" s="1490"/>
      <c r="AA18" s="1487">
        <v>1</v>
      </c>
      <c r="AB18" s="1487">
        <v>1</v>
      </c>
      <c r="AC18" s="1487">
        <v>1</v>
      </c>
    </row>
    <row r="19" spans="1:29" ht="15">
      <c r="A19" s="387"/>
      <c r="B19" s="586"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00"/>
      <c r="M19" s="2894"/>
      <c r="N19" s="2894"/>
      <c r="O19" s="2952"/>
      <c r="P19" s="3769"/>
      <c r="Q19" s="1486" t="str">
        <f t="shared" ref="Q19:Q33" si="8">B19</f>
        <v>区域土地利用方向</v>
      </c>
      <c r="R19" s="713" t="s">
        <v>17</v>
      </c>
      <c r="S19" s="714">
        <f>F19</f>
        <v>100</v>
      </c>
      <c r="T19" s="713" t="s">
        <v>17</v>
      </c>
      <c r="U19" s="714">
        <f>H19</f>
        <v>100</v>
      </c>
      <c r="V19" s="713" t="s">
        <v>17</v>
      </c>
      <c r="W19" s="714">
        <f>J19</f>
        <v>100</v>
      </c>
      <c r="X19" s="1489"/>
      <c r="Y19" s="3769"/>
      <c r="Z19" s="1490" t="str">
        <f>Q19</f>
        <v>区域土地利用方向</v>
      </c>
      <c r="AA19" s="1487">
        <f t="shared" si="3"/>
        <v>1</v>
      </c>
      <c r="AB19" s="1487">
        <f t="shared" si="4"/>
        <v>1</v>
      </c>
      <c r="AC19" s="1487">
        <f t="shared" si="5"/>
        <v>1</v>
      </c>
    </row>
    <row r="20" spans="1:29" ht="15">
      <c r="A20" s="364"/>
      <c r="B20" s="587"/>
      <c r="C20" s="406"/>
      <c r="D20" s="407"/>
      <c r="E20" s="2034"/>
      <c r="F20" s="407"/>
      <c r="G20" s="2034"/>
      <c r="H20" s="407"/>
      <c r="I20" s="2034"/>
      <c r="J20" s="407"/>
      <c r="K20" s="750"/>
      <c r="L20" s="2900"/>
      <c r="M20" s="2894"/>
      <c r="N20" s="2894"/>
      <c r="O20" s="2952"/>
      <c r="P20" s="3769"/>
      <c r="Q20" s="1486"/>
      <c r="R20" s="713"/>
      <c r="S20" s="714"/>
      <c r="T20" s="713"/>
      <c r="U20" s="714"/>
      <c r="V20" s="713"/>
      <c r="W20" s="714"/>
      <c r="X20" s="1489"/>
      <c r="Y20" s="3769"/>
      <c r="Z20" s="1490"/>
      <c r="AA20" s="1487"/>
      <c r="AB20" s="1487"/>
      <c r="AC20" s="1487"/>
    </row>
    <row r="21" spans="1:29" ht="71.25">
      <c r="A21" s="364"/>
      <c r="B21" s="586"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00"/>
      <c r="M21" s="2894"/>
      <c r="N21" s="2894"/>
      <c r="O21" s="2952"/>
      <c r="P21" s="3769"/>
      <c r="Q21" s="1486" t="str">
        <f t="shared" si="8"/>
        <v>环境状况</v>
      </c>
      <c r="R21" s="713" t="s">
        <v>17</v>
      </c>
      <c r="S21" s="714">
        <f>F21</f>
        <v>100</v>
      </c>
      <c r="T21" s="713" t="s">
        <v>17</v>
      </c>
      <c r="U21" s="714">
        <f>H21</f>
        <v>100</v>
      </c>
      <c r="V21" s="713" t="s">
        <v>17</v>
      </c>
      <c r="W21" s="714">
        <f>J21</f>
        <v>100</v>
      </c>
      <c r="X21" s="1489"/>
      <c r="Y21" s="3769"/>
      <c r="Z21" s="1490" t="str">
        <f>Q21</f>
        <v>环境状况</v>
      </c>
      <c r="AA21" s="1487">
        <f t="shared" si="3"/>
        <v>1</v>
      </c>
      <c r="AB21" s="1487">
        <f t="shared" si="4"/>
        <v>1</v>
      </c>
      <c r="AC21" s="1487">
        <f t="shared" si="5"/>
        <v>1</v>
      </c>
    </row>
    <row r="22" spans="1:29" ht="15">
      <c r="A22" s="364"/>
      <c r="B22" s="587"/>
      <c r="C22" s="406"/>
      <c r="D22" s="407"/>
      <c r="E22" s="2040"/>
      <c r="F22" s="407"/>
      <c r="G22" s="2040"/>
      <c r="H22" s="407"/>
      <c r="I22" s="406"/>
      <c r="J22" s="407"/>
      <c r="K22" s="627"/>
      <c r="L22" s="2900"/>
      <c r="M22" s="2894"/>
      <c r="N22" s="2894"/>
      <c r="O22" s="2952"/>
      <c r="P22" s="3769"/>
      <c r="Q22" s="1486"/>
      <c r="R22" s="713"/>
      <c r="S22" s="714"/>
      <c r="T22" s="713"/>
      <c r="U22" s="714"/>
      <c r="V22" s="713"/>
      <c r="W22" s="714"/>
      <c r="X22" s="1489"/>
      <c r="Y22" s="3769"/>
      <c r="Z22" s="1490"/>
      <c r="AA22" s="1487">
        <v>1</v>
      </c>
      <c r="AB22" s="1487">
        <v>1</v>
      </c>
      <c r="AC22" s="1487">
        <v>1</v>
      </c>
    </row>
    <row r="23" spans="1:29" s="113" customFormat="1" ht="42.75">
      <c r="A23" s="604"/>
      <c r="B23" s="588"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5"/>
      <c r="M23" s="2896"/>
      <c r="N23" s="2896"/>
      <c r="O23" s="2950"/>
      <c r="P23" s="3769"/>
      <c r="Q23" s="1477" t="str">
        <f t="shared" si="8"/>
        <v>公共配套设施</v>
      </c>
      <c r="R23" s="709" t="s">
        <v>17</v>
      </c>
      <c r="S23" s="710">
        <f>F23</f>
        <v>100</v>
      </c>
      <c r="T23" s="709" t="s">
        <v>17</v>
      </c>
      <c r="U23" s="710">
        <f>H23</f>
        <v>100</v>
      </c>
      <c r="V23" s="709" t="s">
        <v>17</v>
      </c>
      <c r="W23" s="710">
        <f>J23</f>
        <v>100</v>
      </c>
      <c r="X23" s="711"/>
      <c r="Y23" s="3769"/>
      <c r="Z23" s="55" t="str">
        <f>Q23</f>
        <v>公共配套设施</v>
      </c>
      <c r="AA23" s="1487">
        <f>D23/F23</f>
        <v>1</v>
      </c>
      <c r="AB23" s="1487">
        <f>D23/H23</f>
        <v>1</v>
      </c>
      <c r="AC23" s="1487">
        <f>D23/J23</f>
        <v>1</v>
      </c>
    </row>
    <row r="24" spans="1:29" s="113" customFormat="1" ht="15">
      <c r="A24" s="604"/>
      <c r="B24" s="587"/>
      <c r="C24" s="2114"/>
      <c r="D24" s="407"/>
      <c r="E24" s="2040"/>
      <c r="F24" s="407"/>
      <c r="G24" s="2040"/>
      <c r="H24" s="407"/>
      <c r="I24" s="406"/>
      <c r="J24" s="407"/>
      <c r="K24" s="627"/>
      <c r="L24" s="2895"/>
      <c r="M24" s="2896"/>
      <c r="N24" s="2896"/>
      <c r="O24" s="2950"/>
      <c r="P24" s="3769"/>
      <c r="Q24" s="1477"/>
      <c r="R24" s="709"/>
      <c r="S24" s="710"/>
      <c r="T24" s="709"/>
      <c r="U24" s="710"/>
      <c r="V24" s="709"/>
      <c r="W24" s="710"/>
      <c r="X24" s="711"/>
      <c r="Y24" s="3769"/>
      <c r="Z24" s="55"/>
      <c r="AA24" s="712">
        <v>1</v>
      </c>
      <c r="AB24" s="712">
        <v>1</v>
      </c>
      <c r="AC24" s="712">
        <v>1</v>
      </c>
    </row>
    <row r="25" spans="1:29" s="113" customFormat="1" ht="28.5">
      <c r="A25" s="604"/>
      <c r="B25" s="588"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5"/>
      <c r="M25" s="2896"/>
      <c r="N25" s="2896"/>
      <c r="O25" s="2950"/>
      <c r="P25" s="3769"/>
      <c r="Q25" s="1477" t="str">
        <f t="shared" ref="Q25" si="9">B25</f>
        <v>基础设施水平</v>
      </c>
      <c r="R25" s="709" t="s">
        <v>17</v>
      </c>
      <c r="S25" s="710">
        <f>F25</f>
        <v>100</v>
      </c>
      <c r="T25" s="709" t="s">
        <v>17</v>
      </c>
      <c r="U25" s="710">
        <f>H25</f>
        <v>100</v>
      </c>
      <c r="V25" s="709" t="s">
        <v>17</v>
      </c>
      <c r="W25" s="710">
        <f>J25</f>
        <v>100</v>
      </c>
      <c r="X25" s="711"/>
      <c r="Y25" s="3769"/>
      <c r="Z25" s="55" t="str">
        <f>Q25</f>
        <v>基础设施水平</v>
      </c>
      <c r="AA25" s="1487">
        <f>D25/F25</f>
        <v>1</v>
      </c>
      <c r="AB25" s="1487">
        <f>D25/H25</f>
        <v>1</v>
      </c>
      <c r="AC25" s="1487">
        <f>D25/J25</f>
        <v>1</v>
      </c>
    </row>
    <row r="26" spans="1:29" s="113" customFormat="1" ht="15">
      <c r="A26" s="604"/>
      <c r="B26" s="587"/>
      <c r="C26" s="2114"/>
      <c r="D26" s="407"/>
      <c r="E26" s="2115"/>
      <c r="F26" s="407"/>
      <c r="G26" s="2115"/>
      <c r="H26" s="407"/>
      <c r="I26" s="2115"/>
      <c r="J26" s="407"/>
      <c r="K26" s="627"/>
      <c r="L26" s="2895"/>
      <c r="M26" s="2896"/>
      <c r="N26" s="2896"/>
      <c r="O26" s="2950"/>
      <c r="P26" s="3769"/>
      <c r="Q26" s="1477"/>
      <c r="R26" s="709"/>
      <c r="S26" s="710"/>
      <c r="T26" s="709"/>
      <c r="U26" s="710"/>
      <c r="V26" s="709"/>
      <c r="W26" s="710"/>
      <c r="X26" s="711"/>
      <c r="Y26" s="3769"/>
      <c r="Z26" s="55"/>
      <c r="AA26" s="712">
        <v>1</v>
      </c>
      <c r="AB26" s="712">
        <v>1</v>
      </c>
      <c r="AC26" s="712">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900"/>
      <c r="M27" s="2894"/>
      <c r="N27" s="2894"/>
      <c r="O27" s="2952"/>
      <c r="P27" s="3769"/>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769"/>
      <c r="Z27" s="1490" t="str">
        <f t="shared" ref="Z27:Z40" si="13">Q27</f>
        <v>临街状况</v>
      </c>
      <c r="AA27" s="1487">
        <f t="shared" si="3"/>
        <v>1</v>
      </c>
      <c r="AB27" s="1487">
        <f t="shared" si="4"/>
        <v>1</v>
      </c>
      <c r="AC27" s="1487">
        <f t="shared" si="5"/>
        <v>1</v>
      </c>
    </row>
    <row r="28" spans="1:29" ht="27">
      <c r="A28" s="387"/>
      <c r="B28" s="588"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00"/>
      <c r="M28" s="2894"/>
      <c r="N28" s="2894"/>
      <c r="O28" s="2952"/>
      <c r="P28" s="3769"/>
      <c r="Q28" s="1486" t="str">
        <f t="shared" si="8"/>
        <v>毗邻道路的类型与等级</v>
      </c>
      <c r="R28" s="713" t="s">
        <v>17</v>
      </c>
      <c r="S28" s="714">
        <f t="shared" si="10"/>
        <v>100</v>
      </c>
      <c r="T28" s="713" t="s">
        <v>17</v>
      </c>
      <c r="U28" s="714">
        <f t="shared" si="11"/>
        <v>100</v>
      </c>
      <c r="V28" s="713" t="s">
        <v>17</v>
      </c>
      <c r="W28" s="714">
        <f t="shared" si="12"/>
        <v>100</v>
      </c>
      <c r="X28" s="1489"/>
      <c r="Y28" s="3769"/>
      <c r="Z28" s="1490" t="str">
        <f t="shared" si="13"/>
        <v>毗邻道路的类型与等级</v>
      </c>
      <c r="AA28" s="1487">
        <f t="shared" si="3"/>
        <v>1</v>
      </c>
      <c r="AB28" s="1487">
        <f t="shared" si="4"/>
        <v>1</v>
      </c>
      <c r="AC28" s="1487">
        <f t="shared" si="5"/>
        <v>1</v>
      </c>
    </row>
    <row r="29" spans="1:29" ht="15">
      <c r="A29" s="387"/>
      <c r="B29" s="587"/>
      <c r="C29" s="406"/>
      <c r="D29" s="407"/>
      <c r="E29" s="2040"/>
      <c r="F29" s="407"/>
      <c r="G29" s="2040"/>
      <c r="H29" s="407"/>
      <c r="I29" s="2040"/>
      <c r="J29" s="407"/>
      <c r="K29" s="570"/>
      <c r="L29" s="2900"/>
      <c r="M29" s="2894"/>
      <c r="N29" s="2894"/>
      <c r="O29" s="2952"/>
      <c r="P29" s="3769"/>
      <c r="Q29" s="1486"/>
      <c r="R29" s="713"/>
      <c r="S29" s="714"/>
      <c r="T29" s="713"/>
      <c r="U29" s="714"/>
      <c r="V29" s="713"/>
      <c r="W29" s="714"/>
      <c r="X29" s="1489"/>
      <c r="Y29" s="3769"/>
      <c r="Z29" s="1490"/>
      <c r="AA29" s="1487">
        <v>1</v>
      </c>
      <c r="AB29" s="1487">
        <v>1</v>
      </c>
      <c r="AC29" s="1487">
        <v>1</v>
      </c>
    </row>
    <row r="30" spans="1:29" ht="15">
      <c r="A30" s="387"/>
      <c r="B30" s="609" t="s">
        <v>2329</v>
      </c>
      <c r="C30" s="125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00"/>
      <c r="M30" s="2894"/>
      <c r="N30" s="2894"/>
      <c r="O30" s="2952"/>
      <c r="P30" s="3769"/>
      <c r="Q30" s="1486" t="str">
        <f t="shared" si="8"/>
        <v>土地级别</v>
      </c>
      <c r="R30" s="713" t="s">
        <v>17</v>
      </c>
      <c r="S30" s="714">
        <f t="shared" si="10"/>
        <v>100</v>
      </c>
      <c r="T30" s="713" t="s">
        <v>17</v>
      </c>
      <c r="U30" s="714">
        <f t="shared" si="11"/>
        <v>100</v>
      </c>
      <c r="V30" s="713" t="s">
        <v>17</v>
      </c>
      <c r="W30" s="714">
        <f t="shared" si="12"/>
        <v>100</v>
      </c>
      <c r="X30" s="1489"/>
      <c r="Y30" s="3769"/>
      <c r="Z30" s="1490" t="str">
        <f t="shared" si="13"/>
        <v>土地级别</v>
      </c>
      <c r="AA30" s="1487">
        <f t="shared" si="3"/>
        <v>1</v>
      </c>
      <c r="AB30" s="1487">
        <f t="shared" si="4"/>
        <v>1</v>
      </c>
      <c r="AC30" s="1487">
        <f t="shared" si="5"/>
        <v>1</v>
      </c>
    </row>
    <row r="31" spans="1:29" ht="15">
      <c r="A31" s="364"/>
      <c r="B31" s="210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769"/>
      <c r="Q31" s="1486">
        <f t="shared" si="8"/>
        <v>111</v>
      </c>
      <c r="R31" s="713" t="s">
        <v>17</v>
      </c>
      <c r="S31" s="714">
        <f t="shared" si="10"/>
        <v>100</v>
      </c>
      <c r="T31" s="713" t="s">
        <v>17</v>
      </c>
      <c r="U31" s="714">
        <f t="shared" si="11"/>
        <v>100</v>
      </c>
      <c r="V31" s="713" t="s">
        <v>17</v>
      </c>
      <c r="W31" s="714">
        <f t="shared" si="12"/>
        <v>100</v>
      </c>
      <c r="X31" s="1489"/>
      <c r="Y31" s="3769"/>
      <c r="Z31" s="1490">
        <f t="shared" si="13"/>
        <v>111</v>
      </c>
      <c r="AA31" s="1487">
        <f t="shared" si="3"/>
        <v>1</v>
      </c>
      <c r="AB31" s="1487">
        <f t="shared" si="4"/>
        <v>1</v>
      </c>
      <c r="AC31" s="1487">
        <f t="shared" si="5"/>
        <v>1</v>
      </c>
    </row>
    <row r="32" spans="1:29" ht="15">
      <c r="A32" s="630"/>
      <c r="B32" s="212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00"/>
      <c r="M32" s="2894"/>
      <c r="N32" s="2894"/>
      <c r="O32" s="2952"/>
      <c r="P32" s="3825" t="s">
        <v>2145</v>
      </c>
      <c r="Q32" s="1486">
        <f t="shared" si="8"/>
        <v>111</v>
      </c>
      <c r="R32" s="713" t="s">
        <v>17</v>
      </c>
      <c r="S32" s="714">
        <f t="shared" si="10"/>
        <v>100</v>
      </c>
      <c r="T32" s="713" t="s">
        <v>17</v>
      </c>
      <c r="U32" s="714">
        <f t="shared" si="11"/>
        <v>100</v>
      </c>
      <c r="V32" s="713" t="s">
        <v>17</v>
      </c>
      <c r="W32" s="714">
        <f t="shared" si="12"/>
        <v>100</v>
      </c>
      <c r="X32" s="1489"/>
      <c r="Y32" s="3773" t="s">
        <v>2145</v>
      </c>
      <c r="Z32" s="1490">
        <f t="shared" si="13"/>
        <v>111</v>
      </c>
      <c r="AA32" s="1487">
        <f t="shared" si="3"/>
        <v>1</v>
      </c>
      <c r="AB32" s="1487">
        <f t="shared" si="4"/>
        <v>1</v>
      </c>
      <c r="AC32" s="1487">
        <f t="shared" si="5"/>
        <v>1</v>
      </c>
    </row>
    <row r="33" spans="1:31" s="430" customFormat="1" ht="15.75" thickBot="1">
      <c r="A33" s="631"/>
      <c r="B33" s="212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9"/>
      <c r="M33" s="2901"/>
      <c r="N33" s="2901"/>
      <c r="O33" s="2953"/>
      <c r="P33" s="3773"/>
      <c r="Q33" s="1486">
        <f t="shared" si="8"/>
        <v>111</v>
      </c>
      <c r="R33" s="716" t="s">
        <v>17</v>
      </c>
      <c r="S33" s="717">
        <f t="shared" si="10"/>
        <v>100</v>
      </c>
      <c r="T33" s="716" t="s">
        <v>17</v>
      </c>
      <c r="U33" s="717">
        <f t="shared" si="11"/>
        <v>100</v>
      </c>
      <c r="V33" s="716" t="s">
        <v>17</v>
      </c>
      <c r="W33" s="717">
        <f t="shared" si="12"/>
        <v>100</v>
      </c>
      <c r="X33" s="718"/>
      <c r="Y33" s="3773"/>
      <c r="Z33" s="719">
        <f t="shared" si="13"/>
        <v>111</v>
      </c>
      <c r="AA33" s="1487">
        <f t="shared" si="3"/>
        <v>1</v>
      </c>
      <c r="AB33" s="1487">
        <f t="shared" si="4"/>
        <v>1</v>
      </c>
      <c r="AC33" s="1487">
        <f t="shared" si="5"/>
        <v>1</v>
      </c>
    </row>
    <row r="34" spans="1:31" ht="15">
      <c r="A34" s="399" t="s">
        <v>2143</v>
      </c>
      <c r="B34" s="415" t="s">
        <v>2330</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00"/>
      <c r="M34" s="2894"/>
      <c r="N34" s="2894"/>
      <c r="O34" s="2952"/>
      <c r="P34" s="3773"/>
      <c r="Q34" s="1486" t="str">
        <f>B34</f>
        <v>宗地面积</v>
      </c>
      <c r="R34" s="713" t="s">
        <v>17</v>
      </c>
      <c r="S34" s="714" t="e">
        <f t="shared" si="10"/>
        <v>#N/A</v>
      </c>
      <c r="T34" s="713" t="s">
        <v>17</v>
      </c>
      <c r="U34" s="714" t="e">
        <f t="shared" si="11"/>
        <v>#N/A</v>
      </c>
      <c r="V34" s="713" t="s">
        <v>17</v>
      </c>
      <c r="W34" s="714" t="e">
        <f t="shared" si="12"/>
        <v>#N/A</v>
      </c>
      <c r="X34" s="1489"/>
      <c r="Y34" s="3773"/>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773"/>
      <c r="Q35" s="1486" t="str">
        <f t="shared" ref="Q35:Q40" si="14">B35</f>
        <v>宗地形状</v>
      </c>
      <c r="R35" s="713" t="s">
        <v>17</v>
      </c>
      <c r="S35" s="714">
        <f t="shared" si="10"/>
        <v>100</v>
      </c>
      <c r="T35" s="713" t="s">
        <v>17</v>
      </c>
      <c r="U35" s="714">
        <f t="shared" si="11"/>
        <v>100</v>
      </c>
      <c r="V35" s="713" t="s">
        <v>17</v>
      </c>
      <c r="W35" s="714">
        <f t="shared" si="12"/>
        <v>100</v>
      </c>
      <c r="X35" s="1489"/>
      <c r="Y35" s="3773"/>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773"/>
      <c r="Q36" s="1486" t="str">
        <f t="shared" si="14"/>
        <v>宗地开发程度</v>
      </c>
      <c r="R36" s="709" t="s">
        <v>17</v>
      </c>
      <c r="S36" s="710">
        <f t="shared" si="10"/>
        <v>100</v>
      </c>
      <c r="T36" s="709" t="s">
        <v>17</v>
      </c>
      <c r="U36" s="710">
        <f t="shared" si="11"/>
        <v>100</v>
      </c>
      <c r="V36" s="709" t="s">
        <v>17</v>
      </c>
      <c r="W36" s="710">
        <f t="shared" si="12"/>
        <v>100</v>
      </c>
      <c r="X36" s="711"/>
      <c r="Y36" s="3773"/>
      <c r="Z36" s="55" t="str">
        <f t="shared" si="13"/>
        <v>宗地开发程度</v>
      </c>
      <c r="AA36" s="712">
        <f t="shared" si="3"/>
        <v>1</v>
      </c>
      <c r="AB36" s="712">
        <f t="shared" si="4"/>
        <v>1</v>
      </c>
      <c r="AC36" s="712">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773" t="s">
        <v>2145</v>
      </c>
      <c r="Q37" s="1486" t="str">
        <f t="shared" si="14"/>
        <v>工程地质条件</v>
      </c>
      <c r="R37" s="713" t="s">
        <v>17</v>
      </c>
      <c r="S37" s="714">
        <f t="shared" si="10"/>
        <v>100</v>
      </c>
      <c r="T37" s="713" t="s">
        <v>17</v>
      </c>
      <c r="U37" s="714">
        <f t="shared" si="11"/>
        <v>100</v>
      </c>
      <c r="V37" s="713" t="s">
        <v>17</v>
      </c>
      <c r="W37" s="714">
        <f t="shared" si="12"/>
        <v>100</v>
      </c>
      <c r="X37" s="1489"/>
      <c r="Y37" s="3773" t="s">
        <v>2145</v>
      </c>
      <c r="Z37" s="1490" t="str">
        <f t="shared" si="13"/>
        <v>工程地质条件</v>
      </c>
      <c r="AA37" s="1487">
        <f t="shared" si="3"/>
        <v>1</v>
      </c>
      <c r="AB37" s="1487">
        <f t="shared" si="4"/>
        <v>1</v>
      </c>
      <c r="AC37" s="1487">
        <f t="shared" si="5"/>
        <v>1</v>
      </c>
    </row>
    <row r="38" spans="1:31" ht="15">
      <c r="A38" s="431"/>
      <c r="B38" s="124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00"/>
      <c r="M38" s="2894"/>
      <c r="N38" s="2894"/>
      <c r="O38" s="2952"/>
      <c r="P38" s="3773"/>
      <c r="Q38" s="1486">
        <f t="shared" si="14"/>
        <v>111</v>
      </c>
      <c r="R38" s="713" t="s">
        <v>17</v>
      </c>
      <c r="S38" s="714">
        <f t="shared" si="10"/>
        <v>100</v>
      </c>
      <c r="T38" s="713" t="s">
        <v>17</v>
      </c>
      <c r="U38" s="714">
        <f t="shared" si="11"/>
        <v>100</v>
      </c>
      <c r="V38" s="713" t="s">
        <v>17</v>
      </c>
      <c r="W38" s="714">
        <f t="shared" si="12"/>
        <v>100</v>
      </c>
      <c r="X38" s="1489"/>
      <c r="Y38" s="3773"/>
      <c r="Z38" s="1490">
        <f t="shared" si="13"/>
        <v>111</v>
      </c>
      <c r="AA38" s="1487">
        <f t="shared" si="3"/>
        <v>1</v>
      </c>
      <c r="AB38" s="1487">
        <f t="shared" si="4"/>
        <v>1</v>
      </c>
      <c r="AC38" s="1487">
        <f t="shared" si="5"/>
        <v>1</v>
      </c>
    </row>
    <row r="39" spans="1:31" ht="15">
      <c r="A39" s="431"/>
      <c r="B39" s="124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00"/>
      <c r="M39" s="2894"/>
      <c r="N39" s="2894"/>
      <c r="O39" s="2952"/>
      <c r="P39" s="3773"/>
      <c r="Q39" s="1486">
        <f t="shared" si="14"/>
        <v>111</v>
      </c>
      <c r="R39" s="713" t="s">
        <v>17</v>
      </c>
      <c r="S39" s="714">
        <f t="shared" si="10"/>
        <v>100</v>
      </c>
      <c r="T39" s="713" t="s">
        <v>17</v>
      </c>
      <c r="U39" s="714">
        <f t="shared" si="11"/>
        <v>100</v>
      </c>
      <c r="V39" s="713" t="s">
        <v>17</v>
      </c>
      <c r="W39" s="714">
        <f t="shared" si="12"/>
        <v>100</v>
      </c>
      <c r="X39" s="1489"/>
      <c r="Y39" s="3773"/>
      <c r="Z39" s="1490">
        <f t="shared" si="13"/>
        <v>111</v>
      </c>
      <c r="AA39" s="1487">
        <f t="shared" si="3"/>
        <v>1</v>
      </c>
      <c r="AB39" s="1487">
        <f t="shared" si="4"/>
        <v>1</v>
      </c>
      <c r="AC39" s="1487">
        <f t="shared" si="5"/>
        <v>1</v>
      </c>
    </row>
    <row r="40" spans="1:31" s="430" customFormat="1" ht="15.75" thickBot="1">
      <c r="A40" s="427"/>
      <c r="B40" s="1248">
        <v>111</v>
      </c>
      <c r="C40" s="2117"/>
      <c r="D40" s="133">
        <v>100</v>
      </c>
      <c r="E40" s="629"/>
      <c r="F40" s="397">
        <f>SUMIF(120:120,E40,121:121)-SUMIF(120:120,C40,121:121)+100</f>
        <v>100</v>
      </c>
      <c r="G40" s="629"/>
      <c r="H40" s="397">
        <f>SUMIF(120:120,G40,121:121)-SUMIF(120:120,C40,121:121)+100</f>
        <v>100</v>
      </c>
      <c r="I40" s="506"/>
      <c r="J40" s="397">
        <f>SUMIF(120:120,I40,121:121)-SUMIF(120:120,C40,121:121)+100</f>
        <v>100</v>
      </c>
      <c r="K40" s="636"/>
      <c r="L40" s="2899"/>
      <c r="M40" s="2901"/>
      <c r="N40" s="2901"/>
      <c r="O40" s="2953"/>
      <c r="P40" s="3773"/>
      <c r="Q40" s="1486">
        <f t="shared" si="14"/>
        <v>111</v>
      </c>
      <c r="R40" s="716" t="s">
        <v>17</v>
      </c>
      <c r="S40" s="717">
        <f t="shared" si="10"/>
        <v>100</v>
      </c>
      <c r="T40" s="716" t="s">
        <v>17</v>
      </c>
      <c r="U40" s="717">
        <f t="shared" si="11"/>
        <v>100</v>
      </c>
      <c r="V40" s="716" t="s">
        <v>17</v>
      </c>
      <c r="W40" s="717">
        <f t="shared" si="12"/>
        <v>100</v>
      </c>
      <c r="X40" s="718"/>
      <c r="Y40" s="3773"/>
      <c r="Z40" s="719">
        <f t="shared" si="13"/>
        <v>111</v>
      </c>
      <c r="AA40" s="1487">
        <f t="shared" si="3"/>
        <v>1</v>
      </c>
      <c r="AB40" s="1487">
        <f t="shared" si="4"/>
        <v>1</v>
      </c>
      <c r="AC40" s="1487">
        <f t="shared" si="5"/>
        <v>1</v>
      </c>
    </row>
    <row r="41" spans="1:31" ht="15">
      <c r="A41" s="438" t="s">
        <v>2299</v>
      </c>
      <c r="B41" s="2118" t="s">
        <v>2378</v>
      </c>
      <c r="C41" s="637" t="s">
        <v>1</v>
      </c>
      <c r="D41" s="440"/>
      <c r="E41" s="441"/>
      <c r="F41" s="442"/>
      <c r="G41" s="443"/>
      <c r="H41" s="444"/>
      <c r="I41" s="441"/>
      <c r="J41" s="444"/>
      <c r="K41" s="722"/>
      <c r="L41" s="2902"/>
      <c r="M41" s="2894"/>
      <c r="N41" s="2894"/>
      <c r="O41" s="2903"/>
      <c r="P41" s="3775" t="str">
        <f>A41</f>
        <v>成交单价</v>
      </c>
      <c r="Q41" s="3775"/>
      <c r="R41" s="3741">
        <f>E41</f>
        <v>0</v>
      </c>
      <c r="S41" s="3741"/>
      <c r="T41" s="3741">
        <f>G41</f>
        <v>0</v>
      </c>
      <c r="U41" s="3741"/>
      <c r="V41" s="3741">
        <f>I41</f>
        <v>0</v>
      </c>
      <c r="W41" s="3741"/>
      <c r="X41" s="698"/>
      <c r="Y41" s="720"/>
      <c r="Z41" s="698"/>
      <c r="AA41" s="698"/>
      <c r="AB41" s="698"/>
      <c r="AC41" s="698"/>
    </row>
    <row r="42" spans="1:31" ht="15.75" thickBot="1">
      <c r="A42" s="445" t="s">
        <v>2248</v>
      </c>
      <c r="B42" s="638"/>
      <c r="C42" s="448" t="e">
        <f>R43</f>
        <v>#DIV/0!</v>
      </c>
      <c r="D42" s="2488" t="s">
        <v>2638</v>
      </c>
      <c r="E42" s="448" t="e">
        <f>R42</f>
        <v>#DIV/0!</v>
      </c>
      <c r="F42" s="2489"/>
      <c r="G42" s="447" t="e">
        <f>T42</f>
        <v>#DIV/0!</v>
      </c>
      <c r="H42" s="2489"/>
      <c r="I42" s="448" t="e">
        <f>V42</f>
        <v>#DIV/0!</v>
      </c>
      <c r="J42" s="2489"/>
      <c r="K42" s="2491">
        <f>F42+H42+J42</f>
        <v>0</v>
      </c>
      <c r="L42" s="2902"/>
      <c r="M42" s="2894"/>
      <c r="N42" s="2894"/>
      <c r="O42" s="2903"/>
      <c r="P42" s="3775" t="str">
        <f>A42</f>
        <v>比较价值（元/平方米）</v>
      </c>
      <c r="Q42" s="3775"/>
      <c r="R42" s="3827" t="e">
        <f>ROUND(PRODUCT(R41,AA7:AA40),0)</f>
        <v>#DIV/0!</v>
      </c>
      <c r="S42" s="3827"/>
      <c r="T42" s="3827" t="e">
        <f>ROUND(PRODUCT(T41,AB7:AB40),0)</f>
        <v>#DIV/0!</v>
      </c>
      <c r="U42" s="3827"/>
      <c r="V42" s="3827" t="e">
        <f>ROUND(PRODUCT(V41,AC7:AC40),0)</f>
        <v>#DIV/0!</v>
      </c>
      <c r="W42" s="3827"/>
      <c r="X42" s="698"/>
      <c r="Y42" s="698"/>
      <c r="Z42" s="698"/>
      <c r="AA42" s="698"/>
      <c r="AB42" s="698"/>
      <c r="AC42" s="698"/>
    </row>
    <row r="43" spans="1:31" ht="15.75" thickBot="1">
      <c r="A43" s="449" t="s">
        <v>2249</v>
      </c>
      <c r="B43" s="450"/>
      <c r="C43" s="451" t="e">
        <f>R43</f>
        <v>#DIV/0!</v>
      </c>
      <c r="D43" s="451"/>
      <c r="E43" s="451"/>
      <c r="F43" s="451"/>
      <c r="G43" s="451"/>
      <c r="H43" s="451"/>
      <c r="I43" s="451"/>
      <c r="J43" s="451"/>
      <c r="K43" s="723"/>
      <c r="L43" s="2902"/>
      <c r="M43" s="2894"/>
      <c r="N43" s="2894"/>
      <c r="O43" s="2903"/>
      <c r="P43" s="3777" t="str">
        <f>A43</f>
        <v>估价对象XX用房的比较价值（楼面单价，元/平方米）</v>
      </c>
      <c r="Q43" s="3778"/>
      <c r="R43" s="3828" t="e">
        <f>ROUND(IF(D42="简单平均",AVERAGE(R42:W42),R42*F42+T42*H42+V42*J42),0)</f>
        <v>#DIV/0!</v>
      </c>
      <c r="S43" s="3828"/>
      <c r="T43" s="3828"/>
      <c r="U43" s="3828"/>
      <c r="V43" s="3828"/>
      <c r="W43" s="3828"/>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2337</v>
      </c>
      <c r="B50" s="640" t="s">
        <v>2338</v>
      </c>
      <c r="C50" s="2119" t="s">
        <v>2339</v>
      </c>
      <c r="D50" s="2120" t="s">
        <v>2340</v>
      </c>
      <c r="E50" s="641" t="s">
        <v>2341</v>
      </c>
      <c r="F50" s="642" t="s">
        <v>2342</v>
      </c>
      <c r="G50" s="3753" t="s">
        <v>2343</v>
      </c>
      <c r="H50" s="3829"/>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2346</v>
      </c>
      <c r="B51" s="644" t="e">
        <f>C43</f>
        <v>#DIV/0!</v>
      </c>
      <c r="C51" s="645">
        <v>1</v>
      </c>
      <c r="D51" s="1055">
        <v>1</v>
      </c>
      <c r="E51" s="645">
        <f>'数据-汇总表'!E8+'数据-汇总表'!E9</f>
        <v>58.81</v>
      </c>
      <c r="F51" s="646" t="e">
        <f t="shared" ref="F51:F60" si="15">ROUND(B51*E51/10000,0)</f>
        <v>#DIV/0!</v>
      </c>
      <c r="G51" s="3752"/>
      <c r="H51" s="3775"/>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2347</v>
      </c>
      <c r="B52" s="224" t="e">
        <f>ROUND($C$43*C52*D52,0)</f>
        <v>#DIV/0!</v>
      </c>
      <c r="C52" s="176">
        <f t="shared" ref="C52:C60" si="16">IF($C$50="北京市系数",I52,J52)</f>
        <v>0.7</v>
      </c>
      <c r="D52" s="1056">
        <v>0.25</v>
      </c>
      <c r="E52" s="649"/>
      <c r="F52" s="646" t="e">
        <f t="shared" si="15"/>
        <v>#DIV/0!</v>
      </c>
      <c r="G52" s="3227" t="s">
        <v>2348</v>
      </c>
      <c r="H52" s="998" t="str">
        <f>项目基本情况!B37</f>
        <v>二级</v>
      </c>
      <c r="I52" s="859">
        <f>SUMIF(修正!A57:A68,H52,修正!B57:B68)</f>
        <v>0.7</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2349</v>
      </c>
      <c r="B53" s="224" t="e">
        <f t="shared" ref="B53:B60" si="17">ROUND($C$43*C53*D53,0)</f>
        <v>#DIV/0!</v>
      </c>
      <c r="C53" s="176">
        <f t="shared" si="16"/>
        <v>0.4</v>
      </c>
      <c r="D53" s="1056">
        <v>0.25</v>
      </c>
      <c r="E53" s="649"/>
      <c r="F53" s="646" t="e">
        <f t="shared" si="15"/>
        <v>#DIV/0!</v>
      </c>
      <c r="G53" s="3228"/>
      <c r="H53" s="998" t="str">
        <f>项目基本情况!B37</f>
        <v>二级</v>
      </c>
      <c r="I53" s="859">
        <f>SUMIF(修正!A57:A68,H53,修正!C57:C68)</f>
        <v>0.4</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2350</v>
      </c>
      <c r="B54" s="224" t="e">
        <f t="shared" si="17"/>
        <v>#DIV/0!</v>
      </c>
      <c r="C54" s="176">
        <f t="shared" si="16"/>
        <v>0.3</v>
      </c>
      <c r="D54" s="1056">
        <v>0.25</v>
      </c>
      <c r="E54" s="649"/>
      <c r="F54" s="646" t="e">
        <f t="shared" si="15"/>
        <v>#DIV/0!</v>
      </c>
      <c r="G54" s="3228"/>
      <c r="H54" s="998" t="str">
        <f>项目基本情况!B37</f>
        <v>二级</v>
      </c>
      <c r="I54" s="859">
        <f>SUMIF(修正!A57:A68,H54,修正!D57:D68)</f>
        <v>0.3</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4"/>
      <c r="C55" s="176"/>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2351</v>
      </c>
      <c r="B56" s="224" t="e">
        <f t="shared" si="17"/>
        <v>#DIV/0!</v>
      </c>
      <c r="C56" s="176">
        <f t="shared" si="16"/>
        <v>0</v>
      </c>
      <c r="D56" s="1056">
        <v>0.25</v>
      </c>
      <c r="E56" s="223">
        <f>'数据-汇总表'!E11</f>
        <v>0</v>
      </c>
      <c r="F56" s="646" t="e">
        <f t="shared" si="15"/>
        <v>#DIV/0!</v>
      </c>
      <c r="G56" s="2123" t="s">
        <v>2352</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2353</v>
      </c>
      <c r="B57" s="224" t="e">
        <f t="shared" si="17"/>
        <v>#DIV/0!</v>
      </c>
      <c r="C57" s="176">
        <f t="shared" si="16"/>
        <v>0</v>
      </c>
      <c r="D57" s="1056">
        <v>0.25</v>
      </c>
      <c r="E57" s="223">
        <f>'数据-汇总表'!E12</f>
        <v>0</v>
      </c>
      <c r="F57" s="646" t="e">
        <f t="shared" si="15"/>
        <v>#DIV/0!</v>
      </c>
      <c r="G57" s="1003" t="s">
        <v>2354</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2355</v>
      </c>
      <c r="B58" s="224" t="e">
        <f t="shared" si="17"/>
        <v>#DIV/0!</v>
      </c>
      <c r="C58" s="176">
        <f t="shared" si="16"/>
        <v>0</v>
      </c>
      <c r="D58" s="1056">
        <v>0.25</v>
      </c>
      <c r="E58" s="223">
        <f>'数据-汇总表'!E13</f>
        <v>0</v>
      </c>
      <c r="F58" s="646" t="e">
        <f t="shared" si="15"/>
        <v>#DIV/0!</v>
      </c>
      <c r="G58" s="1003" t="s">
        <v>2356</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2357</v>
      </c>
      <c r="B59" s="224" t="e">
        <f t="shared" si="17"/>
        <v>#DIV/0!</v>
      </c>
      <c r="C59" s="176">
        <f t="shared" si="16"/>
        <v>0.2</v>
      </c>
      <c r="D59" s="1056">
        <v>0.25</v>
      </c>
      <c r="E59" s="223">
        <f>'数据-汇总表'!E14</f>
        <v>0</v>
      </c>
      <c r="F59" s="646" t="e">
        <f t="shared" si="15"/>
        <v>#DIV/0!</v>
      </c>
      <c r="G59" s="2123" t="s">
        <v>2348</v>
      </c>
      <c r="H59" s="998" t="str">
        <f>项目基本情况!B37</f>
        <v>二级</v>
      </c>
      <c r="I59" s="859">
        <f>SUMIF(修正!A57:A68,H59,修正!G57:G68)</f>
        <v>0.2</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2358</v>
      </c>
      <c r="B60" s="224" t="e">
        <f t="shared" si="17"/>
        <v>#DIV/0!</v>
      </c>
      <c r="C60" s="176">
        <f t="shared" si="16"/>
        <v>0</v>
      </c>
      <c r="D60" s="1056">
        <v>0.25</v>
      </c>
      <c r="E60" s="223">
        <f>'数据-汇总表'!E15</f>
        <v>0</v>
      </c>
      <c r="F60" s="646" t="e">
        <f t="shared" si="15"/>
        <v>#DIV/0!</v>
      </c>
      <c r="G60" s="2124" t="s">
        <v>2352</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2359</v>
      </c>
      <c r="B61" s="651" t="s">
        <v>28</v>
      </c>
      <c r="C61" s="651" t="s">
        <v>29</v>
      </c>
      <c r="D61" s="651" t="s">
        <v>816</v>
      </c>
      <c r="E61" s="651">
        <f>IF(B41="楼面地价",SUM(E51:E60),'数据-汇总表'!D3)</f>
        <v>0</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2253</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4">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2284</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7"/>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5" t="s">
        <v>2254</v>
      </c>
      <c r="D93" s="615" t="s">
        <v>2255</v>
      </c>
      <c r="E93" s="615" t="s">
        <v>2256</v>
      </c>
      <c r="F93" s="615" t="s">
        <v>2257</v>
      </c>
      <c r="G93" s="615"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5"/>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B00-000000000000}">
      <formula1>单价内涵</formula1>
    </dataValidation>
    <dataValidation type="list" allowBlank="1" showInputMessage="1" showErrorMessage="1" sqref="C22 E22 G22 I22" xr:uid="{00000000-0002-0000-2B00-000001000000}">
      <formula1>环境</formula1>
    </dataValidation>
    <dataValidation type="list" allowBlank="1" showInputMessage="1" showErrorMessage="1" sqref="E18 C18 G18 I18" xr:uid="{00000000-0002-0000-2B00-000002000000}">
      <formula1>交通便捷度</formula1>
    </dataValidation>
    <dataValidation type="list" allowBlank="1" showInputMessage="1" showErrorMessage="1" sqref="E24 C24 G24 I24" xr:uid="{00000000-0002-0000-2B00-000003000000}">
      <formula1>公共配套设施</formula1>
    </dataValidation>
    <dataValidation type="list" allowBlank="1" showInputMessage="1" showErrorMessage="1" sqref="C8 E8 G8 I8" xr:uid="{00000000-0002-0000-2B00-000004000000}">
      <formula1>套工交易情况</formula1>
    </dataValidation>
    <dataValidation type="list" allowBlank="1" showInputMessage="1" showErrorMessage="1" sqref="C9 E9 G9 I9" xr:uid="{00000000-0002-0000-2B00-000005000000}">
      <formula1>套工用途</formula1>
    </dataValidation>
    <dataValidation type="list" allowBlank="1" showInputMessage="1" showErrorMessage="1" sqref="I30 E30 G30" xr:uid="{00000000-0002-0000-2B00-000006000000}">
      <formula1>套工土地级别</formula1>
    </dataValidation>
    <dataValidation type="list" allowBlank="1" showInputMessage="1" showErrorMessage="1" sqref="C27 E27 G27 I27" xr:uid="{00000000-0002-0000-2B00-000007000000}">
      <formula1>临街状况</formula1>
    </dataValidation>
    <dataValidation type="list" allowBlank="1" showInputMessage="1" showErrorMessage="1" sqref="E20 G20 I20 C20" xr:uid="{00000000-0002-0000-2B00-000008000000}">
      <formula1>区域土地利用方向</formula1>
    </dataValidation>
    <dataValidation type="list" allowBlank="1" showInputMessage="1" showErrorMessage="1" sqref="C50" xr:uid="{00000000-0002-0000-2B00-000009000000}">
      <formula1>"北京市系数,其他省市系数"</formula1>
    </dataValidation>
    <dataValidation type="list" allowBlank="1" showInputMessage="1" showErrorMessage="1" sqref="C16 E16 G16 I16" xr:uid="{00000000-0002-0000-2B00-00000A000000}">
      <formula1>产业集聚程度</formula1>
    </dataValidation>
    <dataValidation type="list" allowBlank="1" showInputMessage="1" showErrorMessage="1" sqref="C29 E29 G29 I29" xr:uid="{00000000-0002-0000-2B00-00000B000000}">
      <formula1>套工道路等级</formula1>
    </dataValidation>
    <dataValidation type="list" allowBlank="1" showInputMessage="1" showErrorMessage="1" sqref="C35 E35 G35 I35" xr:uid="{00000000-0002-0000-2B00-00000C000000}">
      <formula1>套工宗地形状</formula1>
    </dataValidation>
    <dataValidation type="list" allowBlank="1" showInputMessage="1" showErrorMessage="1" sqref="C36 E36 G36 I36" xr:uid="{00000000-0002-0000-2B00-00000D000000}">
      <formula1>套工宗地开发程度</formula1>
    </dataValidation>
    <dataValidation type="list" allowBlank="1" showInputMessage="1" showErrorMessage="1" sqref="C37 E37 G37 I37" xr:uid="{00000000-0002-0000-2B00-00000E000000}">
      <formula1>套工地质条件</formula1>
    </dataValidation>
    <dataValidation type="list" allowBlank="1" showInputMessage="1" showErrorMessage="1" sqref="G58" xr:uid="{00000000-0002-0000-2B00-00000F000000}">
      <formula1>"住宅,工业"</formula1>
    </dataValidation>
    <dataValidation type="list" allowBlank="1" showInputMessage="1" showErrorMessage="1" sqref="G57" xr:uid="{00000000-0002-0000-2B00-000010000000}">
      <formula1>"商业,办公,住宅,工业"</formula1>
    </dataValidation>
    <dataValidation type="list" allowBlank="1" showInputMessage="1" showErrorMessage="1" sqref="D52:D60" xr:uid="{00000000-0002-0000-2B00-000011000000}">
      <formula1>"25%,1"</formula1>
    </dataValidation>
    <dataValidation type="list" allowBlank="1" showInputMessage="1" showErrorMessage="1" sqref="C26 E26 G26 I26" xr:uid="{00000000-0002-0000-2B00-000012000000}">
      <formula1>基础设施水平</formula1>
    </dataValidation>
    <dataValidation type="list" allowBlank="1" showInputMessage="1" showErrorMessage="1" sqref="D42" xr:uid="{00000000-0002-0000-2B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625" style="2200" customWidth="1"/>
    <col min="2" max="2" width="19.125" style="2303" customWidth="1"/>
    <col min="3" max="4" width="12" style="2134"/>
    <col min="5" max="5" width="14.625" style="2134" customWidth="1"/>
    <col min="6" max="8" width="12" style="2134"/>
    <col min="9" max="9" width="12.125" style="2134" bestFit="1" customWidth="1"/>
    <col min="10" max="10" width="12" style="2134"/>
    <col min="11" max="11" width="8.125" style="2195" customWidth="1"/>
    <col min="12" max="12" width="12" style="2134"/>
    <col min="13" max="13" width="8.5" style="2134" customWidth="1"/>
    <col min="14" max="14" width="9.62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2"/>
      <c r="L1" s="2132" t="s">
        <v>2384</v>
      </c>
      <c r="M1" s="974">
        <f>SUMPRODUCT((区片价!B5:B9=I2)*(区片价!C3:F3=E2)*(区片价!C5:F9))</f>
        <v>0</v>
      </c>
      <c r="N1" s="977">
        <f>SUMPRODUCT((因素修正幅度!B5:B9=I2)*(因素修正幅度!C3:F3=E2)*(因素修正幅度!C5:F9))</f>
        <v>0</v>
      </c>
      <c r="O1" s="2133"/>
      <c r="P1" s="2133"/>
      <c r="Q1" s="1232"/>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2"/>
      <c r="L2" s="2140" t="s">
        <v>2395</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6" t="e">
        <f>IF(F3="宗地容积率",'数据-汇总表'!I4,IF(F3="估价对象容积率",'数据-汇总表'!I6,'数据-汇总表'!I7))</f>
        <v>#DIV/0!</v>
      </c>
      <c r="H3" s="175" t="s">
        <v>2400</v>
      </c>
      <c r="I3" s="861"/>
      <c r="J3" s="2139" t="s">
        <v>2401</v>
      </c>
      <c r="K3" s="1232"/>
      <c r="L3" s="2140" t="s">
        <v>2402</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853"/>
      <c r="B4" s="3854"/>
      <c r="C4" s="3854"/>
      <c r="D4" s="3855"/>
      <c r="E4" s="3855"/>
      <c r="F4" s="3855"/>
      <c r="G4" s="3855"/>
      <c r="H4" s="3855"/>
      <c r="I4" s="3855"/>
      <c r="J4" s="3856"/>
      <c r="K4" s="1232"/>
      <c r="L4" s="2140" t="s">
        <v>2403</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7" t="e">
        <f>ROUND(IF(E2="商业",C6*C7+C16,(IF(E2="住宅",C6*C12+C16,C6+C16))),0)</f>
        <v>#DIV/0!</v>
      </c>
      <c r="D5" s="1473" t="e">
        <f>ROUND(C6+C16,0)</f>
        <v>#DIV/0!</v>
      </c>
      <c r="E5" s="1473"/>
      <c r="F5" s="2145"/>
      <c r="G5" s="2146"/>
      <c r="H5" s="2146"/>
      <c r="I5" s="2146"/>
      <c r="J5" s="2147"/>
      <c r="K5" s="2148"/>
      <c r="L5" s="2140" t="s">
        <v>2405</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8">
        <f>SUMIF(L1:L12,G2,M1:M12)</f>
        <v>0</v>
      </c>
      <c r="D6" s="2155" t="s">
        <v>2408</v>
      </c>
      <c r="E6" s="2156"/>
      <c r="F6" s="2156"/>
      <c r="G6" s="2157"/>
      <c r="H6" s="2157"/>
      <c r="I6" s="2157"/>
      <c r="J6" s="2158"/>
      <c r="K6" s="1518"/>
      <c r="L6" s="2140" t="s">
        <v>2409</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834" t="str">
        <f>IF(E2="商业",IF(C8="不临58条商业街","",2),"")</f>
        <v/>
      </c>
      <c r="B7" s="2159" t="s">
        <v>2410</v>
      </c>
      <c r="C7" s="839" t="e">
        <f>IF(C8="不临58条商业街",1,ROUND(1+(1.6*E8+1.2*E9+0.8*E10+0.4*E11)*C9,4))</f>
        <v>#DIV/0!</v>
      </c>
      <c r="D7" s="2160" t="s">
        <v>2411</v>
      </c>
      <c r="E7" s="862"/>
      <c r="F7" s="2161"/>
      <c r="G7" s="2162"/>
      <c r="H7" s="2162"/>
      <c r="I7" s="2162"/>
      <c r="J7" s="2163"/>
      <c r="K7" s="1518"/>
      <c r="L7" s="2140" t="s">
        <v>2412</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2413</v>
      </c>
      <c r="X7" s="1328">
        <f>G2</f>
        <v>0</v>
      </c>
      <c r="Y7" s="1328" t="s">
        <v>2414</v>
      </c>
      <c r="Z7" s="1329" t="e">
        <f>G3</f>
        <v>#DIV/0!</v>
      </c>
      <c r="AA7" s="1330"/>
      <c r="AB7" s="1330"/>
      <c r="AC7" s="1331"/>
      <c r="AD7" s="1332"/>
      <c r="AE7" s="1332"/>
      <c r="AF7" s="1332"/>
      <c r="AG7" s="1332"/>
      <c r="AH7" s="1332"/>
      <c r="AI7" s="1332"/>
      <c r="AJ7" s="1333"/>
    </row>
    <row r="8" spans="1:36" ht="15">
      <c r="A8" s="3857"/>
      <c r="B8" s="175" t="s">
        <v>2415</v>
      </c>
      <c r="C8" s="2164"/>
      <c r="D8" s="840" t="s">
        <v>139</v>
      </c>
      <c r="E8" s="841" t="e">
        <f>ROUND(C11/E7,4)</f>
        <v>#DIV/0!</v>
      </c>
      <c r="F8" s="2165" t="s">
        <v>2416</v>
      </c>
      <c r="G8" s="2166"/>
      <c r="H8" s="2166"/>
      <c r="I8" s="2166"/>
      <c r="J8" s="2167"/>
      <c r="K8" s="1232"/>
      <c r="L8" s="2140" t="s">
        <v>2417</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850" t="s">
        <v>2418</v>
      </c>
      <c r="X8" s="3851"/>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857"/>
      <c r="B9" s="175" t="s">
        <v>2431</v>
      </c>
      <c r="C9" s="842">
        <f>SUMIF(修正!C71:C138,C8,修正!E71:E138)</f>
        <v>0</v>
      </c>
      <c r="D9" s="176" t="s">
        <v>140</v>
      </c>
      <c r="E9" s="176" t="e">
        <f>ROUND(C11/E7,4)</f>
        <v>#DIV/0!</v>
      </c>
      <c r="F9" s="2165" t="s">
        <v>2432</v>
      </c>
      <c r="G9" s="2166"/>
      <c r="H9" s="2166"/>
      <c r="I9" s="2166"/>
      <c r="J9" s="2167"/>
      <c r="K9" s="1232"/>
      <c r="L9" s="2140" t="s">
        <v>2433</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852"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857"/>
      <c r="B10" s="175" t="s">
        <v>2436</v>
      </c>
      <c r="C10" s="176">
        <f>SUMIF(修正!C71:C138,C8,修正!F71:F138)</f>
        <v>0</v>
      </c>
      <c r="D10" s="176" t="s">
        <v>141</v>
      </c>
      <c r="E10" s="176" t="e">
        <f>ROUND(C11/E7,4)</f>
        <v>#DIV/0!</v>
      </c>
      <c r="F10" s="2165" t="s">
        <v>2437</v>
      </c>
      <c r="G10" s="2166"/>
      <c r="H10" s="2166"/>
      <c r="I10" s="2166"/>
      <c r="J10" s="2167"/>
      <c r="K10" s="1232"/>
      <c r="L10" s="2140" t="s">
        <v>2438</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852"/>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857"/>
      <c r="B11" s="2168" t="s">
        <v>2439</v>
      </c>
      <c r="C11" s="843">
        <f>C10/4</f>
        <v>0</v>
      </c>
      <c r="D11" s="843" t="s">
        <v>142</v>
      </c>
      <c r="E11" s="843" t="e">
        <f>ROUND(C11/E7,4)</f>
        <v>#DIV/0!</v>
      </c>
      <c r="F11" s="2169" t="s">
        <v>2440</v>
      </c>
      <c r="G11" s="2170"/>
      <c r="H11" s="2170"/>
      <c r="I11" s="2170"/>
      <c r="J11" s="2171"/>
      <c r="K11" s="1232"/>
      <c r="L11" s="2140" t="s">
        <v>2441</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852" t="s">
        <v>2442</v>
      </c>
      <c r="X11" s="1338" t="s">
        <v>2443</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834" t="s">
        <v>2444</v>
      </c>
      <c r="B12" s="2172" t="s">
        <v>2445</v>
      </c>
      <c r="C12" s="839">
        <f>ROUND(C15*D15*E15*F15*G15*H15*I15*J15,4)</f>
        <v>1</v>
      </c>
      <c r="D12" s="2173" t="s">
        <v>2446</v>
      </c>
      <c r="E12" s="2174"/>
      <c r="F12" s="2174"/>
      <c r="G12" s="2175"/>
      <c r="H12" s="2175"/>
      <c r="I12" s="2175"/>
      <c r="J12" s="2176"/>
      <c r="K12" s="1232"/>
      <c r="L12" s="2177" t="s">
        <v>2447</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852"/>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858"/>
      <c r="B13" s="2178" t="s">
        <v>2449</v>
      </c>
      <c r="C13" s="2179" t="s">
        <v>2450</v>
      </c>
      <c r="D13" s="1484" t="s">
        <v>2451</v>
      </c>
      <c r="E13" s="1484" t="s">
        <v>2452</v>
      </c>
      <c r="F13" s="30" t="s">
        <v>2453</v>
      </c>
      <c r="G13" s="2180" t="s">
        <v>2454</v>
      </c>
      <c r="H13" s="2180" t="s">
        <v>2454</v>
      </c>
      <c r="I13" s="2180" t="s">
        <v>2454</v>
      </c>
      <c r="J13" s="2181" t="s">
        <v>2454</v>
      </c>
      <c r="K13" s="1232"/>
      <c r="L13" s="1232"/>
      <c r="M13" s="1232"/>
      <c r="N13" s="1232"/>
      <c r="O13" s="1232"/>
      <c r="P13" s="1232"/>
      <c r="Q13" s="1232"/>
      <c r="R13" s="1326">
        <v>12</v>
      </c>
      <c r="S13" s="1327"/>
      <c r="T13" s="1326" t="e">
        <f t="shared" si="0"/>
        <v>#DIV/0!</v>
      </c>
      <c r="U13" s="1327"/>
      <c r="V13" s="1326" t="e">
        <f t="shared" si="1"/>
        <v>#DIV/0!</v>
      </c>
      <c r="W13" s="3852"/>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858"/>
      <c r="B14" s="2182"/>
      <c r="C14" s="2183"/>
      <c r="D14" s="2184"/>
      <c r="E14" s="2184"/>
      <c r="F14" s="2185"/>
      <c r="G14" s="2186" t="s">
        <v>2455</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859"/>
      <c r="B15" s="2190" t="s">
        <v>2456</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834" t="s">
        <v>2461</v>
      </c>
      <c r="B16" s="2159" t="s">
        <v>2462</v>
      </c>
      <c r="C16" s="2321" t="e">
        <f>ROUND(IF(F17="与级别开发程度一致",0,(G17-E17)/C17),0)</f>
        <v>#DIV/0!</v>
      </c>
      <c r="D16" s="3847" t="s">
        <v>2466</v>
      </c>
      <c r="E16" s="3848"/>
      <c r="F16" s="3847" t="s">
        <v>2463</v>
      </c>
      <c r="G16" s="3848"/>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835"/>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2469</v>
      </c>
      <c r="C19" s="844" t="e">
        <f>ROUND(IF(H19="按公示增长率计算",SUMPRODUCT((地价!A3:A37=YEAR(G19)&amp;"-"&amp;ROUNDUP(MONTH(G19)/3,0))*(地价!X2:AB2=E2)*(地价!X3:AB37)),IF(H19="地价指数",M20/M19,(1+I19)^O19)),4)</f>
        <v>#VALUE!</v>
      </c>
      <c r="D19" s="2201" t="s">
        <v>2470</v>
      </c>
      <c r="E19" s="845">
        <v>41640</v>
      </c>
      <c r="F19" s="2201" t="s">
        <v>2471</v>
      </c>
      <c r="G19" s="846">
        <f>'数据-取费表'!B2</f>
        <v>44868</v>
      </c>
      <c r="H19" s="2202"/>
      <c r="I19" s="847" t="str">
        <f>IF(H19="季度增幅（自定义）",SUMIF(N21:N24,E2,O21:O24),"")</f>
        <v/>
      </c>
      <c r="J19" s="2199"/>
      <c r="K19" s="1239"/>
      <c r="L19" s="2203" t="s">
        <v>2472</v>
      </c>
      <c r="M19" s="1448">
        <f>ROUND(SUMIF(地价!B2:F2,E2,地价!B37:F37),0)</f>
        <v>0</v>
      </c>
      <c r="N19" s="2204" t="s">
        <v>2473</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2474</v>
      </c>
      <c r="C20" s="849" t="e">
        <f>ROUND(POWER(1+G20,J20-I20)*(POWER(1+G20,I20)-1)/(POWER(1+G20,J20)-1),4)</f>
        <v>#DIV/0!</v>
      </c>
      <c r="D20" s="2208" t="s">
        <v>2475</v>
      </c>
      <c r="E20" s="1455">
        <f>存贷款利率!E22/100</f>
        <v>4.3499999999999997E-2</v>
      </c>
      <c r="F20" s="2208" t="s">
        <v>2467</v>
      </c>
      <c r="G20" s="853">
        <f>SUMIF(M26:P26,E2,M28:P28)</f>
        <v>0</v>
      </c>
      <c r="H20" s="2208" t="s">
        <v>2476</v>
      </c>
      <c r="I20" s="854" t="e">
        <f>SUMIF('数据-取费表'!C6:C15,E2,'数据-取费表'!F6:F15)/COUNTIF('数据-取费表'!C6:C15,E2)</f>
        <v>#DIV/0!</v>
      </c>
      <c r="J20" s="855">
        <f>IF(E2="住宅",70,IF(E2="商业",40,50))</f>
        <v>50</v>
      </c>
      <c r="K20" s="1239"/>
      <c r="L20" s="2209" t="s">
        <v>2477</v>
      </c>
      <c r="M20" s="1449">
        <f>ROUND(SUMPRODUCT((地价!A4:A37=YEAR(G19)&amp;"-"&amp;ROUNDUP(MONTH(G19)/3,0))*(地价!B2:F2=E2)*(地价!B4:F37)),0)</f>
        <v>0</v>
      </c>
      <c r="N20" s="2210" t="s">
        <v>2478</v>
      </c>
      <c r="O20" s="2211" t="s">
        <v>2479</v>
      </c>
      <c r="P20" s="2212" t="s">
        <v>2480</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2481</v>
      </c>
      <c r="C21" s="856" t="e">
        <f>IF(B21="容积率修正",IF(G3&lt;=10,D22,J22),C23)</f>
        <v>#DIV/0!</v>
      </c>
      <c r="D21" s="2215"/>
      <c r="E21" s="2215"/>
      <c r="F21" s="2215"/>
      <c r="G21" s="2215"/>
      <c r="H21" s="2215"/>
      <c r="I21" s="2215"/>
      <c r="J21" s="2216"/>
      <c r="K21" s="1239"/>
      <c r="L21" s="2968"/>
      <c r="M21" s="2968"/>
      <c r="N21" s="2217" t="s">
        <v>2482</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2483</v>
      </c>
      <c r="B22" s="2218" t="s">
        <v>2484</v>
      </c>
      <c r="C22" s="1486" t="s">
        <v>2485</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2486</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2487</v>
      </c>
      <c r="B23" s="2219" t="s">
        <v>2488</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2489</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2490</v>
      </c>
      <c r="C24" s="844">
        <f>SUMIF(A45:A88,E2,B45:B88)</f>
        <v>0</v>
      </c>
      <c r="D24" s="2198"/>
      <c r="E24" s="2225"/>
      <c r="F24" s="2225"/>
      <c r="G24" s="2225"/>
      <c r="H24" s="2225"/>
      <c r="I24" s="2225"/>
      <c r="J24" s="2226"/>
      <c r="K24" s="1239"/>
      <c r="L24" s="2968"/>
      <c r="M24" s="2968"/>
      <c r="N24" s="2227" t="s">
        <v>2491</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2492</v>
      </c>
      <c r="C25" s="850"/>
      <c r="D25" s="2162"/>
      <c r="E25" s="2162"/>
      <c r="F25" s="2229"/>
      <c r="G25" s="2162"/>
      <c r="H25" s="2162"/>
      <c r="I25" s="2162"/>
      <c r="J25" s="2163"/>
      <c r="K25" s="1232"/>
      <c r="L25" s="2133"/>
      <c r="M25" s="2133"/>
      <c r="N25" s="2963" t="s">
        <v>2493</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2"/>
      <c r="L26" s="2966" t="s">
        <v>2392</v>
      </c>
      <c r="M26" s="2160" t="s">
        <v>2457</v>
      </c>
      <c r="N26" s="2160" t="s">
        <v>2458</v>
      </c>
      <c r="O26" s="2160" t="s">
        <v>2459</v>
      </c>
      <c r="P26" s="2967" t="s">
        <v>2460</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2495</v>
      </c>
      <c r="C27" s="851" t="e">
        <f>E30+SUM(I33:I39)</f>
        <v>#DIV/0!</v>
      </c>
      <c r="D27" s="2235"/>
      <c r="E27" s="2236"/>
      <c r="F27" s="2237"/>
      <c r="G27" s="2236"/>
      <c r="H27" s="2236"/>
      <c r="I27" s="2236"/>
      <c r="J27" s="2238"/>
      <c r="K27" s="1232"/>
      <c r="L27" s="2193" t="s">
        <v>2464</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2"/>
      <c r="L28" s="2194" t="s">
        <v>2467</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2500</v>
      </c>
      <c r="C29" s="180" t="e">
        <f>ROUND(C5*C18*C19*C20*C21*C24,0)</f>
        <v>#DIV/0!</v>
      </c>
      <c r="D29" s="2246"/>
      <c r="E29" s="859" t="e">
        <f>ROUND(C29*D29/10000,0)</f>
        <v>#DIV/0!</v>
      </c>
      <c r="F29" s="2247" t="s">
        <v>2501</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2502</v>
      </c>
      <c r="C30" s="193" t="e">
        <f>ROUND(IF(E2="工业",C29*M39,C29*M38),0)</f>
        <v>#DIV/0!</v>
      </c>
      <c r="D30" s="2252"/>
      <c r="E30" s="859" t="e">
        <f>ROUND(C30*D30/10000,0)</f>
        <v>#DIV/0!</v>
      </c>
      <c r="F30" s="2253" t="s">
        <v>2503</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2504</v>
      </c>
      <c r="C31" s="2258" t="s">
        <v>2505</v>
      </c>
      <c r="D31" s="2175"/>
      <c r="E31" s="2258"/>
      <c r="F31" s="2258"/>
      <c r="G31" s="2173" t="s">
        <v>2506</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844"/>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849"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845"/>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84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845"/>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84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846"/>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846"/>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2513</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2515</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2516</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2460</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2467</v>
      </c>
      <c r="E41" s="2319">
        <f>G20</f>
        <v>0</v>
      </c>
      <c r="F41" s="176" t="s">
        <v>2476</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2517</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2518</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2519</v>
      </c>
      <c r="B47" s="1485" t="s">
        <v>2520</v>
      </c>
      <c r="C47" s="1485" t="s">
        <v>2521</v>
      </c>
      <c r="D47" s="1485" t="s">
        <v>2522</v>
      </c>
      <c r="E47" s="757" t="s">
        <v>2523</v>
      </c>
      <c r="F47" s="2280" t="s">
        <v>2524</v>
      </c>
      <c r="G47" s="1485" t="s">
        <v>574</v>
      </c>
      <c r="H47" s="2281" t="s">
        <v>2525</v>
      </c>
      <c r="I47" s="1485" t="s">
        <v>2526</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2527</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2528</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2529</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2530</v>
      </c>
      <c r="B51" s="2284" t="s">
        <v>2531</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2532</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2533</v>
      </c>
      <c r="B53" s="2285" t="s">
        <v>2534</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2535</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2536</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2537</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2538</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2519</v>
      </c>
      <c r="B58" s="1485"/>
      <c r="C58" s="1485" t="s">
        <v>2521</v>
      </c>
      <c r="D58" s="1485" t="s">
        <v>2522</v>
      </c>
      <c r="E58" s="757" t="s">
        <v>2523</v>
      </c>
      <c r="F58" s="2280" t="s">
        <v>2539</v>
      </c>
      <c r="G58" s="1485" t="s">
        <v>574</v>
      </c>
      <c r="H58" s="2281" t="s">
        <v>2525</v>
      </c>
      <c r="I58" s="1485" t="s">
        <v>2526</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2540</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2528</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2529</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2530</v>
      </c>
      <c r="B62" s="2284" t="s">
        <v>2531</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2532</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2533</v>
      </c>
      <c r="B64" s="2285" t="s">
        <v>2534</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2535</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2536</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2537</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2541</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2519</v>
      </c>
      <c r="B69" s="1485"/>
      <c r="C69" s="1485" t="s">
        <v>2521</v>
      </c>
      <c r="D69" s="1485" t="s">
        <v>2522</v>
      </c>
      <c r="E69" s="757" t="s">
        <v>2523</v>
      </c>
      <c r="F69" s="2280" t="s">
        <v>2539</v>
      </c>
      <c r="G69" s="1485" t="s">
        <v>574</v>
      </c>
      <c r="H69" s="2281" t="s">
        <v>2525</v>
      </c>
      <c r="I69" s="1485" t="s">
        <v>2526</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2542</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2528</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2529</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2543</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2535</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2536</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2533</v>
      </c>
      <c r="B76" s="2285" t="s">
        <v>2534</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2537</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2544</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2545</v>
      </c>
      <c r="B79" s="2276">
        <f>1+E81</f>
        <v>1</v>
      </c>
      <c r="C79" s="752"/>
      <c r="D79" s="752"/>
      <c r="E79" s="753"/>
      <c r="F79" s="2278"/>
      <c r="G79" s="6"/>
      <c r="H79" s="6"/>
      <c r="I79" s="6"/>
      <c r="J79" s="7"/>
      <c r="K79" s="7"/>
      <c r="L79" s="7"/>
      <c r="M79" s="7"/>
      <c r="N79" s="7"/>
      <c r="Z79" s="2134"/>
      <c r="AA79" s="2200"/>
      <c r="AG79" s="1234"/>
      <c r="AK79" s="2200"/>
    </row>
    <row r="80" spans="1:37" ht="24.75">
      <c r="A80" s="2279" t="s">
        <v>2519</v>
      </c>
      <c r="B80" s="1485"/>
      <c r="C80" s="1485" t="s">
        <v>2521</v>
      </c>
      <c r="D80" s="1485" t="s">
        <v>2522</v>
      </c>
      <c r="E80" s="757" t="s">
        <v>2523</v>
      </c>
      <c r="F80" s="2280" t="s">
        <v>2539</v>
      </c>
      <c r="G80" s="1485" t="s">
        <v>574</v>
      </c>
      <c r="H80" s="2281" t="s">
        <v>2525</v>
      </c>
      <c r="I80" s="1485" t="s">
        <v>2526</v>
      </c>
      <c r="J80" s="560" t="s">
        <v>2177</v>
      </c>
      <c r="K80" s="560" t="s">
        <v>2178</v>
      </c>
      <c r="L80" s="560" t="s">
        <v>2179</v>
      </c>
      <c r="M80" s="560" t="s">
        <v>2180</v>
      </c>
      <c r="N80" s="560" t="s">
        <v>2181</v>
      </c>
      <c r="Z80" s="2134"/>
      <c r="AA80" s="2200"/>
      <c r="AG80" s="1234"/>
      <c r="AK80" s="2200"/>
    </row>
    <row r="81" spans="1:37" ht="38.25">
      <c r="A81" s="2279" t="s">
        <v>2546</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2528</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2529</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2543</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2535</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2536</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2533</v>
      </c>
      <c r="B87" s="2285" t="s">
        <v>2547</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2548</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836" t="s">
        <v>2549</v>
      </c>
      <c r="B90" s="3836"/>
      <c r="C90" s="3836"/>
      <c r="D90" s="3836"/>
      <c r="E90" s="3836"/>
      <c r="F90" s="3836"/>
      <c r="G90" s="3836"/>
      <c r="H90" s="3836"/>
      <c r="I90" s="3836"/>
      <c r="J90" s="3836"/>
      <c r="K90" s="2293"/>
      <c r="L90" s="2293"/>
      <c r="M90" s="2293"/>
      <c r="N90" s="2293"/>
    </row>
    <row r="91" spans="1:37">
      <c r="A91" s="3838" t="s">
        <v>2550</v>
      </c>
      <c r="B91" s="3838" t="s">
        <v>2551</v>
      </c>
      <c r="C91" s="2247" t="s">
        <v>2552</v>
      </c>
      <c r="D91" s="2248"/>
      <c r="E91" s="2248"/>
      <c r="F91" s="2248"/>
      <c r="G91" s="2248"/>
      <c r="H91" s="2248"/>
      <c r="I91" s="2248"/>
      <c r="J91" s="2294"/>
      <c r="K91" s="2295"/>
      <c r="L91" s="2295"/>
      <c r="M91" s="2295"/>
      <c r="N91" s="2295"/>
    </row>
    <row r="92" spans="1:37">
      <c r="A92" s="3838"/>
      <c r="B92" s="3838"/>
      <c r="C92" s="859" t="s">
        <v>2419</v>
      </c>
      <c r="D92" s="859" t="s">
        <v>2420</v>
      </c>
      <c r="E92" s="859" t="s">
        <v>2421</v>
      </c>
      <c r="F92" s="859" t="s">
        <v>2422</v>
      </c>
      <c r="G92" s="859" t="s">
        <v>2423</v>
      </c>
      <c r="H92" s="859" t="s">
        <v>2424</v>
      </c>
      <c r="I92" s="859" t="s">
        <v>2425</v>
      </c>
      <c r="J92" s="859" t="s">
        <v>2426</v>
      </c>
      <c r="K92" s="859" t="s">
        <v>2427</v>
      </c>
      <c r="L92" s="859" t="s">
        <v>2428</v>
      </c>
      <c r="M92" s="859" t="s">
        <v>2429</v>
      </c>
      <c r="N92" s="859" t="s">
        <v>2430</v>
      </c>
    </row>
    <row r="93" spans="1:37">
      <c r="A93" s="3839"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840"/>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840"/>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840"/>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840"/>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840"/>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840"/>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841"/>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839" t="s">
        <v>2554</v>
      </c>
      <c r="B101" s="2300" t="s">
        <v>2555</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840"/>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840"/>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840"/>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840"/>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840"/>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840"/>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840"/>
      <c r="B108" s="3842"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841"/>
      <c r="B109" s="3843"/>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837" t="s">
        <v>2557</v>
      </c>
      <c r="B110" s="3837"/>
      <c r="C110" s="3837"/>
      <c r="D110" s="3837"/>
      <c r="E110" s="3837"/>
      <c r="F110" s="3837"/>
      <c r="G110" s="3837"/>
      <c r="H110" s="3837"/>
      <c r="I110" s="3837"/>
      <c r="J110" s="3837"/>
      <c r="K110" s="2302"/>
      <c r="L110" s="2302"/>
      <c r="M110" s="2302"/>
      <c r="N110" s="2302"/>
    </row>
    <row r="112" spans="1:14" ht="13.5" thickBot="1"/>
    <row r="113" spans="1:13" ht="25.5" thickBot="1">
      <c r="A113" s="823" t="s">
        <v>2558</v>
      </c>
      <c r="B113" s="1177" t="e">
        <f>G3</f>
        <v>#DIV/0!</v>
      </c>
      <c r="C113" s="824" t="s">
        <v>2559</v>
      </c>
      <c r="D113" s="825" t="e">
        <f>SUMPRODUCT((A115:A118=F113)*(B114:M114=H113)*B115:M118)</f>
        <v>#DIV/0!</v>
      </c>
      <c r="E113" s="2138" t="s">
        <v>2392</v>
      </c>
      <c r="F113" s="2304">
        <f>E2</f>
        <v>0</v>
      </c>
      <c r="G113" s="2138" t="s">
        <v>2393</v>
      </c>
      <c r="H113" s="2304">
        <f>G2</f>
        <v>0</v>
      </c>
      <c r="I113" s="2138"/>
      <c r="J113" s="2305"/>
      <c r="K113" s="2305"/>
      <c r="L113" s="2305"/>
      <c r="M113" s="2305"/>
    </row>
    <row r="114" spans="1:13">
      <c r="A114" s="828"/>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29" t="s">
        <v>2457</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2458</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2459</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2460</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C00-000000000000}">
      <formula1>"500米范围内,500-1000米,1000米以外"</formula1>
    </dataValidation>
    <dataValidation type="list" allowBlank="1" showInputMessage="1" showErrorMessage="1" sqref="C14:E14" xr:uid="{00000000-0002-0000-2C00-000001000000}">
      <formula1>"有,无"</formula1>
    </dataValidation>
    <dataValidation type="list" allowBlank="1" showInputMessage="1" showErrorMessage="1" sqref="B21" xr:uid="{00000000-0002-0000-2C00-000002000000}">
      <formula1>"容积率修正,楼层修正"</formula1>
    </dataValidation>
    <dataValidation type="list" allowBlank="1" showInputMessage="1" showErrorMessage="1" sqref="F17" xr:uid="{00000000-0002-0000-2C00-000003000000}">
      <formula1>"与级别开发程度一致,与级别开发程度不一致"</formula1>
    </dataValidation>
    <dataValidation type="list" allowBlank="1" showInputMessage="1" showErrorMessage="1" sqref="E2" xr:uid="{00000000-0002-0000-2C00-000004000000}">
      <formula1>"商业,办公,住宅,工业"</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81:C88 C70:C78 C48:C56 C59:C67" xr:uid="{00000000-0002-0000-2C00-000008000000}">
      <formula1>五等判定</formula1>
    </dataValidation>
    <dataValidation type="list" allowBlank="1" showInputMessage="1" showErrorMessage="1" sqref="H19" xr:uid="{00000000-0002-0000-2C00-000009000000}">
      <formula1>"地价指数,季度增幅（自定义）,按公示增长率计算"</formula1>
    </dataValidation>
    <dataValidation type="list" allowBlank="1" showInputMessage="1" showErrorMessage="1" sqref="H16:O16" xr:uid="{00000000-0002-0000-2C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867" t="s">
        <v>2954</v>
      </c>
      <c r="B20" s="3860" t="s">
        <v>2955</v>
      </c>
      <c r="C20" s="3212" t="s">
        <v>2956</v>
      </c>
      <c r="D20" s="3213"/>
      <c r="E20" s="3214">
        <v>1</v>
      </c>
      <c r="F20" s="3215" t="s">
        <v>2957</v>
      </c>
      <c r="G20" s="806"/>
      <c r="H20" s="800"/>
      <c r="I20" s="800"/>
    </row>
    <row r="21" spans="1:13" s="807" customFormat="1" ht="19.5" customHeight="1">
      <c r="A21" s="3868"/>
      <c r="B21" s="3861"/>
      <c r="C21" s="804" t="s">
        <v>2958</v>
      </c>
      <c r="D21" s="805"/>
      <c r="E21" s="3216">
        <v>1</v>
      </c>
      <c r="F21" s="3215" t="s">
        <v>2959</v>
      </c>
      <c r="G21" s="806"/>
      <c r="H21" s="800"/>
      <c r="I21" s="800"/>
    </row>
    <row r="22" spans="1:13" s="807" customFormat="1" ht="19.5" customHeight="1">
      <c r="A22" s="3868"/>
      <c r="B22" s="3861"/>
      <c r="C22" s="804" t="s">
        <v>2960</v>
      </c>
      <c r="D22" s="805"/>
      <c r="E22" s="3216">
        <v>0.9</v>
      </c>
      <c r="F22" s="3215" t="s">
        <v>2961</v>
      </c>
      <c r="G22" s="806"/>
      <c r="H22" s="800"/>
      <c r="I22" s="800"/>
    </row>
    <row r="23" spans="1:13" s="807" customFormat="1" ht="19.5" customHeight="1">
      <c r="A23" s="3868"/>
      <c r="B23" s="3861"/>
      <c r="C23" s="804" t="s">
        <v>2962</v>
      </c>
      <c r="D23" s="805"/>
      <c r="E23" s="3216">
        <v>0.9</v>
      </c>
      <c r="F23" s="3215" t="s">
        <v>2963</v>
      </c>
      <c r="G23" s="806"/>
      <c r="H23" s="800"/>
      <c r="I23" s="800"/>
    </row>
    <row r="24" spans="1:13" s="807" customFormat="1" ht="19.5" customHeight="1">
      <c r="A24" s="3868"/>
      <c r="B24" s="3861"/>
      <c r="C24" s="804" t="s">
        <v>2964</v>
      </c>
      <c r="D24" s="805"/>
      <c r="E24" s="3216">
        <v>0.8</v>
      </c>
      <c r="F24" s="3215" t="s">
        <v>2965</v>
      </c>
      <c r="G24" s="806"/>
      <c r="H24" s="800"/>
      <c r="I24" s="800"/>
    </row>
    <row r="25" spans="1:13" s="807" customFormat="1" ht="19.5" customHeight="1" thickBot="1">
      <c r="A25" s="3869"/>
      <c r="B25" s="386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863" t="s">
        <v>2971</v>
      </c>
      <c r="B27" s="3860" t="s">
        <v>2971</v>
      </c>
      <c r="C27" s="3212" t="s">
        <v>2972</v>
      </c>
      <c r="D27" s="3213"/>
      <c r="E27" s="3214">
        <v>1</v>
      </c>
      <c r="F27" s="3215" t="s">
        <v>2973</v>
      </c>
      <c r="G27" s="806"/>
      <c r="H27" s="800"/>
      <c r="I27" s="800"/>
    </row>
    <row r="28" spans="1:13" s="807" customFormat="1" ht="19.5" customHeight="1">
      <c r="A28" s="3864"/>
      <c r="B28" s="3861"/>
      <c r="C28" s="804" t="s">
        <v>2974</v>
      </c>
      <c r="D28" s="805"/>
      <c r="E28" s="3216">
        <v>1</v>
      </c>
      <c r="F28" s="3215" t="s">
        <v>2975</v>
      </c>
      <c r="G28" s="806"/>
      <c r="H28" s="800"/>
      <c r="I28" s="800"/>
    </row>
    <row r="29" spans="1:13" s="807" customFormat="1" ht="19.5" customHeight="1">
      <c r="A29" s="3864"/>
      <c r="B29" s="3861"/>
      <c r="C29" s="804" t="s">
        <v>2976</v>
      </c>
      <c r="D29" s="805"/>
      <c r="E29" s="3216">
        <v>0.8</v>
      </c>
      <c r="F29" s="3215" t="s">
        <v>2977</v>
      </c>
      <c r="G29" s="806"/>
      <c r="H29" s="800"/>
      <c r="I29" s="800"/>
    </row>
    <row r="30" spans="1:13" s="807" customFormat="1" ht="19.5" customHeight="1">
      <c r="A30" s="3864"/>
      <c r="B30" s="3861"/>
      <c r="C30" s="804" t="s">
        <v>2978</v>
      </c>
      <c r="D30" s="805"/>
      <c r="E30" s="3216">
        <v>0.8</v>
      </c>
      <c r="F30" s="3215" t="s">
        <v>2979</v>
      </c>
      <c r="G30" s="806"/>
      <c r="H30" s="800"/>
      <c r="I30" s="800"/>
    </row>
    <row r="31" spans="1:13" s="807" customFormat="1" ht="19.5" customHeight="1">
      <c r="A31" s="3864"/>
      <c r="B31" s="3861"/>
      <c r="C31" s="804" t="s">
        <v>2980</v>
      </c>
      <c r="D31" s="805"/>
      <c r="E31" s="3216">
        <v>0.8</v>
      </c>
      <c r="F31" s="3215" t="s">
        <v>2981</v>
      </c>
      <c r="G31" s="806"/>
      <c r="H31" s="800"/>
      <c r="I31" s="800"/>
    </row>
    <row r="32" spans="1:13" s="807" customFormat="1" ht="19.5" customHeight="1">
      <c r="A32" s="3864"/>
      <c r="B32" s="3861"/>
      <c r="C32" s="804" t="s">
        <v>2982</v>
      </c>
      <c r="D32" s="805"/>
      <c r="E32" s="3216">
        <v>0.7</v>
      </c>
      <c r="F32" s="3215" t="s">
        <v>2983</v>
      </c>
      <c r="G32" s="806"/>
      <c r="H32" s="800"/>
      <c r="I32" s="800"/>
    </row>
    <row r="33" spans="1:9" s="807" customFormat="1" ht="19.5" customHeight="1">
      <c r="A33" s="3864"/>
      <c r="B33" s="3861"/>
      <c r="C33" s="804" t="s">
        <v>2984</v>
      </c>
      <c r="D33" s="805"/>
      <c r="E33" s="3216">
        <v>0.8</v>
      </c>
      <c r="F33" s="3215" t="s">
        <v>2985</v>
      </c>
      <c r="G33" s="806"/>
      <c r="H33" s="800"/>
      <c r="I33" s="800"/>
    </row>
    <row r="34" spans="1:9" s="807" customFormat="1" ht="19.5" customHeight="1">
      <c r="A34" s="3864"/>
      <c r="B34" s="3861"/>
      <c r="C34" s="804" t="s">
        <v>2986</v>
      </c>
      <c r="D34" s="805"/>
      <c r="E34" s="3216">
        <v>0.6</v>
      </c>
      <c r="F34" s="3215" t="s">
        <v>2987</v>
      </c>
      <c r="G34" s="806"/>
      <c r="H34" s="800"/>
      <c r="I34" s="800"/>
    </row>
    <row r="35" spans="1:9" s="807" customFormat="1" ht="19.5" customHeight="1">
      <c r="A35" s="3864"/>
      <c r="B35" s="3861"/>
      <c r="C35" s="804" t="s">
        <v>2988</v>
      </c>
      <c r="D35" s="805"/>
      <c r="E35" s="3216">
        <v>0.2</v>
      </c>
      <c r="F35" s="3215" t="s">
        <v>2989</v>
      </c>
      <c r="G35" s="806"/>
      <c r="H35" s="800"/>
      <c r="I35" s="800"/>
    </row>
    <row r="36" spans="1:9" s="807" customFormat="1" ht="19.5" customHeight="1">
      <c r="A36" s="3864"/>
      <c r="B36" s="3861"/>
      <c r="C36" s="804" t="s">
        <v>2990</v>
      </c>
      <c r="D36" s="805"/>
      <c r="E36" s="3216">
        <v>0.2</v>
      </c>
      <c r="F36" s="3215" t="s">
        <v>2991</v>
      </c>
      <c r="G36" s="806"/>
      <c r="H36" s="800"/>
      <c r="I36" s="800"/>
    </row>
    <row r="37" spans="1:9" s="807" customFormat="1" ht="19.5" customHeight="1">
      <c r="A37" s="3864"/>
      <c r="B37" s="3866" t="s">
        <v>2992</v>
      </c>
      <c r="C37" s="804" t="s">
        <v>2993</v>
      </c>
      <c r="D37" s="805"/>
      <c r="E37" s="3216">
        <v>0.6</v>
      </c>
      <c r="F37" s="3215" t="s">
        <v>2994</v>
      </c>
      <c r="G37" s="806"/>
      <c r="H37" s="800"/>
      <c r="I37" s="800"/>
    </row>
    <row r="38" spans="1:9" s="807" customFormat="1" ht="19.5" customHeight="1">
      <c r="A38" s="3864"/>
      <c r="B38" s="3861"/>
      <c r="C38" s="804" t="s">
        <v>2995</v>
      </c>
      <c r="D38" s="805"/>
      <c r="E38" s="3216">
        <v>0.6</v>
      </c>
      <c r="F38" s="3215" t="s">
        <v>2996</v>
      </c>
      <c r="G38" s="806"/>
      <c r="H38" s="800"/>
      <c r="I38" s="800"/>
    </row>
    <row r="39" spans="1:9" s="807" customFormat="1" ht="19.5" customHeight="1" thickBot="1">
      <c r="A39" s="3865"/>
      <c r="B39" s="386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867" t="s">
        <v>3002</v>
      </c>
      <c r="B41" s="3860" t="s">
        <v>3003</v>
      </c>
      <c r="C41" s="3212" t="s">
        <v>3004</v>
      </c>
      <c r="D41" s="3213"/>
      <c r="E41" s="3214">
        <v>1</v>
      </c>
      <c r="F41" s="3215" t="s">
        <v>3005</v>
      </c>
      <c r="G41" s="806"/>
      <c r="H41" s="800"/>
      <c r="I41" s="800"/>
    </row>
    <row r="42" spans="1:9" s="807" customFormat="1" ht="19.5" customHeight="1">
      <c r="A42" s="3868"/>
      <c r="B42" s="3861"/>
      <c r="C42" s="804" t="s">
        <v>3006</v>
      </c>
      <c r="D42" s="805"/>
      <c r="E42" s="3216">
        <v>1</v>
      </c>
      <c r="F42" s="3215" t="s">
        <v>3007</v>
      </c>
      <c r="G42" s="806"/>
      <c r="H42" s="800"/>
      <c r="I42" s="800"/>
    </row>
    <row r="43" spans="1:9" s="807" customFormat="1" ht="19.5" customHeight="1">
      <c r="A43" s="3868"/>
      <c r="B43" s="3870"/>
      <c r="C43" s="804" t="s">
        <v>3008</v>
      </c>
      <c r="D43" s="805"/>
      <c r="E43" s="3216">
        <v>1.5</v>
      </c>
      <c r="F43" s="3215" t="s">
        <v>3009</v>
      </c>
      <c r="G43" s="806"/>
      <c r="H43" s="800"/>
      <c r="I43" s="800"/>
    </row>
    <row r="44" spans="1:9" s="807" customFormat="1" ht="19.5" customHeight="1">
      <c r="A44" s="3868"/>
      <c r="B44" s="3225" t="s">
        <v>2971</v>
      </c>
      <c r="C44" s="804" t="s">
        <v>3010</v>
      </c>
      <c r="D44" s="805"/>
      <c r="E44" s="3216">
        <v>2</v>
      </c>
      <c r="F44" s="3215" t="s">
        <v>3011</v>
      </c>
      <c r="G44" s="806"/>
      <c r="H44" s="800"/>
      <c r="I44" s="800"/>
    </row>
    <row r="45" spans="1:9" s="807" customFormat="1" ht="19.5" customHeight="1">
      <c r="A45" s="3868"/>
      <c r="B45" s="3866" t="s">
        <v>3012</v>
      </c>
      <c r="C45" s="804" t="s">
        <v>3013</v>
      </c>
      <c r="D45" s="805"/>
      <c r="E45" s="3216">
        <v>1</v>
      </c>
      <c r="F45" s="3215" t="s">
        <v>3014</v>
      </c>
      <c r="G45" s="806"/>
      <c r="H45" s="800"/>
      <c r="I45" s="800"/>
    </row>
    <row r="46" spans="1:9" s="807" customFormat="1" ht="19.5" customHeight="1">
      <c r="A46" s="3868"/>
      <c r="B46" s="3861"/>
      <c r="C46" s="804" t="s">
        <v>3015</v>
      </c>
      <c r="D46" s="805"/>
      <c r="E46" s="3216">
        <v>1</v>
      </c>
      <c r="F46" s="3215" t="s">
        <v>3016</v>
      </c>
      <c r="G46" s="806"/>
      <c r="H46" s="800"/>
      <c r="I46" s="800"/>
    </row>
    <row r="47" spans="1:9" s="807" customFormat="1" ht="19.5" customHeight="1">
      <c r="A47" s="3868"/>
      <c r="B47" s="3861"/>
      <c r="C47" s="804" t="s">
        <v>3017</v>
      </c>
      <c r="D47" s="805"/>
      <c r="E47" s="3216">
        <v>1</v>
      </c>
      <c r="F47" s="3215" t="s">
        <v>3018</v>
      </c>
      <c r="G47" s="806"/>
      <c r="H47" s="800"/>
      <c r="I47" s="800"/>
    </row>
    <row r="48" spans="1:9" s="807" customFormat="1" ht="19.5" customHeight="1">
      <c r="A48" s="3868"/>
      <c r="B48" s="3861"/>
      <c r="C48" s="804" t="s">
        <v>3019</v>
      </c>
      <c r="D48" s="805"/>
      <c r="E48" s="3216">
        <v>1</v>
      </c>
      <c r="F48" s="3215" t="s">
        <v>3020</v>
      </c>
      <c r="G48" s="806"/>
      <c r="H48" s="800"/>
      <c r="I48" s="800"/>
    </row>
    <row r="49" spans="1:9" s="807" customFormat="1" ht="19.5" customHeight="1">
      <c r="A49" s="3868"/>
      <c r="B49" s="3861"/>
      <c r="C49" s="804" t="s">
        <v>3021</v>
      </c>
      <c r="D49" s="805"/>
      <c r="E49" s="3216">
        <v>1</v>
      </c>
      <c r="F49" s="3215" t="s">
        <v>3022</v>
      </c>
      <c r="G49" s="806"/>
      <c r="H49" s="800"/>
      <c r="I49" s="800"/>
    </row>
    <row r="50" spans="1:9" s="807" customFormat="1" ht="19.5" customHeight="1">
      <c r="A50" s="3868"/>
      <c r="B50" s="3861"/>
      <c r="C50" s="804" t="s">
        <v>3023</v>
      </c>
      <c r="D50" s="805"/>
      <c r="E50" s="3216">
        <v>1</v>
      </c>
      <c r="F50" s="3215" t="s">
        <v>3024</v>
      </c>
      <c r="G50" s="806"/>
      <c r="H50" s="800"/>
      <c r="I50" s="800"/>
    </row>
    <row r="51" spans="1:9" s="807" customFormat="1" ht="19.5" customHeight="1" thickBot="1">
      <c r="A51" s="3869"/>
      <c r="B51" s="386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25">
      <c r="A72" s="858"/>
      <c r="B72" s="858"/>
      <c r="C72" s="858" t="s">
        <v>3027</v>
      </c>
      <c r="D72" s="858"/>
      <c r="E72" s="815" t="s">
        <v>1</v>
      </c>
      <c r="F72" s="858" t="s">
        <v>1</v>
      </c>
    </row>
    <row r="73" spans="1:7" s="800" customFormat="1" ht="14.25">
      <c r="A73" s="3225">
        <v>1</v>
      </c>
      <c r="B73" s="3866" t="s">
        <v>3028</v>
      </c>
      <c r="C73" s="3205" t="s">
        <v>3029</v>
      </c>
      <c r="D73" s="3205" t="s">
        <v>3030</v>
      </c>
      <c r="E73" s="3226">
        <v>0.2</v>
      </c>
      <c r="F73" s="3225">
        <v>25</v>
      </c>
    </row>
    <row r="74" spans="1:7" s="800" customFormat="1" ht="25.5">
      <c r="A74" s="3225">
        <v>2</v>
      </c>
      <c r="B74" s="3861"/>
      <c r="C74" s="3205" t="s">
        <v>3031</v>
      </c>
      <c r="D74" s="3205" t="s">
        <v>3032</v>
      </c>
      <c r="E74" s="3226">
        <v>0.2</v>
      </c>
      <c r="F74" s="3225">
        <v>25</v>
      </c>
    </row>
    <row r="75" spans="1:7" s="800" customFormat="1" ht="25.5">
      <c r="A75" s="3225">
        <v>3</v>
      </c>
      <c r="B75" s="3861"/>
      <c r="C75" s="3205" t="s">
        <v>3033</v>
      </c>
      <c r="D75" s="3205" t="s">
        <v>3034</v>
      </c>
      <c r="E75" s="3226">
        <v>0.2</v>
      </c>
      <c r="F75" s="3225">
        <v>25</v>
      </c>
    </row>
    <row r="76" spans="1:7" s="800" customFormat="1" ht="14.25">
      <c r="A76" s="3225">
        <v>4</v>
      </c>
      <c r="B76" s="3861"/>
      <c r="C76" s="3205" t="s">
        <v>3035</v>
      </c>
      <c r="D76" s="3205" t="s">
        <v>3036</v>
      </c>
      <c r="E76" s="3226">
        <v>0.15</v>
      </c>
      <c r="F76" s="3225">
        <v>20</v>
      </c>
    </row>
    <row r="77" spans="1:7" s="800" customFormat="1" ht="25.5">
      <c r="A77" s="3225">
        <v>5</v>
      </c>
      <c r="B77" s="3861"/>
      <c r="C77" s="3205" t="s">
        <v>3037</v>
      </c>
      <c r="D77" s="3205" t="s">
        <v>3038</v>
      </c>
      <c r="E77" s="3226">
        <v>0.15</v>
      </c>
      <c r="F77" s="3225">
        <v>20</v>
      </c>
    </row>
    <row r="78" spans="1:7" s="800" customFormat="1" ht="25.5">
      <c r="A78" s="3225">
        <v>6</v>
      </c>
      <c r="B78" s="3861"/>
      <c r="C78" s="3205" t="s">
        <v>3039</v>
      </c>
      <c r="D78" s="3205" t="s">
        <v>3040</v>
      </c>
      <c r="E78" s="3226">
        <v>0.15</v>
      </c>
      <c r="F78" s="3225">
        <v>20</v>
      </c>
    </row>
    <row r="79" spans="1:7" s="800" customFormat="1" ht="25.5">
      <c r="A79" s="3225">
        <v>7</v>
      </c>
      <c r="B79" s="3861"/>
      <c r="C79" s="3205" t="s">
        <v>3041</v>
      </c>
      <c r="D79" s="3205" t="s">
        <v>3042</v>
      </c>
      <c r="E79" s="3226">
        <v>0.15</v>
      </c>
      <c r="F79" s="3225">
        <v>20</v>
      </c>
    </row>
    <row r="80" spans="1:7" s="800" customFormat="1" ht="25.5">
      <c r="A80" s="3225">
        <v>8</v>
      </c>
      <c r="B80" s="3861"/>
      <c r="C80" s="3205" t="s">
        <v>3043</v>
      </c>
      <c r="D80" s="3205" t="s">
        <v>3044</v>
      </c>
      <c r="E80" s="3226">
        <v>0.1</v>
      </c>
      <c r="F80" s="3225">
        <v>15</v>
      </c>
    </row>
    <row r="81" spans="1:6" s="800" customFormat="1" ht="25.5">
      <c r="A81" s="3225">
        <v>9</v>
      </c>
      <c r="B81" s="3861"/>
      <c r="C81" s="3205" t="s">
        <v>3045</v>
      </c>
      <c r="D81" s="3205" t="s">
        <v>3046</v>
      </c>
      <c r="E81" s="3226">
        <v>0.1</v>
      </c>
      <c r="F81" s="3225">
        <v>15</v>
      </c>
    </row>
    <row r="82" spans="1:6" s="800" customFormat="1" ht="25.5">
      <c r="A82" s="3225">
        <v>10</v>
      </c>
      <c r="B82" s="3861"/>
      <c r="C82" s="3205" t="s">
        <v>3047</v>
      </c>
      <c r="D82" s="3205" t="s">
        <v>3048</v>
      </c>
      <c r="E82" s="3226">
        <v>0.1</v>
      </c>
      <c r="F82" s="3225">
        <v>15</v>
      </c>
    </row>
    <row r="83" spans="1:6" s="800" customFormat="1" ht="25.5">
      <c r="A83" s="3225">
        <v>11</v>
      </c>
      <c r="B83" s="3861"/>
      <c r="C83" s="3205" t="s">
        <v>3049</v>
      </c>
      <c r="D83" s="3205" t="s">
        <v>3050</v>
      </c>
      <c r="E83" s="3226">
        <v>0.1</v>
      </c>
      <c r="F83" s="3225">
        <v>15</v>
      </c>
    </row>
    <row r="84" spans="1:6" s="800" customFormat="1" ht="25.5">
      <c r="A84" s="3225">
        <v>12</v>
      </c>
      <c r="B84" s="3861"/>
      <c r="C84" s="3205" t="s">
        <v>3051</v>
      </c>
      <c r="D84" s="3205" t="s">
        <v>3052</v>
      </c>
      <c r="E84" s="3226">
        <v>0.1</v>
      </c>
      <c r="F84" s="3225">
        <v>15</v>
      </c>
    </row>
    <row r="85" spans="1:6" s="800" customFormat="1" ht="14.25">
      <c r="A85" s="3225">
        <v>13</v>
      </c>
      <c r="B85" s="3861"/>
      <c r="C85" s="3205" t="s">
        <v>3053</v>
      </c>
      <c r="D85" s="3205" t="s">
        <v>3054</v>
      </c>
      <c r="E85" s="3226">
        <v>0.1</v>
      </c>
      <c r="F85" s="3225">
        <v>15</v>
      </c>
    </row>
    <row r="86" spans="1:6" s="800" customFormat="1" ht="14.25">
      <c r="A86" s="3225">
        <v>14</v>
      </c>
      <c r="B86" s="3861"/>
      <c r="C86" s="3205" t="s">
        <v>3055</v>
      </c>
      <c r="D86" s="3205" t="s">
        <v>3056</v>
      </c>
      <c r="E86" s="3226">
        <v>0.1</v>
      </c>
      <c r="F86" s="3225">
        <v>15</v>
      </c>
    </row>
    <row r="87" spans="1:6" s="800" customFormat="1" ht="14.25">
      <c r="A87" s="3225">
        <v>15</v>
      </c>
      <c r="B87" s="3861"/>
      <c r="C87" s="3205" t="s">
        <v>3057</v>
      </c>
      <c r="D87" s="3205" t="s">
        <v>3058</v>
      </c>
      <c r="E87" s="3226">
        <v>0.1</v>
      </c>
      <c r="F87" s="3225">
        <v>15</v>
      </c>
    </row>
    <row r="88" spans="1:6" s="800" customFormat="1" ht="25.5">
      <c r="A88" s="3225">
        <v>16</v>
      </c>
      <c r="B88" s="3861"/>
      <c r="C88" s="3205" t="s">
        <v>3059</v>
      </c>
      <c r="D88" s="3205" t="s">
        <v>3060</v>
      </c>
      <c r="E88" s="3226">
        <v>0.1</v>
      </c>
      <c r="F88" s="3225">
        <v>15</v>
      </c>
    </row>
    <row r="89" spans="1:6" s="800" customFormat="1" ht="25.5">
      <c r="A89" s="3225">
        <v>17</v>
      </c>
      <c r="B89" s="3870"/>
      <c r="C89" s="3205" t="s">
        <v>3061</v>
      </c>
      <c r="D89" s="3205" t="s">
        <v>3062</v>
      </c>
      <c r="E89" s="3226">
        <v>0.1</v>
      </c>
      <c r="F89" s="3225">
        <v>15</v>
      </c>
    </row>
    <row r="90" spans="1:6" s="800" customFormat="1" ht="14.25">
      <c r="A90" s="3225">
        <v>18</v>
      </c>
      <c r="B90" s="3866" t="s">
        <v>3063</v>
      </c>
      <c r="C90" s="3205" t="s">
        <v>3064</v>
      </c>
      <c r="D90" s="3205" t="s">
        <v>3065</v>
      </c>
      <c r="E90" s="3226">
        <v>0.2</v>
      </c>
      <c r="F90" s="3225">
        <v>25</v>
      </c>
    </row>
    <row r="91" spans="1:6" s="800" customFormat="1" ht="25.5">
      <c r="A91" s="3225">
        <v>19</v>
      </c>
      <c r="B91" s="3861"/>
      <c r="C91" s="3205" t="s">
        <v>3066</v>
      </c>
      <c r="D91" s="3205" t="s">
        <v>3067</v>
      </c>
      <c r="E91" s="3226">
        <v>0.2</v>
      </c>
      <c r="F91" s="3225">
        <v>25</v>
      </c>
    </row>
    <row r="92" spans="1:6" s="800" customFormat="1" ht="14.25">
      <c r="A92" s="3225">
        <v>20</v>
      </c>
      <c r="B92" s="3861"/>
      <c r="C92" s="3205" t="s">
        <v>3068</v>
      </c>
      <c r="D92" s="3205" t="s">
        <v>3069</v>
      </c>
      <c r="E92" s="3226">
        <v>0.15</v>
      </c>
      <c r="F92" s="3225">
        <v>20</v>
      </c>
    </row>
    <row r="93" spans="1:6" s="800" customFormat="1" ht="25.5">
      <c r="A93" s="3225">
        <v>21</v>
      </c>
      <c r="B93" s="3861"/>
      <c r="C93" s="3205" t="s">
        <v>3070</v>
      </c>
      <c r="D93" s="3205" t="s">
        <v>3071</v>
      </c>
      <c r="E93" s="3226">
        <v>0.15</v>
      </c>
      <c r="F93" s="3225">
        <v>20</v>
      </c>
    </row>
    <row r="94" spans="1:6" s="800" customFormat="1" ht="25.5">
      <c r="A94" s="3225">
        <v>22</v>
      </c>
      <c r="B94" s="3861"/>
      <c r="C94" s="3205" t="s">
        <v>3072</v>
      </c>
      <c r="D94" s="3205" t="s">
        <v>3073</v>
      </c>
      <c r="E94" s="3226">
        <v>0.15</v>
      </c>
      <c r="F94" s="3225">
        <v>20</v>
      </c>
    </row>
    <row r="95" spans="1:6" s="800" customFormat="1" ht="38.25">
      <c r="A95" s="3225">
        <v>23</v>
      </c>
      <c r="B95" s="3861"/>
      <c r="C95" s="3205" t="s">
        <v>3074</v>
      </c>
      <c r="D95" s="3205" t="s">
        <v>3075</v>
      </c>
      <c r="E95" s="3226">
        <v>0.15</v>
      </c>
      <c r="F95" s="3225">
        <v>20</v>
      </c>
    </row>
    <row r="96" spans="1:6" s="800" customFormat="1" ht="14.25">
      <c r="A96" s="3225">
        <v>24</v>
      </c>
      <c r="B96" s="3861"/>
      <c r="C96" s="3205" t="s">
        <v>3076</v>
      </c>
      <c r="D96" s="3205" t="s">
        <v>3077</v>
      </c>
      <c r="E96" s="3226">
        <v>0.1</v>
      </c>
      <c r="F96" s="3225">
        <v>15</v>
      </c>
    </row>
    <row r="97" spans="1:6" s="800" customFormat="1" ht="25.5">
      <c r="A97" s="3225">
        <v>25</v>
      </c>
      <c r="B97" s="3861"/>
      <c r="C97" s="3205" t="s">
        <v>3078</v>
      </c>
      <c r="D97" s="3205" t="s">
        <v>3079</v>
      </c>
      <c r="E97" s="3226">
        <v>0.1</v>
      </c>
      <c r="F97" s="3225">
        <v>15</v>
      </c>
    </row>
    <row r="98" spans="1:6" s="800" customFormat="1" ht="25.5">
      <c r="A98" s="3225">
        <v>26</v>
      </c>
      <c r="B98" s="3861"/>
      <c r="C98" s="3205" t="s">
        <v>3080</v>
      </c>
      <c r="D98" s="3205" t="s">
        <v>3081</v>
      </c>
      <c r="E98" s="3226">
        <v>0.1</v>
      </c>
      <c r="F98" s="3225">
        <v>15</v>
      </c>
    </row>
    <row r="99" spans="1:6" s="800" customFormat="1" ht="25.5">
      <c r="A99" s="3225">
        <v>27</v>
      </c>
      <c r="B99" s="3861"/>
      <c r="C99" s="3205" t="s">
        <v>3082</v>
      </c>
      <c r="D99" s="3205" t="s">
        <v>3083</v>
      </c>
      <c r="E99" s="3226">
        <v>0.1</v>
      </c>
      <c r="F99" s="3225">
        <v>15</v>
      </c>
    </row>
    <row r="100" spans="1:6" s="800" customFormat="1" ht="25.5">
      <c r="A100" s="3225">
        <v>28</v>
      </c>
      <c r="B100" s="3861"/>
      <c r="C100" s="3205" t="s">
        <v>3084</v>
      </c>
      <c r="D100" s="3205" t="s">
        <v>3085</v>
      </c>
      <c r="E100" s="3226">
        <v>0.1</v>
      </c>
      <c r="F100" s="3225">
        <v>15</v>
      </c>
    </row>
    <row r="101" spans="1:6" s="800" customFormat="1" ht="25.5">
      <c r="A101" s="3225">
        <v>29</v>
      </c>
      <c r="B101" s="3861"/>
      <c r="C101" s="3205" t="s">
        <v>3086</v>
      </c>
      <c r="D101" s="3205" t="s">
        <v>3087</v>
      </c>
      <c r="E101" s="3226">
        <v>0.1</v>
      </c>
      <c r="F101" s="3225">
        <v>15</v>
      </c>
    </row>
    <row r="102" spans="1:6" s="800" customFormat="1" ht="25.5">
      <c r="A102" s="3225">
        <v>30</v>
      </c>
      <c r="B102" s="3861"/>
      <c r="C102" s="3205" t="s">
        <v>3088</v>
      </c>
      <c r="D102" s="3205" t="s">
        <v>3089</v>
      </c>
      <c r="E102" s="3226">
        <v>0.1</v>
      </c>
      <c r="F102" s="3225">
        <v>15</v>
      </c>
    </row>
    <row r="103" spans="1:6" s="800" customFormat="1" ht="25.5">
      <c r="A103" s="3225">
        <v>31</v>
      </c>
      <c r="B103" s="3861"/>
      <c r="C103" s="3205" t="s">
        <v>3090</v>
      </c>
      <c r="D103" s="3205" t="s">
        <v>3091</v>
      </c>
      <c r="E103" s="3226">
        <v>0.1</v>
      </c>
      <c r="F103" s="3225">
        <v>15</v>
      </c>
    </row>
    <row r="104" spans="1:6" s="800" customFormat="1" ht="25.5">
      <c r="A104" s="3225">
        <v>32</v>
      </c>
      <c r="B104" s="3861"/>
      <c r="C104" s="3205" t="s">
        <v>3092</v>
      </c>
      <c r="D104" s="3205" t="s">
        <v>3093</v>
      </c>
      <c r="E104" s="3226">
        <v>0.1</v>
      </c>
      <c r="F104" s="3225">
        <v>15</v>
      </c>
    </row>
    <row r="105" spans="1:6" s="800" customFormat="1" ht="25.5">
      <c r="A105" s="3225">
        <v>33</v>
      </c>
      <c r="B105" s="3861"/>
      <c r="C105" s="3205" t="s">
        <v>3094</v>
      </c>
      <c r="D105" s="3205" t="s">
        <v>3095</v>
      </c>
      <c r="E105" s="3226">
        <v>0.1</v>
      </c>
      <c r="F105" s="3225">
        <v>15</v>
      </c>
    </row>
    <row r="106" spans="1:6" s="800" customFormat="1" ht="25.5">
      <c r="A106" s="3225">
        <v>34</v>
      </c>
      <c r="B106" s="3870"/>
      <c r="C106" s="3205" t="s">
        <v>3096</v>
      </c>
      <c r="D106" s="3205" t="s">
        <v>3097</v>
      </c>
      <c r="E106" s="3226">
        <v>0.1</v>
      </c>
      <c r="F106" s="3225">
        <v>15</v>
      </c>
    </row>
    <row r="107" spans="1:6" s="800" customFormat="1" ht="25.5">
      <c r="A107" s="3225">
        <v>35</v>
      </c>
      <c r="B107" s="3866" t="s">
        <v>3098</v>
      </c>
      <c r="C107" s="3225" t="s">
        <v>3099</v>
      </c>
      <c r="D107" s="3205" t="s">
        <v>3100</v>
      </c>
      <c r="E107" s="3226">
        <v>0.15</v>
      </c>
      <c r="F107" s="3225">
        <v>20</v>
      </c>
    </row>
    <row r="108" spans="1:6" s="800" customFormat="1" ht="25.5">
      <c r="A108" s="3225">
        <v>36</v>
      </c>
      <c r="B108" s="3861"/>
      <c r="C108" s="3225" t="s">
        <v>3101</v>
      </c>
      <c r="D108" s="3205" t="s">
        <v>3102</v>
      </c>
      <c r="E108" s="3226">
        <v>0.15</v>
      </c>
      <c r="F108" s="3225">
        <v>20</v>
      </c>
    </row>
    <row r="109" spans="1:6" s="800" customFormat="1" ht="25.5">
      <c r="A109" s="3225">
        <v>37</v>
      </c>
      <c r="B109" s="3861"/>
      <c r="C109" s="3225" t="s">
        <v>3103</v>
      </c>
      <c r="D109" s="3205" t="s">
        <v>3104</v>
      </c>
      <c r="E109" s="3226">
        <v>0.15</v>
      </c>
      <c r="F109" s="3225">
        <v>20</v>
      </c>
    </row>
    <row r="110" spans="1:6" s="800" customFormat="1" ht="14.25">
      <c r="A110" s="3225">
        <v>38</v>
      </c>
      <c r="B110" s="3861"/>
      <c r="C110" s="3225" t="s">
        <v>3105</v>
      </c>
      <c r="D110" s="3205" t="s">
        <v>3106</v>
      </c>
      <c r="E110" s="3226">
        <v>0.1</v>
      </c>
      <c r="F110" s="3225">
        <v>15</v>
      </c>
    </row>
    <row r="111" spans="1:6" s="800" customFormat="1" ht="25.5">
      <c r="A111" s="3225">
        <v>39</v>
      </c>
      <c r="B111" s="3861"/>
      <c r="C111" s="3225" t="s">
        <v>3107</v>
      </c>
      <c r="D111" s="3205" t="s">
        <v>3108</v>
      </c>
      <c r="E111" s="3226">
        <v>0.1</v>
      </c>
      <c r="F111" s="3225">
        <v>15</v>
      </c>
    </row>
    <row r="112" spans="1:6" s="800" customFormat="1" ht="25.5">
      <c r="A112" s="3225">
        <v>40</v>
      </c>
      <c r="B112" s="3870"/>
      <c r="C112" s="3225" t="s">
        <v>3109</v>
      </c>
      <c r="D112" s="3205" t="s">
        <v>3110</v>
      </c>
      <c r="E112" s="3226">
        <v>0.1</v>
      </c>
      <c r="F112" s="3225">
        <v>15</v>
      </c>
    </row>
    <row r="113" spans="1:6" s="800" customFormat="1" ht="25.5">
      <c r="A113" s="3225">
        <v>41</v>
      </c>
      <c r="B113" s="3871" t="s">
        <v>3111</v>
      </c>
      <c r="C113" s="3225" t="s">
        <v>3112</v>
      </c>
      <c r="D113" s="3205" t="s">
        <v>3113</v>
      </c>
      <c r="E113" s="3226">
        <v>0.1</v>
      </c>
      <c r="F113" s="3225">
        <v>15</v>
      </c>
    </row>
    <row r="114" spans="1:6" s="800" customFormat="1" ht="14.25">
      <c r="A114" s="3225">
        <v>42</v>
      </c>
      <c r="B114" s="3871"/>
      <c r="C114" s="3225" t="s">
        <v>3114</v>
      </c>
      <c r="D114" s="3205" t="s">
        <v>3115</v>
      </c>
      <c r="E114" s="3226">
        <v>0.1</v>
      </c>
      <c r="F114" s="3225">
        <v>15</v>
      </c>
    </row>
    <row r="115" spans="1:6" s="800" customFormat="1" ht="25.5">
      <c r="A115" s="3225">
        <v>43</v>
      </c>
      <c r="B115" s="3871"/>
      <c r="C115" s="3225" t="s">
        <v>3116</v>
      </c>
      <c r="D115" s="3205" t="s">
        <v>3117</v>
      </c>
      <c r="E115" s="3226">
        <v>0.1</v>
      </c>
      <c r="F115" s="3225">
        <v>15</v>
      </c>
    </row>
    <row r="116" spans="1:6" s="800" customFormat="1" ht="25.5">
      <c r="A116" s="3225">
        <v>44</v>
      </c>
      <c r="B116" s="3866" t="s">
        <v>3118</v>
      </c>
      <c r="C116" s="3225" t="s">
        <v>3119</v>
      </c>
      <c r="D116" s="3205" t="s">
        <v>3120</v>
      </c>
      <c r="E116" s="3226">
        <v>0.1</v>
      </c>
      <c r="F116" s="3225">
        <v>15</v>
      </c>
    </row>
    <row r="117" spans="1:6" s="800" customFormat="1" ht="25.5">
      <c r="A117" s="3225">
        <v>45</v>
      </c>
      <c r="B117" s="3870"/>
      <c r="C117" s="3205" t="s">
        <v>3121</v>
      </c>
      <c r="D117" s="3205" t="s">
        <v>3122</v>
      </c>
      <c r="E117" s="3226">
        <v>0.1</v>
      </c>
      <c r="F117" s="3225">
        <v>15</v>
      </c>
    </row>
    <row r="118" spans="1:6" s="800" customFormat="1" ht="25.5">
      <c r="A118" s="3225">
        <v>46</v>
      </c>
      <c r="B118" s="3866" t="s">
        <v>3123</v>
      </c>
      <c r="C118" s="3225" t="s">
        <v>3124</v>
      </c>
      <c r="D118" s="3205" t="s">
        <v>3125</v>
      </c>
      <c r="E118" s="3226">
        <v>0.1</v>
      </c>
      <c r="F118" s="3225">
        <v>15</v>
      </c>
    </row>
    <row r="119" spans="1:6" s="800" customFormat="1" ht="25.5">
      <c r="A119" s="3225">
        <v>47</v>
      </c>
      <c r="B119" s="3870"/>
      <c r="C119" s="3225" t="s">
        <v>3126</v>
      </c>
      <c r="D119" s="3205" t="s">
        <v>3127</v>
      </c>
      <c r="E119" s="3226">
        <v>0.1</v>
      </c>
      <c r="F119" s="3225">
        <v>15</v>
      </c>
    </row>
    <row r="120" spans="1:6" s="800" customFormat="1" ht="25.5">
      <c r="A120" s="3225">
        <v>48</v>
      </c>
      <c r="B120" s="3866" t="s">
        <v>3128</v>
      </c>
      <c r="C120" s="3225" t="s">
        <v>3129</v>
      </c>
      <c r="D120" s="3205" t="s">
        <v>3130</v>
      </c>
      <c r="E120" s="3226">
        <v>0.1</v>
      </c>
      <c r="F120" s="3225">
        <v>15</v>
      </c>
    </row>
    <row r="121" spans="1:6" s="800" customFormat="1" ht="14.25">
      <c r="A121" s="3225">
        <v>49</v>
      </c>
      <c r="B121" s="3870"/>
      <c r="C121" s="3225" t="s">
        <v>3131</v>
      </c>
      <c r="D121" s="3205" t="s">
        <v>3132</v>
      </c>
      <c r="E121" s="3226">
        <v>0.1</v>
      </c>
      <c r="F121" s="3225">
        <v>15</v>
      </c>
    </row>
    <row r="122" spans="1:6" s="800" customFormat="1" ht="25.5">
      <c r="A122" s="3225">
        <v>50</v>
      </c>
      <c r="B122" s="3871" t="s">
        <v>3133</v>
      </c>
      <c r="C122" s="3225" t="s">
        <v>3134</v>
      </c>
      <c r="D122" s="3205" t="s">
        <v>3135</v>
      </c>
      <c r="E122" s="3226">
        <v>0.1</v>
      </c>
      <c r="F122" s="3225">
        <v>15</v>
      </c>
    </row>
    <row r="123" spans="1:6" s="800" customFormat="1" ht="25.5">
      <c r="A123" s="3225">
        <v>51</v>
      </c>
      <c r="B123" s="3871"/>
      <c r="C123" s="3225" t="s">
        <v>3136</v>
      </c>
      <c r="D123" s="3205" t="s">
        <v>3137</v>
      </c>
      <c r="E123" s="3226">
        <v>0.1</v>
      </c>
      <c r="F123" s="3225">
        <v>15</v>
      </c>
    </row>
    <row r="124" spans="1:6" s="800" customFormat="1" ht="25.5">
      <c r="A124" s="3225">
        <v>52</v>
      </c>
      <c r="B124" s="3871" t="s">
        <v>3138</v>
      </c>
      <c r="C124" s="3225" t="s">
        <v>3139</v>
      </c>
      <c r="D124" s="3205" t="s">
        <v>3140</v>
      </c>
      <c r="E124" s="3226">
        <v>0.1</v>
      </c>
      <c r="F124" s="3225">
        <v>15</v>
      </c>
    </row>
    <row r="125" spans="1:6" s="800" customFormat="1" ht="25.5">
      <c r="A125" s="3225">
        <v>53</v>
      </c>
      <c r="B125" s="3871"/>
      <c r="C125" s="3225" t="s">
        <v>3141</v>
      </c>
      <c r="D125" s="3205" t="s">
        <v>3142</v>
      </c>
      <c r="E125" s="3226">
        <v>0.1</v>
      </c>
      <c r="F125" s="3225">
        <v>15</v>
      </c>
    </row>
    <row r="126" spans="1:6" ht="25.5">
      <c r="A126" s="3225">
        <v>54</v>
      </c>
      <c r="B126" s="3225" t="s">
        <v>3143</v>
      </c>
      <c r="C126" s="3225" t="s">
        <v>3144</v>
      </c>
      <c r="D126" s="3205" t="s">
        <v>3145</v>
      </c>
      <c r="E126" s="3226">
        <v>0.1</v>
      </c>
      <c r="F126" s="3225">
        <v>15</v>
      </c>
    </row>
    <row r="127" spans="1:6" ht="14.25">
      <c r="A127" s="3225">
        <v>55</v>
      </c>
      <c r="B127" s="3871" t="s">
        <v>3146</v>
      </c>
      <c r="C127" s="3225" t="s">
        <v>3147</v>
      </c>
      <c r="D127" s="3205" t="s">
        <v>3148</v>
      </c>
      <c r="E127" s="3226">
        <v>0.1</v>
      </c>
      <c r="F127" s="3225">
        <v>15</v>
      </c>
    </row>
    <row r="128" spans="1:6" ht="14.25">
      <c r="A128" s="3225">
        <v>56</v>
      </c>
      <c r="B128" s="3871"/>
      <c r="C128" s="3225" t="s">
        <v>3149</v>
      </c>
      <c r="D128" s="3205" t="s">
        <v>3150</v>
      </c>
      <c r="E128" s="3226">
        <v>0.1</v>
      </c>
      <c r="F128" s="3225">
        <v>15</v>
      </c>
    </row>
    <row r="129" spans="1:6" ht="25.5">
      <c r="A129" s="3225">
        <v>57</v>
      </c>
      <c r="B129" s="3871"/>
      <c r="C129" s="3225" t="s">
        <v>3151</v>
      </c>
      <c r="D129" s="3205" t="s">
        <v>3152</v>
      </c>
      <c r="E129" s="3226">
        <v>0.1</v>
      </c>
      <c r="F129" s="3225">
        <v>15</v>
      </c>
    </row>
    <row r="130" spans="1:6" ht="25.5">
      <c r="A130" s="3225">
        <v>58</v>
      </c>
      <c r="B130" s="3871" t="s">
        <v>3153</v>
      </c>
      <c r="C130" s="3225" t="s">
        <v>3154</v>
      </c>
      <c r="D130" s="3205" t="s">
        <v>3155</v>
      </c>
      <c r="E130" s="3226">
        <v>0.1</v>
      </c>
      <c r="F130" s="3225">
        <v>15</v>
      </c>
    </row>
    <row r="131" spans="1:6" ht="25.5">
      <c r="A131" s="3225">
        <v>59</v>
      </c>
      <c r="B131" s="3871"/>
      <c r="C131" s="3225" t="s">
        <v>3156</v>
      </c>
      <c r="D131" s="3205" t="s">
        <v>3157</v>
      </c>
      <c r="E131" s="3226">
        <v>0.1</v>
      </c>
      <c r="F131" s="3225">
        <v>15</v>
      </c>
    </row>
    <row r="132" spans="1:6" ht="25.5">
      <c r="A132" s="3225">
        <v>60</v>
      </c>
      <c r="B132" s="3866" t="s">
        <v>3158</v>
      </c>
      <c r="C132" s="3225" t="s">
        <v>3159</v>
      </c>
      <c r="D132" s="3205" t="s">
        <v>3160</v>
      </c>
      <c r="E132" s="3226">
        <v>0.1</v>
      </c>
      <c r="F132" s="3225">
        <v>15</v>
      </c>
    </row>
    <row r="133" spans="1:6" ht="25.5">
      <c r="A133" s="3225">
        <v>61</v>
      </c>
      <c r="B133" s="3870"/>
      <c r="C133" s="3225" t="s">
        <v>3161</v>
      </c>
      <c r="D133" s="3205" t="s">
        <v>3162</v>
      </c>
      <c r="E133" s="3226">
        <v>0.1</v>
      </c>
      <c r="F133" s="3225">
        <v>15</v>
      </c>
    </row>
    <row r="134" spans="1:6" ht="25.5">
      <c r="A134" s="3225">
        <v>62</v>
      </c>
      <c r="B134" s="3225" t="s">
        <v>3163</v>
      </c>
      <c r="C134" s="3225" t="s">
        <v>3164</v>
      </c>
      <c r="D134" s="3205" t="s">
        <v>3165</v>
      </c>
      <c r="E134" s="3226">
        <v>0.1</v>
      </c>
      <c r="F134" s="3225">
        <v>15</v>
      </c>
    </row>
    <row r="135" spans="1:6" ht="25.5">
      <c r="A135" s="3225">
        <v>63</v>
      </c>
      <c r="B135" s="3871" t="s">
        <v>3166</v>
      </c>
      <c r="C135" s="3225" t="s">
        <v>3167</v>
      </c>
      <c r="D135" s="3205" t="s">
        <v>3168</v>
      </c>
      <c r="E135" s="3226">
        <v>0.1</v>
      </c>
      <c r="F135" s="3225">
        <v>15</v>
      </c>
    </row>
    <row r="136" spans="1:6" ht="14.25">
      <c r="A136" s="3225">
        <v>64</v>
      </c>
      <c r="B136" s="3871"/>
      <c r="C136" s="3225" t="s">
        <v>3169</v>
      </c>
      <c r="D136" s="3205" t="s">
        <v>3170</v>
      </c>
      <c r="E136" s="3226">
        <v>0.1</v>
      </c>
      <c r="F136" s="3225">
        <v>15</v>
      </c>
    </row>
    <row r="137" spans="1:6" ht="25.5">
      <c r="A137" s="3225">
        <v>65</v>
      </c>
      <c r="B137" s="3225" t="s">
        <v>3171</v>
      </c>
      <c r="C137" s="3225" t="s">
        <v>3172</v>
      </c>
      <c r="D137" s="3205" t="s">
        <v>3173</v>
      </c>
      <c r="E137" s="3226">
        <v>0.1</v>
      </c>
      <c r="F137" s="3225">
        <v>15</v>
      </c>
    </row>
    <row r="138" spans="1:6" ht="14.2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dimension ref="A1:N408"/>
  <sheetViews>
    <sheetView workbookViewId="0">
      <selection activeCell="V30" sqref="V30"/>
    </sheetView>
  </sheetViews>
  <sheetFormatPr defaultColWidth="9" defaultRowHeight="14.25"/>
  <cols>
    <col min="1" max="1" width="9" style="835"/>
    <col min="2" max="16384" width="9" style="818"/>
  </cols>
  <sheetData>
    <row r="1" spans="1:14">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c r="A103" s="816" t="s">
        <v>569</v>
      </c>
      <c r="B103" s="817"/>
      <c r="C103" s="817"/>
      <c r="D103" s="817"/>
      <c r="E103" s="817"/>
      <c r="F103" s="817"/>
      <c r="G103" s="817"/>
      <c r="H103" s="817"/>
      <c r="I103" s="817"/>
      <c r="J103" s="817"/>
      <c r="K103" s="817"/>
      <c r="L103" s="817"/>
      <c r="M103" s="817"/>
      <c r="N103" s="817"/>
    </row>
    <row r="104" spans="1:14">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92D050"/>
  </sheetPr>
  <dimension ref="A1:P21"/>
  <sheetViews>
    <sheetView view="pageBreakPreview"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F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1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1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877" t="s">
        <v>877</v>
      </c>
      <c r="C1" s="3877"/>
      <c r="D1" s="3877"/>
      <c r="E1" s="3877"/>
      <c r="F1" s="3877"/>
      <c r="G1" s="3873" t="s">
        <v>878</v>
      </c>
      <c r="H1" s="3873"/>
      <c r="I1" s="3873"/>
      <c r="J1" s="3873"/>
      <c r="K1" s="3873"/>
      <c r="L1" s="3873"/>
      <c r="N1" s="3873" t="s">
        <v>879</v>
      </c>
      <c r="O1" s="3873"/>
      <c r="P1" s="3873"/>
      <c r="Q1" s="3873"/>
      <c r="S1" s="3873" t="s">
        <v>880</v>
      </c>
      <c r="T1" s="3873"/>
      <c r="U1" s="3873"/>
      <c r="V1" s="3873"/>
      <c r="X1" s="3872" t="s">
        <v>881</v>
      </c>
      <c r="Y1" s="3873"/>
      <c r="Z1" s="3873"/>
      <c r="AA1" s="3873"/>
      <c r="AB1" s="3873"/>
      <c r="AD1" s="3872" t="s">
        <v>882</v>
      </c>
      <c r="AE1" s="3873"/>
      <c r="AF1" s="3873"/>
      <c r="AG1" s="3873"/>
      <c r="AH1" s="387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87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87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87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882"/>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878">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87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87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882"/>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878">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87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87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87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87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87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87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87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87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87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87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87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879">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880"/>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880"/>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881"/>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87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87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87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87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87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87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87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87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87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87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87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87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87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87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87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87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87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87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87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87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87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87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87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87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87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87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87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87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87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87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87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87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87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87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87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87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87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87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87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87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87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87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87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87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457" t="str">
        <f>IF(项目基本情况!B9="房地产市场价值","估价结果一览表","结果表-2")</f>
        <v>估价结果一览表</v>
      </c>
      <c r="B1" s="3457"/>
      <c r="C1" s="3457"/>
      <c r="D1" s="3457"/>
      <c r="E1" s="3457"/>
      <c r="F1" s="3457"/>
      <c r="G1" s="3457"/>
      <c r="H1" s="3457"/>
      <c r="I1" s="3457"/>
    </row>
    <row r="2" spans="1:9" ht="30" customHeight="1" thickTop="1">
      <c r="A2" s="3458" t="s">
        <v>1365</v>
      </c>
      <c r="B2" s="3458" t="s">
        <v>1366</v>
      </c>
      <c r="C2" s="3458" t="s">
        <v>1367</v>
      </c>
      <c r="D2" s="3458" t="str">
        <f>'结果表-商业'!D116</f>
        <v>出让国有建设用地使用权价值</v>
      </c>
      <c r="E2" s="3458"/>
      <c r="F2" s="3458" t="str">
        <f>'结果表-商业'!F116</f>
        <v>在建建筑物价值</v>
      </c>
      <c r="G2" s="3458"/>
      <c r="H2" s="3458" t="str">
        <f>IF(项目基本情况!B9="房地产市场价值","房地产市场价值","房地产价值")</f>
        <v>房地产市场价值</v>
      </c>
      <c r="I2" s="3458"/>
    </row>
    <row r="3" spans="1:9" ht="15">
      <c r="A3" s="3459"/>
      <c r="B3" s="3459"/>
      <c r="C3" s="3459"/>
      <c r="D3" s="943" t="s">
        <v>1362</v>
      </c>
      <c r="E3" s="943" t="s">
        <v>1368</v>
      </c>
      <c r="F3" s="943" t="s">
        <v>1362</v>
      </c>
      <c r="G3" s="943" t="s">
        <v>1363</v>
      </c>
      <c r="H3" s="943" t="s">
        <v>1362</v>
      </c>
      <c r="I3" s="943" t="s">
        <v>1363</v>
      </c>
    </row>
    <row r="4" spans="1:9" ht="15">
      <c r="A4" s="1640" t="str">
        <f>项目基本情况!S2</f>
        <v>北京市房地产</v>
      </c>
      <c r="B4" s="943">
        <f>项目基本情况!C17</f>
        <v>58.81</v>
      </c>
      <c r="C4" s="943">
        <f>项目基本情况!C18</f>
        <v>0</v>
      </c>
      <c r="D4" s="943" t="e">
        <f ca="1">'结果表-商业'!D118</f>
        <v>#REF!</v>
      </c>
      <c r="E4" s="943" t="e">
        <f ca="1">'结果表-商业'!E118</f>
        <v>#REF!</v>
      </c>
      <c r="F4" s="943" t="e">
        <f ca="1">'结果表-商业'!F118</f>
        <v>#REF!</v>
      </c>
      <c r="G4" s="943" t="e">
        <f ca="1">'结果表-商业'!G118</f>
        <v>#REF!</v>
      </c>
      <c r="H4" s="943" t="e">
        <f ca="1">'结果表-商业'!H118</f>
        <v>#REF!</v>
      </c>
      <c r="I4" s="943" t="e">
        <f ca="1">'结果表-商业'!I118</f>
        <v>#REF!</v>
      </c>
    </row>
    <row r="5" spans="1:9" ht="30" customHeight="1">
      <c r="A5" s="3459" t="s">
        <v>1364</v>
      </c>
      <c r="B5" s="3459"/>
      <c r="C5" s="3459"/>
      <c r="D5" s="3460" t="e">
        <f ca="1">'结果表-商业'!D119</f>
        <v>#REF!</v>
      </c>
      <c r="E5" s="3460"/>
      <c r="F5" s="3460" t="e">
        <f ca="1">'结果表-商业'!F119</f>
        <v>#REF!</v>
      </c>
      <c r="G5" s="3460"/>
      <c r="H5" s="3460" t="e">
        <f ca="1">'结果表-商业'!H119</f>
        <v>#REF!</v>
      </c>
      <c r="I5" s="3460"/>
    </row>
    <row r="6" spans="1:9" ht="15.75">
      <c r="A6" s="3461" t="str">
        <f>'结果表-商业'!A120</f>
        <v/>
      </c>
      <c r="B6" s="3461"/>
      <c r="C6" s="3461"/>
      <c r="D6" s="3461">
        <f>'结果表-商业'!D120</f>
        <v>0</v>
      </c>
      <c r="E6" s="3461"/>
      <c r="F6" s="3461"/>
      <c r="G6" s="3461"/>
      <c r="H6" s="3461"/>
      <c r="I6" s="3461"/>
    </row>
    <row r="7" spans="1:9" ht="15">
      <c r="A7" s="3459" t="s">
        <v>1364</v>
      </c>
      <c r="B7" s="3459"/>
      <c r="C7" s="3459"/>
      <c r="D7" s="3462" t="str">
        <f>'结果表-商业'!D121</f>
        <v>零元整</v>
      </c>
      <c r="E7" s="3463"/>
      <c r="F7" s="3463"/>
      <c r="G7" s="3463"/>
      <c r="H7" s="3463"/>
      <c r="I7" s="3464"/>
    </row>
    <row r="8" spans="1:9" ht="15.75">
      <c r="A8" s="3461" t="str">
        <f>'结果表-商业'!A122</f>
        <v/>
      </c>
      <c r="B8" s="3461"/>
      <c r="C8" s="3461"/>
      <c r="D8" s="3461" t="e">
        <f ca="1">'结果表-商业'!D122</f>
        <v>#REF!</v>
      </c>
      <c r="E8" s="3461"/>
      <c r="F8" s="3461"/>
      <c r="G8" s="3461"/>
      <c r="H8" s="3461"/>
      <c r="I8" s="3461"/>
    </row>
    <row r="9" spans="1:9" ht="15">
      <c r="A9" s="3459" t="s">
        <v>1364</v>
      </c>
      <c r="B9" s="3459"/>
      <c r="C9" s="3459"/>
      <c r="D9" s="3460" t="e">
        <f ca="1">'结果表-商业'!D123</f>
        <v>#REF!</v>
      </c>
      <c r="E9" s="3460"/>
      <c r="F9" s="3460"/>
      <c r="G9" s="3460"/>
      <c r="H9" s="3460"/>
      <c r="I9" s="3460"/>
    </row>
    <row r="10" spans="1:9" ht="15.75">
      <c r="A10" s="3461" t="str">
        <f>'结果表-商业'!A124</f>
        <v/>
      </c>
      <c r="B10" s="3461"/>
      <c r="C10" s="3461"/>
      <c r="D10" s="3461" t="str">
        <f>'结果表-商业'!D124</f>
        <v>——</v>
      </c>
      <c r="E10" s="3461"/>
      <c r="F10" s="3461"/>
      <c r="G10" s="3461"/>
      <c r="H10" s="3461"/>
      <c r="I10" s="3461"/>
    </row>
    <row r="11" spans="1:9" ht="15">
      <c r="A11" s="3459" t="s">
        <v>1364</v>
      </c>
      <c r="B11" s="3459"/>
      <c r="C11" s="3459"/>
      <c r="D11" s="3460" t="e">
        <f>'结果表-商业'!D125</f>
        <v>#VALUE!</v>
      </c>
      <c r="E11" s="3460"/>
      <c r="F11" s="3460"/>
      <c r="G11" s="3460"/>
      <c r="H11" s="3460"/>
      <c r="I11" s="3460"/>
    </row>
    <row r="12" spans="1:9" ht="15.75">
      <c r="A12" s="3461" t="str">
        <f>'结果表-商业'!A126</f>
        <v/>
      </c>
      <c r="B12" s="3461"/>
      <c r="C12" s="3461"/>
      <c r="D12" s="3461" t="str">
        <f>'结果表-商业'!D126</f>
        <v>——</v>
      </c>
      <c r="E12" s="3461"/>
      <c r="F12" s="3461"/>
      <c r="G12" s="3461"/>
      <c r="H12" s="3461"/>
      <c r="I12" s="3461"/>
    </row>
    <row r="13" spans="1:9" ht="15.75" thickBot="1">
      <c r="A13" s="3465" t="s">
        <v>1364</v>
      </c>
      <c r="B13" s="3465"/>
      <c r="C13" s="3465"/>
      <c r="D13" s="3466" t="e">
        <f>'结果表-商业'!D127</f>
        <v>#VALUE!</v>
      </c>
      <c r="E13" s="3466"/>
      <c r="F13" s="3466"/>
      <c r="G13" s="3466"/>
      <c r="H13" s="3466"/>
      <c r="I13" s="3466"/>
    </row>
    <row r="14" spans="1:9" ht="15" thickTop="1">
      <c r="A14" s="3467" t="s">
        <v>1369</v>
      </c>
      <c r="B14" s="3467"/>
      <c r="C14" s="3467"/>
      <c r="D14" s="3467"/>
      <c r="E14" s="3467"/>
      <c r="F14" s="3467"/>
      <c r="G14" s="3467"/>
      <c r="H14" s="3467"/>
      <c r="I14" s="346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3">
    <tabColor rgb="FF92D050"/>
  </sheetPr>
  <dimension ref="A1:AS524"/>
  <sheetViews>
    <sheetView zoomScale="90" zoomScaleNormal="90" workbookViewId="0">
      <pane ySplit="24" topLeftCell="A516"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1"/>
      <c r="B1" s="1094" t="s">
        <v>2582</v>
      </c>
      <c r="C1" s="3886" t="s">
        <v>2583</v>
      </c>
      <c r="D1" s="3887"/>
      <c r="E1" s="3887"/>
      <c r="F1" s="3887"/>
      <c r="G1" s="3887"/>
      <c r="H1" s="3887"/>
      <c r="I1" s="3887"/>
      <c r="J1" s="3887"/>
      <c r="K1" s="3887"/>
      <c r="L1" s="3887"/>
      <c r="M1" s="3887"/>
      <c r="N1" s="3887"/>
      <c r="O1" s="3887"/>
      <c r="P1" s="3887"/>
      <c r="Q1" s="3887"/>
      <c r="R1" s="3887"/>
      <c r="S1" s="3888"/>
      <c r="T1" s="1094" t="s">
        <v>2584</v>
      </c>
    </row>
    <row r="2" spans="1:45" s="662" customFormat="1">
      <c r="A2" s="1095"/>
      <c r="B2" s="658" t="s">
        <v>2585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2586</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2592</v>
      </c>
      <c r="B17" s="2315"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2594</v>
      </c>
      <c r="E19" s="1474"/>
      <c r="F19" s="1474"/>
      <c r="G19" s="1474"/>
      <c r="H19" s="1170"/>
      <c r="I19" s="164"/>
      <c r="J19" s="164"/>
      <c r="K19" s="164"/>
      <c r="L19" s="164"/>
      <c r="M19" s="164"/>
      <c r="N19" s="164"/>
      <c r="O19" s="164"/>
      <c r="P19" s="164"/>
      <c r="Q19" s="164"/>
      <c r="R19" s="726"/>
      <c r="S19" s="134"/>
    </row>
    <row r="20" spans="1:45" ht="16.5" thickBot="1">
      <c r="A20" s="670" t="s">
        <v>2595</v>
      </c>
      <c r="B20" s="300" t="e">
        <f ca="1">IF(D20="——",S22,S22-F20)</f>
        <v>#REF!</v>
      </c>
      <c r="C20" s="164"/>
      <c r="D20" s="2317"/>
      <c r="E20" s="1475"/>
      <c r="F20" s="1094" t="e">
        <f ca="1">SUMIF(INDIRECT("'"&amp;H20&amp;"'"&amp;"!A:A"),"承租人权益价值",INDIRECT("'"&amp;H20&amp;"'"&amp;"!c:c"))</f>
        <v>#REF!</v>
      </c>
      <c r="G20" s="1094" t="s">
        <v>2596</v>
      </c>
      <c r="H20" s="2318"/>
      <c r="I20" s="164"/>
      <c r="J20" s="164"/>
      <c r="K20" s="164"/>
      <c r="L20" s="164"/>
      <c r="M20" s="164"/>
      <c r="N20" s="164"/>
      <c r="O20" s="164"/>
      <c r="P20" s="164"/>
      <c r="Q20" s="164"/>
      <c r="R20" s="726"/>
      <c r="S20" s="134"/>
    </row>
    <row r="21" spans="1:45" ht="15.75">
      <c r="A21" s="670" t="s">
        <v>2597</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2598</v>
      </c>
      <c r="B22" s="24">
        <f>SUM(B24:B10000)</f>
        <v>100</v>
      </c>
      <c r="C22" s="3883" t="s">
        <v>33</v>
      </c>
      <c r="D22" s="3884"/>
      <c r="E22" s="3884"/>
      <c r="F22" s="3884"/>
      <c r="G22" s="3884"/>
      <c r="H22" s="3884"/>
      <c r="I22" s="3884"/>
      <c r="J22" s="3884"/>
      <c r="K22" s="3884"/>
      <c r="L22" s="3884"/>
      <c r="M22" s="3884"/>
      <c r="N22" s="3884"/>
      <c r="O22" s="3884"/>
      <c r="P22" s="3884"/>
      <c r="Q22" s="3885"/>
      <c r="R22" s="671">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2">
        <f t="shared" si="11"/>
        <v>0</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100-000000000000}">
      <formula1>一修多修正项2</formula1>
    </dataValidation>
    <dataValidation type="list" allowBlank="1" showInputMessage="1" showErrorMessage="1" sqref="F24:F524" xr:uid="{00000000-0002-0000-3100-000001000000}">
      <formula1>一修多修正项3</formula1>
    </dataValidation>
    <dataValidation type="list" allowBlank="1" showInputMessage="1" showErrorMessage="1" sqref="H24:H524" xr:uid="{00000000-0002-0000-3100-000002000000}">
      <formula1>一修多修正项4</formula1>
    </dataValidation>
    <dataValidation type="list" allowBlank="1" showInputMessage="1" showErrorMessage="1" sqref="J24:J524" xr:uid="{00000000-0002-0000-3100-000003000000}">
      <formula1>一修多修正项5</formula1>
    </dataValidation>
    <dataValidation type="list" allowBlank="1" showInputMessage="1" showErrorMessage="1" sqref="L24:L524" xr:uid="{00000000-0002-0000-3100-000004000000}">
      <formula1>一修多修正项6</formula1>
    </dataValidation>
    <dataValidation type="list" allowBlank="1" showInputMessage="1" showErrorMessage="1" sqref="N24:N524" xr:uid="{00000000-0002-0000-3100-000005000000}">
      <formula1>一修多修正项7</formula1>
    </dataValidation>
    <dataValidation type="list" allowBlank="1" showInputMessage="1" showErrorMessage="1" sqref="P24:P524" xr:uid="{00000000-0002-0000-3100-000006000000}">
      <formula1>一修多修正项8</formula1>
    </dataValidation>
    <dataValidation type="list" allowBlank="1" showInputMessage="1" showErrorMessage="1" sqref="D20" xr:uid="{00000000-0002-0000-3100-000007000000}">
      <formula1>"需扣减承租人权益,——"</formula1>
    </dataValidation>
    <dataValidation type="list" allowBlank="1" showInputMessage="1" showErrorMessage="1" sqref="H20" xr:uid="{00000000-0002-0000-31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K26"/>
  <sheetViews>
    <sheetView view="pageBreakPreview" zoomScale="80" zoomScaleNormal="80" zoomScaleSheetLayoutView="80" workbookViewId="0">
      <selection activeCell="D18" sqref="D18"/>
    </sheetView>
  </sheetViews>
  <sheetFormatPr defaultColWidth="9" defaultRowHeight="14.25"/>
  <cols>
    <col min="1" max="1" width="25" style="2688" customWidth="1"/>
    <col min="2" max="9" width="15.625" style="2688" customWidth="1"/>
    <col min="10" max="16384" width="9" style="2688"/>
  </cols>
  <sheetData>
    <row r="1" spans="1:11" ht="16.5">
      <c r="A1" s="2687" t="s">
        <v>1090</v>
      </c>
      <c r="B1" s="2687">
        <f>SUM(B14:B23)</f>
        <v>51698.536000000007</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44868</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SUM(D14:D23)</f>
        <v>70501</v>
      </c>
      <c r="C5" s="2687">
        <f>ROUND(B5*10000/$B$1,0)</f>
        <v>13637</v>
      </c>
      <c r="D5" s="2687" t="e">
        <f>ROUND(B5*10000/$B$2,0)</f>
        <v>#DIV/0!</v>
      </c>
      <c r="E5" s="2864"/>
      <c r="F5" s="2865"/>
      <c r="G5" s="2865"/>
      <c r="H5" s="2866"/>
      <c r="I5" s="2866"/>
      <c r="J5" s="2866"/>
      <c r="K5" s="2866"/>
    </row>
    <row r="6" spans="1:11" ht="16.5">
      <c r="A6" s="2687" t="s">
        <v>1081</v>
      </c>
      <c r="B6" s="2687">
        <v>0</v>
      </c>
      <c r="C6" s="2687">
        <v>0</v>
      </c>
      <c r="D6" s="2687" t="e">
        <f>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商业标准户型修正!F60</f>
        <v>51698.536000000007</v>
      </c>
      <c r="C14" s="2693">
        <f>'结果表-商业'!C118</f>
        <v>0</v>
      </c>
      <c r="D14" s="2693">
        <f>总表!C24</f>
        <v>70501</v>
      </c>
      <c r="E14" s="2693">
        <f>ROUND(D14*10000/B14,0)</f>
        <v>13637</v>
      </c>
      <c r="F14" s="2693" t="e">
        <f>ROUND(D14*10000/C14,0)</f>
        <v>#DIV/0!</v>
      </c>
      <c r="G14" s="2693" t="e">
        <f ca="1">'结果表-商业'!D122</f>
        <v>#REF!</v>
      </c>
      <c r="H14" s="2693" t="str">
        <f>'结果表-商业'!D124</f>
        <v>——</v>
      </c>
      <c r="I14" s="2693" t="str">
        <f>'结果表-商业'!D126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algorithmName="SHA-512" hashValue="ucU/IhSaCjmUBJmzk17WQMk89QdJgiHoQLLZ/GtvcfYB9EsHie7B/9pZ3o5wNGWH2vSXZ1xBkfl6mY4PO7UwFA==" saltValue="a5aX4QaV3rsTgjSsUYBQjw==" spinCount="100000"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
  <sheetViews>
    <sheetView workbookViewId="0">
      <selection activeCell="A37" sqref="A37"/>
    </sheetView>
  </sheetViews>
  <sheetFormatPr defaultColWidth="11" defaultRowHeight="14.25"/>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FF00"/>
  </sheetPr>
  <dimension ref="A1:O75"/>
  <sheetViews>
    <sheetView workbookViewId="0">
      <selection activeCell="N34" sqref="N34"/>
    </sheetView>
  </sheetViews>
  <sheetFormatPr defaultColWidth="11" defaultRowHeight="14.25"/>
  <sheetData>
    <row r="1" spans="1:15">
      <c r="A1" t="s">
        <v>4721</v>
      </c>
      <c r="N1">
        <f>N4/N2</f>
        <v>4.0404669116917846</v>
      </c>
      <c r="O1">
        <f>N4/O2</f>
        <v>6.0617083357451307</v>
      </c>
    </row>
    <row r="2" spans="1:15">
      <c r="A2" s="3889" t="s">
        <v>4722</v>
      </c>
      <c r="B2" s="3890"/>
      <c r="C2" s="3893">
        <v>63724.9</v>
      </c>
      <c r="D2" s="3894"/>
      <c r="E2" s="3895"/>
      <c r="F2" t="s">
        <v>4729</v>
      </c>
      <c r="G2" t="s">
        <v>4730</v>
      </c>
      <c r="H2" t="s">
        <v>4731</v>
      </c>
      <c r="I2" s="3332" t="s">
        <v>4734</v>
      </c>
      <c r="J2" s="3333" t="s">
        <v>2832</v>
      </c>
      <c r="M2" t="s">
        <v>4760</v>
      </c>
      <c r="N2">
        <v>36804.39</v>
      </c>
      <c r="O2">
        <f>N2-12272.21</f>
        <v>24532.18</v>
      </c>
    </row>
    <row r="3" spans="1:15">
      <c r="A3" s="3891"/>
      <c r="B3" s="3892"/>
      <c r="C3" s="3896"/>
      <c r="D3" s="3897"/>
      <c r="E3" s="3898"/>
      <c r="F3" t="s">
        <v>4727</v>
      </c>
      <c r="G3">
        <v>462</v>
      </c>
      <c r="H3">
        <v>14091.02</v>
      </c>
      <c r="I3" s="3332" t="s">
        <v>4442</v>
      </c>
      <c r="J3" s="3333">
        <v>7526.68</v>
      </c>
      <c r="M3" t="s">
        <v>4761</v>
      </c>
      <c r="N3" s="3337">
        <f>C2+C18+C34+C62</f>
        <v>214755.27</v>
      </c>
    </row>
    <row r="4" spans="1:15">
      <c r="A4" s="3899" t="s">
        <v>4723</v>
      </c>
      <c r="B4" s="3902" t="s">
        <v>4724</v>
      </c>
      <c r="C4" s="3903">
        <v>43037.42</v>
      </c>
      <c r="D4" s="3903"/>
      <c r="E4" s="3903"/>
      <c r="F4" t="s">
        <v>4728</v>
      </c>
      <c r="G4">
        <v>37</v>
      </c>
      <c r="H4">
        <v>11347.39</v>
      </c>
      <c r="I4" s="3332" t="s">
        <v>3660</v>
      </c>
      <c r="J4" s="3333">
        <v>7430.57</v>
      </c>
      <c r="M4" t="s">
        <v>4762</v>
      </c>
      <c r="N4" s="3338">
        <f>C4+C20+C36+C64</f>
        <v>148706.91999999998</v>
      </c>
    </row>
    <row r="5" spans="1:15">
      <c r="A5" s="3900"/>
      <c r="B5" s="3902"/>
      <c r="C5" s="3903"/>
      <c r="D5" s="3903"/>
      <c r="E5" s="3903"/>
      <c r="F5" t="s">
        <v>4732</v>
      </c>
      <c r="G5">
        <v>348</v>
      </c>
      <c r="H5">
        <v>37998.53</v>
      </c>
      <c r="I5" s="3332" t="s">
        <v>3663</v>
      </c>
      <c r="J5" s="3333">
        <v>5558.07</v>
      </c>
    </row>
    <row r="6" spans="1:15">
      <c r="A6" s="3900"/>
      <c r="B6" s="3902" t="s">
        <v>4725</v>
      </c>
      <c r="C6" s="3903">
        <v>20515.32</v>
      </c>
      <c r="D6" s="3903"/>
      <c r="E6" s="3903"/>
      <c r="F6" t="s">
        <v>4733</v>
      </c>
      <c r="G6">
        <v>847</v>
      </c>
      <c r="H6">
        <f>SUM(H3:H5)</f>
        <v>63436.94</v>
      </c>
      <c r="I6" s="3332" t="s">
        <v>4735</v>
      </c>
      <c r="J6" s="3333">
        <v>2251.1999999999998</v>
      </c>
    </row>
    <row r="7" spans="1:15">
      <c r="A7" s="3900"/>
      <c r="B7" s="3902"/>
      <c r="C7" s="3903"/>
      <c r="D7" s="3903"/>
      <c r="E7" s="3903"/>
      <c r="I7" s="3332" t="s">
        <v>4736</v>
      </c>
      <c r="J7" s="3333">
        <v>1465.73</v>
      </c>
    </row>
    <row r="8" spans="1:15">
      <c r="A8" s="3900"/>
      <c r="B8" s="3902" t="s">
        <v>4726</v>
      </c>
      <c r="C8" s="3903">
        <v>172.16</v>
      </c>
      <c r="D8" s="3903"/>
      <c r="E8" s="3903"/>
    </row>
    <row r="9" spans="1:15">
      <c r="A9" s="3901"/>
      <c r="B9" s="3902"/>
      <c r="C9" s="3903"/>
      <c r="D9" s="3903"/>
      <c r="E9" s="3903"/>
    </row>
    <row r="10" spans="1:15">
      <c r="A10" s="3889" t="s">
        <v>4738</v>
      </c>
      <c r="B10" s="3904"/>
      <c r="C10" s="3903">
        <v>0</v>
      </c>
      <c r="D10" s="3903"/>
      <c r="E10" s="3903"/>
    </row>
    <row r="11" spans="1:15">
      <c r="A11" s="3905"/>
      <c r="B11" s="3906"/>
      <c r="C11" s="3903"/>
      <c r="D11" s="3903"/>
      <c r="E11" s="3903"/>
    </row>
    <row r="12" spans="1:15">
      <c r="A12" s="3907" t="s">
        <v>4739</v>
      </c>
      <c r="B12" s="3907"/>
      <c r="C12" s="3908" t="s">
        <v>4742</v>
      </c>
      <c r="D12" s="3908"/>
      <c r="E12" s="3908"/>
    </row>
    <row r="13" spans="1:15">
      <c r="A13" s="3907"/>
      <c r="B13" s="3907"/>
      <c r="C13" s="3908"/>
      <c r="D13" s="3908"/>
      <c r="E13" s="3908"/>
    </row>
    <row r="14" spans="1:15">
      <c r="A14" s="3907" t="s">
        <v>4740</v>
      </c>
      <c r="B14" s="3907"/>
      <c r="C14" s="3908" t="s">
        <v>4741</v>
      </c>
      <c r="D14" s="3908"/>
      <c r="E14" s="3908"/>
    </row>
    <row r="15" spans="1:15">
      <c r="A15" s="3907"/>
      <c r="B15" s="3907"/>
      <c r="C15" s="3908"/>
      <c r="D15" s="3908"/>
      <c r="E15" s="3908"/>
    </row>
    <row r="17" spans="1:11">
      <c r="A17" t="s">
        <v>4737</v>
      </c>
    </row>
    <row r="18" spans="1:11">
      <c r="A18" s="3889" t="s">
        <v>4722</v>
      </c>
      <c r="B18" s="3890"/>
      <c r="C18" s="3893">
        <v>90581.78</v>
      </c>
      <c r="D18" s="3894"/>
      <c r="E18" s="3895"/>
      <c r="F18" t="s">
        <v>4729</v>
      </c>
      <c r="G18" t="s">
        <v>4730</v>
      </c>
      <c r="H18" t="s">
        <v>4731</v>
      </c>
      <c r="I18" s="3332" t="s">
        <v>4734</v>
      </c>
      <c r="J18" s="3333" t="s">
        <v>2832</v>
      </c>
      <c r="K18" s="3336" t="s">
        <v>4747</v>
      </c>
    </row>
    <row r="19" spans="1:11">
      <c r="A19" s="3891"/>
      <c r="B19" s="3892"/>
      <c r="C19" s="3896"/>
      <c r="D19" s="3897"/>
      <c r="E19" s="3898"/>
      <c r="F19" t="s">
        <v>4728</v>
      </c>
      <c r="G19">
        <v>73</v>
      </c>
      <c r="H19">
        <v>14030.49</v>
      </c>
      <c r="I19" s="3332" t="s">
        <v>4442</v>
      </c>
      <c r="J19" s="3333">
        <v>3093.37</v>
      </c>
      <c r="K19" s="3334" t="s">
        <v>4746</v>
      </c>
    </row>
    <row r="20" spans="1:11">
      <c r="A20" s="3899" t="s">
        <v>4723</v>
      </c>
      <c r="B20" s="3902" t="s">
        <v>4724</v>
      </c>
      <c r="C20" s="3903">
        <v>81619.399999999994</v>
      </c>
      <c r="D20" s="3903"/>
      <c r="E20" s="3903"/>
      <c r="F20" t="s">
        <v>4743</v>
      </c>
      <c r="G20">
        <v>46</v>
      </c>
      <c r="H20">
        <v>2442.6</v>
      </c>
      <c r="I20" s="3332" t="s">
        <v>3660</v>
      </c>
      <c r="J20" s="3333">
        <v>2165.56</v>
      </c>
      <c r="K20" s="3335" t="s">
        <v>4460</v>
      </c>
    </row>
    <row r="21" spans="1:11">
      <c r="A21" s="3900"/>
      <c r="B21" s="3902"/>
      <c r="C21" s="3903"/>
      <c r="D21" s="3903"/>
      <c r="E21" s="3903"/>
      <c r="F21" t="s">
        <v>4744</v>
      </c>
      <c r="G21">
        <v>952</v>
      </c>
      <c r="H21">
        <v>73595.460000000006</v>
      </c>
      <c r="I21" s="3332" t="s">
        <v>3663</v>
      </c>
      <c r="J21" s="3333">
        <v>5143.42</v>
      </c>
      <c r="K21" s="3334" t="s">
        <v>4460</v>
      </c>
    </row>
    <row r="22" spans="1:11">
      <c r="A22" s="3900"/>
      <c r="B22" s="3902" t="s">
        <v>4725</v>
      </c>
      <c r="C22" s="3903">
        <v>8503.84</v>
      </c>
      <c r="D22" s="3903"/>
      <c r="E22" s="3903"/>
      <c r="F22" t="s">
        <v>4745</v>
      </c>
      <c r="G22">
        <f>SUM(G19:G21)</f>
        <v>1071</v>
      </c>
      <c r="H22">
        <f>SUM(H19:H21)</f>
        <v>90068.55</v>
      </c>
      <c r="I22" s="3332" t="s">
        <v>4735</v>
      </c>
      <c r="J22" s="3333">
        <v>4078.55</v>
      </c>
      <c r="K22" s="3335" t="s">
        <v>4460</v>
      </c>
    </row>
    <row r="23" spans="1:11">
      <c r="A23" s="3900"/>
      <c r="B23" s="3902"/>
      <c r="C23" s="3903"/>
      <c r="D23" s="3903"/>
      <c r="E23" s="3903"/>
      <c r="I23" s="3332" t="s">
        <v>4736</v>
      </c>
      <c r="J23" s="3333">
        <v>4201.0200000000004</v>
      </c>
      <c r="K23" s="3334" t="s">
        <v>4460</v>
      </c>
    </row>
    <row r="24" spans="1:11">
      <c r="A24" s="3900"/>
      <c r="B24" s="3902" t="s">
        <v>4726</v>
      </c>
      <c r="C24" s="3903">
        <v>458.54</v>
      </c>
      <c r="D24" s="3903"/>
      <c r="E24" s="3903"/>
    </row>
    <row r="25" spans="1:11">
      <c r="A25" s="3901"/>
      <c r="B25" s="3902"/>
      <c r="C25" s="3903"/>
      <c r="D25" s="3903"/>
      <c r="E25" s="3903"/>
    </row>
    <row r="26" spans="1:11">
      <c r="A26" s="3889" t="s">
        <v>4738</v>
      </c>
      <c r="B26" s="3904"/>
      <c r="C26" s="3903">
        <v>1898.51</v>
      </c>
      <c r="D26" s="3903"/>
      <c r="E26" s="3903"/>
    </row>
    <row r="27" spans="1:11">
      <c r="A27" s="3905"/>
      <c r="B27" s="3906"/>
      <c r="C27" s="3903"/>
      <c r="D27" s="3903"/>
      <c r="E27" s="3903"/>
    </row>
    <row r="28" spans="1:11">
      <c r="A28" s="3907" t="s">
        <v>4739</v>
      </c>
      <c r="B28" s="3907"/>
      <c r="C28" s="3908" t="s">
        <v>4543</v>
      </c>
      <c r="D28" s="3908"/>
      <c r="E28" s="3908"/>
    </row>
    <row r="29" spans="1:11">
      <c r="A29" s="3907"/>
      <c r="B29" s="3907"/>
      <c r="C29" s="3908"/>
      <c r="D29" s="3908"/>
      <c r="E29" s="3908"/>
    </row>
    <row r="30" spans="1:11">
      <c r="A30" s="3907" t="s">
        <v>4740</v>
      </c>
      <c r="B30" s="3907"/>
      <c r="C30" s="3908" t="s">
        <v>4741</v>
      </c>
      <c r="D30" s="3908"/>
      <c r="E30" s="3908"/>
    </row>
    <row r="31" spans="1:11">
      <c r="A31" s="3907"/>
      <c r="B31" s="3907"/>
      <c r="C31" s="3908"/>
      <c r="D31" s="3908"/>
      <c r="E31" s="3908"/>
    </row>
    <row r="33" spans="1:11">
      <c r="A33" t="s">
        <v>4748</v>
      </c>
    </row>
    <row r="34" spans="1:11">
      <c r="A34" s="3889" t="s">
        <v>4749</v>
      </c>
      <c r="B34" s="3890"/>
      <c r="C34" s="3893">
        <v>29809.68</v>
      </c>
      <c r="D34" s="3894"/>
      <c r="E34" s="3895"/>
      <c r="I34" s="3332" t="s">
        <v>4734</v>
      </c>
      <c r="J34" s="3333" t="s">
        <v>2832</v>
      </c>
      <c r="K34" s="3336" t="s">
        <v>4747</v>
      </c>
    </row>
    <row r="35" spans="1:11">
      <c r="A35" s="3891"/>
      <c r="B35" s="3892"/>
      <c r="C35" s="3896"/>
      <c r="D35" s="3897"/>
      <c r="E35" s="3898"/>
      <c r="I35" s="3332" t="s">
        <v>4442</v>
      </c>
      <c r="J35" s="3333">
        <v>2129.0700000000002</v>
      </c>
      <c r="K35" s="3334" t="s">
        <v>4753</v>
      </c>
    </row>
    <row r="36" spans="1:11">
      <c r="A36" s="3918" t="s">
        <v>4723</v>
      </c>
      <c r="B36" s="3902" t="s">
        <v>4724</v>
      </c>
      <c r="C36" s="3903">
        <v>23802.05</v>
      </c>
      <c r="D36" s="3903"/>
      <c r="E36" s="3903"/>
      <c r="I36" s="3332" t="s">
        <v>3660</v>
      </c>
      <c r="J36" s="3333">
        <v>1636.41</v>
      </c>
      <c r="K36" s="3335" t="s">
        <v>4460</v>
      </c>
    </row>
    <row r="37" spans="1:11">
      <c r="A37" s="3918"/>
      <c r="B37" s="3902"/>
      <c r="C37" s="3903"/>
      <c r="D37" s="3903"/>
      <c r="E37" s="3903"/>
      <c r="I37" s="3332" t="s">
        <v>3663</v>
      </c>
      <c r="J37" s="3333">
        <v>2050.4899999999998</v>
      </c>
      <c r="K37" s="3334" t="s">
        <v>4460</v>
      </c>
    </row>
    <row r="38" spans="1:11">
      <c r="A38" s="3918"/>
      <c r="B38" s="3902" t="s">
        <v>4725</v>
      </c>
      <c r="C38" s="3903">
        <v>3686.9</v>
      </c>
      <c r="D38" s="3903"/>
      <c r="E38" s="3903"/>
      <c r="I38" s="3332" t="s">
        <v>4735</v>
      </c>
      <c r="J38" s="3333">
        <v>2026.03</v>
      </c>
      <c r="K38" s="3335" t="s">
        <v>4460</v>
      </c>
    </row>
    <row r="39" spans="1:11">
      <c r="A39" s="3918"/>
      <c r="B39" s="3902"/>
      <c r="C39" s="3903"/>
      <c r="D39" s="3903"/>
      <c r="E39" s="3903"/>
      <c r="I39" s="3332" t="s">
        <v>4736</v>
      </c>
      <c r="J39" s="3333">
        <v>2054.4</v>
      </c>
      <c r="K39" s="3334" t="s">
        <v>4460</v>
      </c>
    </row>
    <row r="40" spans="1:11">
      <c r="A40" s="3918"/>
      <c r="B40" s="3902" t="s">
        <v>4726</v>
      </c>
      <c r="C40" s="3903">
        <v>191.66</v>
      </c>
      <c r="D40" s="3903"/>
      <c r="E40" s="3903"/>
    </row>
    <row r="41" spans="1:11">
      <c r="A41" s="3918"/>
      <c r="B41" s="3902"/>
      <c r="C41" s="3903"/>
      <c r="D41" s="3903"/>
      <c r="E41" s="3903"/>
    </row>
    <row r="42" spans="1:11">
      <c r="A42" s="3918"/>
      <c r="B42" s="3902" t="s">
        <v>4750</v>
      </c>
      <c r="C42" s="3903">
        <v>2129.0700000000002</v>
      </c>
      <c r="D42" s="3903"/>
      <c r="E42" s="3903"/>
    </row>
    <row r="43" spans="1:11">
      <c r="A43" s="3918"/>
      <c r="B43" s="3902"/>
      <c r="C43" s="3903"/>
      <c r="D43" s="3903"/>
      <c r="E43" s="3903"/>
    </row>
    <row r="44" spans="1:11">
      <c r="A44" s="3907" t="s">
        <v>4739</v>
      </c>
      <c r="B44" s="3907"/>
      <c r="C44" s="3908" t="s">
        <v>4751</v>
      </c>
      <c r="D44" s="3908"/>
      <c r="E44" s="3908"/>
    </row>
    <row r="45" spans="1:11">
      <c r="A45" s="3907"/>
      <c r="B45" s="3907"/>
      <c r="C45" s="3908"/>
      <c r="D45" s="3908"/>
      <c r="E45" s="3908"/>
    </row>
    <row r="46" spans="1:11">
      <c r="A46" s="3907" t="s">
        <v>4740</v>
      </c>
      <c r="B46" s="3907"/>
      <c r="C46" s="3908" t="s">
        <v>4741</v>
      </c>
      <c r="D46" s="3908"/>
      <c r="E46" s="3908"/>
    </row>
    <row r="47" spans="1:11">
      <c r="A47" s="3907"/>
      <c r="B47" s="3907"/>
      <c r="C47" s="3908"/>
      <c r="D47" s="3908"/>
      <c r="E47" s="3908"/>
    </row>
    <row r="48" spans="1:11">
      <c r="A48" s="3909" t="s">
        <v>4752</v>
      </c>
      <c r="B48" s="3910"/>
      <c r="C48" s="3910"/>
      <c r="D48" s="3910"/>
      <c r="E48" s="3910"/>
      <c r="F48" s="3911"/>
    </row>
    <row r="49" spans="1:11">
      <c r="A49" s="3912"/>
      <c r="B49" s="3913"/>
      <c r="C49" s="3913"/>
      <c r="D49" s="3913"/>
      <c r="E49" s="3913"/>
      <c r="F49" s="3914"/>
    </row>
    <row r="50" spans="1:11">
      <c r="A50" s="3912"/>
      <c r="B50" s="3913"/>
      <c r="C50" s="3913"/>
      <c r="D50" s="3913"/>
      <c r="E50" s="3913"/>
      <c r="F50" s="3914"/>
    </row>
    <row r="51" spans="1:11">
      <c r="A51" s="3912"/>
      <c r="B51" s="3913"/>
      <c r="C51" s="3913"/>
      <c r="D51" s="3913"/>
      <c r="E51" s="3913"/>
      <c r="F51" s="3914"/>
    </row>
    <row r="52" spans="1:11">
      <c r="A52" s="3912"/>
      <c r="B52" s="3913"/>
      <c r="C52" s="3913"/>
      <c r="D52" s="3913"/>
      <c r="E52" s="3913"/>
      <c r="F52" s="3914"/>
    </row>
    <row r="53" spans="1:11">
      <c r="A53" s="3912"/>
      <c r="B53" s="3913"/>
      <c r="C53" s="3913"/>
      <c r="D53" s="3913"/>
      <c r="E53" s="3913"/>
      <c r="F53" s="3914"/>
    </row>
    <row r="54" spans="1:11">
      <c r="A54" s="3912"/>
      <c r="B54" s="3913"/>
      <c r="C54" s="3913"/>
      <c r="D54" s="3913"/>
      <c r="E54" s="3913"/>
      <c r="F54" s="3914"/>
    </row>
    <row r="55" spans="1:11">
      <c r="A55" s="3912"/>
      <c r="B55" s="3913"/>
      <c r="C55" s="3913"/>
      <c r="D55" s="3913"/>
      <c r="E55" s="3913"/>
      <c r="F55" s="3914"/>
    </row>
    <row r="56" spans="1:11">
      <c r="A56" s="3912"/>
      <c r="B56" s="3913"/>
      <c r="C56" s="3913"/>
      <c r="D56" s="3913"/>
      <c r="E56" s="3913"/>
      <c r="F56" s="3914"/>
    </row>
    <row r="57" spans="1:11">
      <c r="A57" s="3912"/>
      <c r="B57" s="3913"/>
      <c r="C57" s="3913"/>
      <c r="D57" s="3913"/>
      <c r="E57" s="3913"/>
      <c r="F57" s="3914"/>
    </row>
    <row r="58" spans="1:11">
      <c r="A58" s="3912"/>
      <c r="B58" s="3913"/>
      <c r="C58" s="3913"/>
      <c r="D58" s="3913"/>
      <c r="E58" s="3913"/>
      <c r="F58" s="3914"/>
    </row>
    <row r="59" spans="1:11">
      <c r="A59" s="3915"/>
      <c r="B59" s="3916"/>
      <c r="C59" s="3916"/>
      <c r="D59" s="3916"/>
      <c r="E59" s="3916"/>
      <c r="F59" s="3917"/>
    </row>
    <row r="61" spans="1:11">
      <c r="A61" t="s">
        <v>4754</v>
      </c>
    </row>
    <row r="62" spans="1:11">
      <c r="A62" s="3889" t="s">
        <v>4722</v>
      </c>
      <c r="B62" s="3890"/>
      <c r="C62" s="3893">
        <v>30638.91</v>
      </c>
      <c r="D62" s="3894"/>
      <c r="E62" s="3895"/>
      <c r="F62" t="s">
        <v>4729</v>
      </c>
      <c r="G62" t="s">
        <v>4730</v>
      </c>
      <c r="H62" t="s">
        <v>4731</v>
      </c>
      <c r="I62" s="3332" t="s">
        <v>4734</v>
      </c>
      <c r="J62" s="3333" t="s">
        <v>2832</v>
      </c>
      <c r="K62" s="3336" t="s">
        <v>4747</v>
      </c>
    </row>
    <row r="63" spans="1:11">
      <c r="A63" s="3891"/>
      <c r="B63" s="3892"/>
      <c r="C63" s="3896"/>
      <c r="D63" s="3897"/>
      <c r="E63" s="3898"/>
      <c r="F63" t="s">
        <v>4756</v>
      </c>
      <c r="G63">
        <v>1079</v>
      </c>
      <c r="H63">
        <v>31371.81</v>
      </c>
      <c r="I63" s="3332" t="s">
        <v>4442</v>
      </c>
      <c r="J63" s="3333">
        <v>24436.22</v>
      </c>
      <c r="K63" s="3334" t="s">
        <v>4758</v>
      </c>
    </row>
    <row r="64" spans="1:11">
      <c r="A64" s="3899" t="s">
        <v>4723</v>
      </c>
      <c r="B64" s="3902" t="s">
        <v>4724</v>
      </c>
      <c r="C64" s="3903">
        <v>248.05</v>
      </c>
      <c r="D64" s="3903"/>
      <c r="E64" s="3903"/>
      <c r="F64" t="s">
        <v>4757</v>
      </c>
      <c r="G64">
        <f>G63</f>
        <v>1079</v>
      </c>
      <c r="H64">
        <f>H63</f>
        <v>31371.81</v>
      </c>
      <c r="I64" s="3332" t="s">
        <v>3660</v>
      </c>
      <c r="J64" s="3333">
        <v>24188.45</v>
      </c>
      <c r="K64" s="3335" t="s">
        <v>4460</v>
      </c>
    </row>
    <row r="65" spans="1:11">
      <c r="A65" s="3900"/>
      <c r="B65" s="3902"/>
      <c r="C65" s="3903"/>
      <c r="D65" s="3903"/>
      <c r="E65" s="3903"/>
      <c r="I65" s="3332" t="s">
        <v>3663</v>
      </c>
      <c r="J65" s="3333">
        <v>226.83</v>
      </c>
      <c r="K65" s="3334" t="s">
        <v>4759</v>
      </c>
    </row>
    <row r="66" spans="1:11">
      <c r="A66" s="3900"/>
      <c r="B66" s="3902" t="s">
        <v>4725</v>
      </c>
      <c r="C66" s="3903">
        <v>30390.86</v>
      </c>
      <c r="D66" s="3903"/>
      <c r="E66" s="3903"/>
      <c r="I66" s="3332" t="s">
        <v>4735</v>
      </c>
      <c r="J66" s="3333">
        <v>248.05</v>
      </c>
      <c r="K66" s="3335" t="s">
        <v>4460</v>
      </c>
    </row>
    <row r="67" spans="1:11">
      <c r="A67" s="3900"/>
      <c r="B67" s="3902"/>
      <c r="C67" s="3903"/>
      <c r="D67" s="3903"/>
      <c r="E67" s="3903"/>
    </row>
    <row r="68" spans="1:11">
      <c r="A68" s="3900"/>
      <c r="B68" s="3902" t="s">
        <v>4726</v>
      </c>
      <c r="C68" s="3903">
        <v>0</v>
      </c>
      <c r="D68" s="3903"/>
      <c r="E68" s="3903"/>
    </row>
    <row r="69" spans="1:11">
      <c r="A69" s="3901"/>
      <c r="B69" s="3902"/>
      <c r="C69" s="3903"/>
      <c r="D69" s="3903"/>
      <c r="E69" s="3903"/>
    </row>
    <row r="70" spans="1:11">
      <c r="A70" s="3889" t="s">
        <v>4738</v>
      </c>
      <c r="B70" s="3904"/>
      <c r="C70" s="3903">
        <v>18460.64</v>
      </c>
      <c r="D70" s="3903"/>
      <c r="E70" s="3903"/>
    </row>
    <row r="71" spans="1:11">
      <c r="A71" s="3905"/>
      <c r="B71" s="3906"/>
      <c r="C71" s="3903"/>
      <c r="D71" s="3903"/>
      <c r="E71" s="3903"/>
    </row>
    <row r="72" spans="1:11">
      <c r="A72" s="3907" t="s">
        <v>4739</v>
      </c>
      <c r="B72" s="3907"/>
      <c r="C72" s="3908" t="s">
        <v>4755</v>
      </c>
      <c r="D72" s="3908"/>
      <c r="E72" s="3908"/>
    </row>
    <row r="73" spans="1:11">
      <c r="A73" s="3907"/>
      <c r="B73" s="3907"/>
      <c r="C73" s="3908"/>
      <c r="D73" s="3908"/>
      <c r="E73" s="3908"/>
    </row>
    <row r="74" spans="1:11">
      <c r="A74" s="3907" t="s">
        <v>4740</v>
      </c>
      <c r="B74" s="3907"/>
      <c r="C74" s="3908" t="s">
        <v>4741</v>
      </c>
      <c r="D74" s="3908"/>
      <c r="E74" s="3908"/>
    </row>
    <row r="75" spans="1:11">
      <c r="A75" s="3907"/>
      <c r="B75" s="3907"/>
      <c r="C75" s="3908"/>
      <c r="D75" s="3908"/>
      <c r="E75" s="3908"/>
    </row>
  </sheetData>
  <mergeCells count="61">
    <mergeCell ref="A70:B71"/>
    <mergeCell ref="C70:E71"/>
    <mergeCell ref="A72:B73"/>
    <mergeCell ref="C72:E73"/>
    <mergeCell ref="A74:B75"/>
    <mergeCell ref="C74:E75"/>
    <mergeCell ref="A62:B63"/>
    <mergeCell ref="C62:E63"/>
    <mergeCell ref="A64:A69"/>
    <mergeCell ref="B64:B65"/>
    <mergeCell ref="C64:E65"/>
    <mergeCell ref="B66:B67"/>
    <mergeCell ref="C66:E67"/>
    <mergeCell ref="B68:B69"/>
    <mergeCell ref="C68:E69"/>
    <mergeCell ref="A48:F59"/>
    <mergeCell ref="A34:B35"/>
    <mergeCell ref="C34:E35"/>
    <mergeCell ref="A36:A43"/>
    <mergeCell ref="B36:B37"/>
    <mergeCell ref="C36:E37"/>
    <mergeCell ref="B38:B39"/>
    <mergeCell ref="C38:E39"/>
    <mergeCell ref="B40:B41"/>
    <mergeCell ref="C40:E41"/>
    <mergeCell ref="B42:B43"/>
    <mergeCell ref="C42:E43"/>
    <mergeCell ref="A44:B45"/>
    <mergeCell ref="C44:E45"/>
    <mergeCell ref="A46:B47"/>
    <mergeCell ref="C46:E47"/>
    <mergeCell ref="A10:B11"/>
    <mergeCell ref="C10:E11"/>
    <mergeCell ref="A12:B13"/>
    <mergeCell ref="C12:E13"/>
    <mergeCell ref="A14:B15"/>
    <mergeCell ref="C14:E15"/>
    <mergeCell ref="A26:B27"/>
    <mergeCell ref="C26:E27"/>
    <mergeCell ref="A28:B29"/>
    <mergeCell ref="C28:E29"/>
    <mergeCell ref="A30:B31"/>
    <mergeCell ref="C30:E31"/>
    <mergeCell ref="A18:B19"/>
    <mergeCell ref="C18:E19"/>
    <mergeCell ref="A20:A25"/>
    <mergeCell ref="B20:B21"/>
    <mergeCell ref="C20:E21"/>
    <mergeCell ref="B22:B23"/>
    <mergeCell ref="C22:E23"/>
    <mergeCell ref="B24:B25"/>
    <mergeCell ref="C24:E25"/>
    <mergeCell ref="A2:B3"/>
    <mergeCell ref="C2:E3"/>
    <mergeCell ref="A4:A9"/>
    <mergeCell ref="B4:B5"/>
    <mergeCell ref="C4:E5"/>
    <mergeCell ref="B6:B7"/>
    <mergeCell ref="C6:E7"/>
    <mergeCell ref="B8:B9"/>
    <mergeCell ref="C8:E9"/>
  </mergeCells>
  <phoneticPr fontId="14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625" style="2667" customWidth="1"/>
    <col min="10" max="10" width="2.625" style="2666" customWidth="1"/>
    <col min="11" max="11" width="11.875" style="2666" customWidth="1"/>
    <col min="12" max="12" width="16.625" style="2667" customWidth="1"/>
    <col min="13" max="13" width="2.625" style="2666" customWidth="1"/>
    <col min="14" max="14" width="11.875" style="2666" customWidth="1"/>
    <col min="15" max="15" width="16.625" style="2667" customWidth="1"/>
    <col min="16" max="16" width="2.625" style="2666" customWidth="1"/>
    <col min="17" max="17" width="11.875" style="2666" customWidth="1"/>
    <col min="18" max="18" width="16.625" style="2668" customWidth="1"/>
    <col min="19" max="29" width="9" style="887"/>
    <col min="30" max="16384" width="9" style="1822"/>
  </cols>
  <sheetData>
    <row r="1" spans="1:29" s="2632" customFormat="1" ht="18.75" thickBot="1">
      <c r="A1" s="3919" t="s">
        <v>2786</v>
      </c>
      <c r="B1" s="3920"/>
      <c r="C1" s="3920"/>
      <c r="D1" s="3920"/>
      <c r="E1" s="3920"/>
      <c r="F1" s="3920"/>
      <c r="G1" s="392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3500-000000000000}">
      <formula1>临街状况</formula1>
    </dataValidation>
  </dataValidations>
  <pageMargins left="0.7" right="0.7" top="0.75" bottom="0.75" header="0.3" footer="0.3"/>
  <pageSetup paperSize="9" scale="70"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tabColor rgb="FFFFFF00"/>
  </sheetPr>
  <dimension ref="C4:F9"/>
  <sheetViews>
    <sheetView workbookViewId="0">
      <selection activeCell="N35" sqref="N35"/>
    </sheetView>
  </sheetViews>
  <sheetFormatPr defaultColWidth="8.875" defaultRowHeight="14.25"/>
  <cols>
    <col min="4" max="4" width="7.625" customWidth="1"/>
    <col min="5" max="5" width="24.875" customWidth="1"/>
    <col min="6" max="6" width="12.625" customWidth="1"/>
  </cols>
  <sheetData>
    <row r="4" spans="3:6">
      <c r="C4" s="3230" t="s">
        <v>3220</v>
      </c>
      <c r="D4" s="3230" t="s">
        <v>4480</v>
      </c>
      <c r="E4" s="3230" t="s">
        <v>4483</v>
      </c>
    </row>
    <row r="5" spans="3:6">
      <c r="D5" s="3230" t="s">
        <v>4479</v>
      </c>
      <c r="E5" s="3230" t="s">
        <v>4481</v>
      </c>
      <c r="F5" s="3230" t="s">
        <v>4484</v>
      </c>
    </row>
    <row r="6" spans="3:6">
      <c r="E6" s="3230" t="s">
        <v>4482</v>
      </c>
      <c r="F6" s="3230" t="s">
        <v>4485</v>
      </c>
    </row>
    <row r="7" spans="3:6">
      <c r="C7" s="3230"/>
      <c r="D7" s="3230"/>
      <c r="E7" s="3230"/>
    </row>
    <row r="8" spans="3:6">
      <c r="D8" s="3230"/>
      <c r="E8" s="3230"/>
    </row>
    <row r="9" spans="3:6">
      <c r="E9" s="3230"/>
    </row>
  </sheetData>
  <phoneticPr fontId="14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0">
    <tabColor rgb="FFFFFF00"/>
  </sheetPr>
  <dimension ref="A1:W127"/>
  <sheetViews>
    <sheetView workbookViewId="0">
      <selection activeCell="G25" sqref="G25"/>
    </sheetView>
  </sheetViews>
  <sheetFormatPr defaultColWidth="9" defaultRowHeight="14.25"/>
  <cols>
    <col min="1" max="1" width="13.5" style="1691" customWidth="1"/>
    <col min="2" max="2" width="23.125" style="1642" customWidth="1"/>
    <col min="3" max="3" width="13" style="1686" customWidth="1"/>
    <col min="4" max="4" width="5.62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8.5">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3247" t="s">
        <v>4486</v>
      </c>
      <c r="C19" s="1682"/>
    </row>
    <row r="20" spans="1:3">
      <c r="A20" s="1681" t="s">
        <v>1493</v>
      </c>
      <c r="B20" s="3247" t="s">
        <v>4487</v>
      </c>
      <c r="C20" s="1682"/>
    </row>
    <row r="21" spans="1:3">
      <c r="A21" s="1681" t="s">
        <v>1494</v>
      </c>
      <c r="B21" s="3247" t="s">
        <v>4488</v>
      </c>
      <c r="C21" s="1682"/>
    </row>
    <row r="22" spans="1:3">
      <c r="A22" s="1681" t="s">
        <v>1495</v>
      </c>
      <c r="B22" s="3247" t="s">
        <v>4489</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92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1"/>
      <c r="B54" s="1689" t="s">
        <v>651</v>
      </c>
      <c r="C54" s="1686" t="s">
        <v>1008</v>
      </c>
    </row>
    <row r="55" spans="1:4">
      <c r="A55" s="3921"/>
      <c r="B55" s="1689" t="s">
        <v>652</v>
      </c>
      <c r="C55" s="1686" t="s">
        <v>1009</v>
      </c>
    </row>
    <row r="56" spans="1:4">
      <c r="A56" s="3921"/>
      <c r="B56" s="1689" t="s">
        <v>653</v>
      </c>
      <c r="C56" s="1686" t="s">
        <v>1013</v>
      </c>
    </row>
    <row r="57" spans="1:4">
      <c r="A57" s="392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28447</v>
      </c>
      <c r="C2" s="2" t="s">
        <v>133</v>
      </c>
      <c r="D2" s="205"/>
      <c r="E2" s="205"/>
      <c r="F2" s="205"/>
      <c r="G2" s="205"/>
    </row>
    <row r="3" spans="1:7" s="206" customFormat="1" ht="18" customHeight="1" thickBot="1">
      <c r="A3" s="209" t="s">
        <v>85</v>
      </c>
      <c r="B3" s="210">
        <f ca="1">ROUND(B2*10000/'数据-汇总表'!E3,0)</f>
        <v>4837103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v>
      </c>
      <c r="D10" s="934">
        <f>'数据-汇总表'!E6</f>
        <v>58.81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v>
      </c>
      <c r="D19" s="938">
        <f>'数据-汇总表'!E3</f>
        <v>58.81</v>
      </c>
      <c r="E19" s="217">
        <f>'数据-取费表'!B31</f>
        <v>200</v>
      </c>
      <c r="F19" s="237"/>
      <c r="G19" s="1" t="s">
        <v>861</v>
      </c>
    </row>
    <row r="20" spans="1:7" s="220" customFormat="1" ht="13.5" customHeight="1">
      <c r="A20" s="865" t="s">
        <v>844</v>
      </c>
      <c r="B20" s="216" t="s">
        <v>104</v>
      </c>
      <c r="C20" s="238">
        <f>ROUND((C5+C19)*F20,0)</f>
        <v>412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2024</v>
      </c>
      <c r="D22" s="241">
        <f ca="1">C26</f>
        <v>1E-3</v>
      </c>
      <c r="E22" s="242" t="s">
        <v>126</v>
      </c>
      <c r="F22" s="243">
        <f ca="1">'数据-取费表'!B40</f>
        <v>4.7500000000000001E-2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2004</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0</v>
      </c>
      <c r="D24" s="244"/>
      <c r="E24" s="244"/>
      <c r="F24" s="245"/>
      <c r="G24" s="246" t="s">
        <v>109</v>
      </c>
    </row>
    <row r="25" spans="1:7" s="220" customFormat="1" ht="24">
      <c r="A25" s="868" t="s">
        <v>612</v>
      </c>
      <c r="B25" s="221" t="s">
        <v>845</v>
      </c>
      <c r="C25" s="1217">
        <f ca="1">ROUND(IF('数据-取费表'!B22&lt;=1,C20*F22*'数据-取费表'!B23/2,C20*(POWER((1+F22),'数据-取费表'!B23/2)-1)),0)</f>
        <v>20</v>
      </c>
      <c r="D25" s="244"/>
      <c r="E25" s="247"/>
      <c r="F25" s="245"/>
      <c r="G25" s="248" t="s">
        <v>110</v>
      </c>
    </row>
    <row r="26" spans="1:7" s="220" customFormat="1">
      <c r="A26" s="868" t="s">
        <v>614</v>
      </c>
      <c r="B26" s="221" t="s">
        <v>847</v>
      </c>
      <c r="C26" s="244">
        <f ca="1">ROUND(IF('数据-取费表'!B22&lt;=1,F21*F22*'数据-取费表'!B23/2,F21*(POWER((1+F22),'数据-取费表'!B23/2)-1)),4)</f>
        <v>1E-3</v>
      </c>
      <c r="D26" s="244"/>
      <c r="E26" s="247"/>
      <c r="F26" s="245"/>
      <c r="G26" s="249"/>
    </row>
    <row r="27" spans="1:7" s="220" customFormat="1" ht="24.75">
      <c r="A27" s="865" t="s">
        <v>606</v>
      </c>
      <c r="B27" s="250" t="s">
        <v>112</v>
      </c>
      <c r="C27" s="251">
        <f>C28</f>
        <v>3153</v>
      </c>
      <c r="D27" s="241">
        <f>C29</f>
        <v>3.0000000000000001E-3</v>
      </c>
      <c r="E27" s="242" t="s">
        <v>126</v>
      </c>
      <c r="F27" s="252">
        <f>'数据-取费表'!Q16</f>
        <v>0.15</v>
      </c>
      <c r="G27" s="253" t="s">
        <v>856</v>
      </c>
    </row>
    <row r="28" spans="1:7" s="220" customFormat="1" ht="13.5" customHeight="1">
      <c r="A28" s="868" t="s">
        <v>613</v>
      </c>
      <c r="B28" s="254" t="s">
        <v>849</v>
      </c>
      <c r="C28" s="255">
        <f>ROUND((C5+C19+C20)*F27*'数据-取费表'!B21/'数据-取费表'!B20,0)</f>
        <v>3153</v>
      </c>
      <c r="D28" s="241"/>
      <c r="E28" s="242"/>
      <c r="F28" s="252"/>
      <c r="G28" s="253"/>
    </row>
    <row r="29" spans="1:7" s="220" customFormat="1" ht="13.5" customHeight="1">
      <c r="A29" s="868" t="s">
        <v>611</v>
      </c>
      <c r="B29" s="254" t="s">
        <v>850</v>
      </c>
      <c r="C29" s="244">
        <f>ROUND(C21*F27*'数据-取费表'!B21/'数据-取费表'!B20,4)</f>
        <v>3.0000000000000001E-3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28396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46</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43</v>
      </c>
      <c r="D34" s="223"/>
      <c r="E34" s="226"/>
      <c r="F34" s="263">
        <f>IF('数据-取费表'!B24=0,1,'数据-取费表'!N16)</f>
        <v>1</v>
      </c>
      <c r="G34" s="225" t="s">
        <v>116</v>
      </c>
    </row>
    <row r="35" spans="1:7" ht="13.5" customHeight="1">
      <c r="A35" s="868" t="s">
        <v>615</v>
      </c>
      <c r="B35" s="221" t="s">
        <v>60</v>
      </c>
      <c r="C35" s="226">
        <f>ROUND(C34*F35,0)</f>
        <v>1</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c r="A37" s="868" t="s">
        <v>617</v>
      </c>
      <c r="B37" s="221" t="s">
        <v>118</v>
      </c>
      <c r="C37" s="255">
        <f>ROUND(E37*D37*F34/10000,0)</f>
        <v>1</v>
      </c>
      <c r="D37" s="223">
        <f>'数据-汇总表'!E3</f>
        <v>58.81</v>
      </c>
      <c r="E37" s="255">
        <f>'数据-取费表'!B35</f>
        <v>200</v>
      </c>
      <c r="F37" s="265"/>
      <c r="G37" s="267" t="s">
        <v>119</v>
      </c>
    </row>
    <row r="38" spans="1:7" ht="13.5" customHeight="1">
      <c r="A38" s="868" t="s">
        <v>618</v>
      </c>
      <c r="B38" s="221" t="s">
        <v>63</v>
      </c>
      <c r="C38" s="226">
        <f>ROUND(C34*F38,0)</f>
        <v>1</v>
      </c>
      <c r="D38" s="226"/>
      <c r="E38" s="226"/>
      <c r="F38" s="265">
        <f>'数据-取费表'!B36</f>
        <v>1.4999999999999999E-2</v>
      </c>
      <c r="G38" s="225" t="s">
        <v>117</v>
      </c>
    </row>
    <row r="39" spans="1:7" s="220" customFormat="1" ht="13.5" customHeight="1">
      <c r="A39" s="865" t="s">
        <v>602</v>
      </c>
      <c r="B39" s="216" t="s">
        <v>104</v>
      </c>
      <c r="C39" s="238">
        <f>ROUND(C33*F20,0)</f>
        <v>1</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2</v>
      </c>
      <c r="D41" s="241">
        <f ca="1">C44</f>
        <v>1E-3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v>
      </c>
      <c r="D42" s="244"/>
      <c r="E42" s="244"/>
      <c r="F42" s="245"/>
      <c r="G42" s="3780" t="s">
        <v>121</v>
      </c>
    </row>
    <row r="43" spans="1:7" ht="13.5" customHeight="1">
      <c r="A43" s="868" t="s">
        <v>611</v>
      </c>
      <c r="B43" s="221" t="s">
        <v>851</v>
      </c>
      <c r="C43" s="244">
        <f ca="1">ROUND(IF('数据-取费表'!B22&lt;=1,C39*F22*'数据-取费表'!B21/2,C39*(POWER((1+F22),'数据-取费表'!B21/2)-1)),0)</f>
        <v>0</v>
      </c>
      <c r="D43" s="244"/>
      <c r="E43" s="244"/>
      <c r="F43" s="245"/>
      <c r="G43" s="3781"/>
    </row>
    <row r="44" spans="1:7" ht="13.5" customHeight="1">
      <c r="A44" s="868" t="s">
        <v>612</v>
      </c>
      <c r="B44" s="221" t="s">
        <v>853</v>
      </c>
      <c r="C44" s="244">
        <f ca="1">ROUND(IF('数据-取费表'!B22&lt;=1,C40*F22*'数据-取费表'!B21/2,C40*(POWER((1+F22),'数据-取费表'!B21/2)-1)),4)</f>
        <v>1E-3</v>
      </c>
      <c r="D44" s="244"/>
      <c r="E44" s="244"/>
      <c r="F44" s="245"/>
      <c r="G44" s="3782"/>
    </row>
    <row r="45" spans="1:7" s="220" customFormat="1" ht="13.5" customHeight="1">
      <c r="A45" s="865" t="s">
        <v>605</v>
      </c>
      <c r="B45" s="250" t="s">
        <v>112</v>
      </c>
      <c r="C45" s="251">
        <f>C46</f>
        <v>7</v>
      </c>
      <c r="D45" s="241">
        <f>C47</f>
        <v>3.0000000000000001E-3</v>
      </c>
      <c r="E45" s="242" t="s">
        <v>129</v>
      </c>
      <c r="F45" s="252"/>
      <c r="G45" s="253" t="s">
        <v>859</v>
      </c>
    </row>
    <row r="46" spans="1:7" s="220" customFormat="1" ht="13.5" customHeight="1">
      <c r="A46" s="868" t="s">
        <v>613</v>
      </c>
      <c r="B46" s="254" t="s">
        <v>852</v>
      </c>
      <c r="C46" s="255">
        <f>ROUND((C33+C39)*F27,0)</f>
        <v>7</v>
      </c>
      <c r="D46" s="269"/>
      <c r="E46" s="242"/>
      <c r="F46" s="252"/>
      <c r="G46" s="253"/>
    </row>
    <row r="47" spans="1:7" s="220" customFormat="1" ht="13.5" customHeight="1">
      <c r="A47" s="868" t="s">
        <v>611</v>
      </c>
      <c r="B47" s="254" t="s">
        <v>854</v>
      </c>
      <c r="C47" s="244">
        <f>ROUND(C40*F27,4)</f>
        <v>3.0000000000000001E-3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61</v>
      </c>
      <c r="D49" s="238"/>
      <c r="E49" s="238"/>
      <c r="F49" s="270"/>
      <c r="G49" s="240" t="s">
        <v>860</v>
      </c>
    </row>
    <row r="50" spans="1:7" s="264" customFormat="1" ht="24">
      <c r="A50" s="865" t="s">
        <v>608</v>
      </c>
      <c r="B50" s="216" t="s">
        <v>124</v>
      </c>
      <c r="C50" s="238"/>
      <c r="D50" s="238"/>
      <c r="E50" s="238"/>
      <c r="F50" s="270">
        <f>IF('数据-取费表'!B24=0,'数据-取费表'!N16,1)</f>
        <v>0.84</v>
      </c>
      <c r="G50" s="253" t="s">
        <v>125</v>
      </c>
    </row>
    <row r="51" spans="1:7" ht="16.5" customHeight="1">
      <c r="A51" s="865" t="s">
        <v>609</v>
      </c>
      <c r="B51" s="216" t="s">
        <v>132</v>
      </c>
      <c r="C51" s="238">
        <f ca="1">ROUND(C49*F50,0)</f>
        <v>51</v>
      </c>
      <c r="D51" s="238"/>
      <c r="E51" s="238"/>
      <c r="F51" s="270"/>
      <c r="G51" s="240" t="s">
        <v>64</v>
      </c>
    </row>
    <row r="52" spans="1:7" s="214" customFormat="1" ht="16.5" thickBot="1">
      <c r="A52" s="271" t="s">
        <v>65</v>
      </c>
      <c r="B52" s="272"/>
      <c r="C52" s="273">
        <f ca="1">C31+C51</f>
        <v>28447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3800-000000000000}">
      <formula1>"已包含在土地取得成本中,未包含在土地取得成本中"</formula1>
    </dataValidation>
    <dataValidation type="list" allowBlank="1" showInputMessage="1" showErrorMessage="1" sqref="G8" xr:uid="{00000000-0002-0000-3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dimension ref="A1:S344"/>
  <sheetViews>
    <sheetView workbookViewId="0">
      <selection activeCell="G224" sqref="G224"/>
    </sheetView>
  </sheetViews>
  <sheetFormatPr defaultColWidth="9" defaultRowHeight="14.25"/>
  <cols>
    <col min="1" max="1" width="12.625" style="793" customWidth="1"/>
    <col min="2" max="5" width="10.125" style="751" customWidth="1"/>
    <col min="6" max="6" width="9" style="751"/>
    <col min="7" max="8" width="9" style="766"/>
    <col min="9" max="16384" width="9" style="751"/>
  </cols>
  <sheetData>
    <row r="1" spans="1:19">
      <c r="A1" s="3922" t="s">
        <v>156</v>
      </c>
      <c r="B1" s="3922"/>
      <c r="C1" s="3922"/>
      <c r="D1" s="3922"/>
      <c r="E1" s="3922"/>
      <c r="F1" s="392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923" t="s">
        <v>169</v>
      </c>
      <c r="B2" s="3923"/>
      <c r="C2" s="3923"/>
      <c r="D2" s="3923"/>
      <c r="E2" s="3923"/>
      <c r="F2" s="392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92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92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dimension ref="A1:F344"/>
  <sheetViews>
    <sheetView workbookViewId="0">
      <selection activeCell="F6" sqref="F6"/>
    </sheetView>
  </sheetViews>
  <sheetFormatPr defaultColWidth="8.875" defaultRowHeight="14.25"/>
  <cols>
    <col min="1" max="1" width="12.625" style="793" customWidth="1"/>
    <col min="2" max="2" width="10.125" style="751" customWidth="1"/>
  </cols>
  <sheetData>
    <row r="1" spans="1:6">
      <c r="A1" s="3922" t="s">
        <v>658</v>
      </c>
      <c r="B1" s="3922"/>
    </row>
    <row r="2" spans="1:6" ht="15" thickBot="1">
      <c r="A2" s="952"/>
      <c r="B2" s="952"/>
    </row>
    <row r="3" spans="1:6" ht="15" thickBot="1">
      <c r="A3" s="952"/>
      <c r="B3" s="952"/>
      <c r="C3" s="955" t="s">
        <v>661</v>
      </c>
      <c r="D3" s="955" t="s">
        <v>662</v>
      </c>
      <c r="E3" s="955" t="s">
        <v>663</v>
      </c>
      <c r="F3" s="955" t="s">
        <v>664</v>
      </c>
    </row>
    <row r="4" spans="1:6" ht="15" thickBot="1">
      <c r="A4" s="953" t="s">
        <v>659</v>
      </c>
      <c r="B4" s="954" t="s">
        <v>660</v>
      </c>
      <c r="C4" s="955"/>
      <c r="D4" s="955"/>
      <c r="E4" s="955"/>
      <c r="F4" s="955"/>
    </row>
    <row r="5" spans="1:6" ht="15" thickBot="1">
      <c r="A5" s="778" t="s">
        <v>665</v>
      </c>
      <c r="B5" s="779" t="s">
        <v>666</v>
      </c>
      <c r="C5" s="956">
        <v>8.8999999999999996E-2</v>
      </c>
      <c r="D5" s="956">
        <v>7.3999999999999996E-2</v>
      </c>
      <c r="E5" s="956">
        <v>7.4999999999999997E-2</v>
      </c>
      <c r="F5" s="957">
        <v>0.1</v>
      </c>
    </row>
    <row r="6" spans="1:6" ht="15" thickBot="1">
      <c r="A6" s="778" t="s">
        <v>211</v>
      </c>
      <c r="B6" s="772" t="s">
        <v>667</v>
      </c>
      <c r="C6" s="958">
        <v>0.1</v>
      </c>
      <c r="D6" s="958">
        <v>9.0999999999999998E-2</v>
      </c>
      <c r="E6" s="958">
        <v>9.0999999999999998E-2</v>
      </c>
      <c r="F6" s="959">
        <v>0.1</v>
      </c>
    </row>
    <row r="7" spans="1:6" ht="15" thickBot="1">
      <c r="A7" s="778" t="s">
        <v>211</v>
      </c>
      <c r="B7" s="782" t="s">
        <v>200</v>
      </c>
      <c r="C7" s="958">
        <v>8.5999999999999993E-2</v>
      </c>
      <c r="D7" s="958">
        <v>9.6000000000000002E-2</v>
      </c>
      <c r="E7" s="958">
        <v>7.5999999999999998E-2</v>
      </c>
      <c r="F7" s="959">
        <v>0.1</v>
      </c>
    </row>
    <row r="8" spans="1:6" ht="15" thickBot="1">
      <c r="A8" s="778" t="s">
        <v>211</v>
      </c>
      <c r="B8" s="772" t="s">
        <v>212</v>
      </c>
      <c r="C8" s="958">
        <v>9.9000000000000005E-2</v>
      </c>
      <c r="D8" s="958">
        <v>9.8000000000000004E-2</v>
      </c>
      <c r="E8" s="958">
        <v>9.8000000000000004E-2</v>
      </c>
      <c r="F8" s="959">
        <v>0.1</v>
      </c>
    </row>
    <row r="9" spans="1:6" ht="15" thickBot="1">
      <c r="A9" s="788" t="s">
        <v>211</v>
      </c>
      <c r="B9" s="783" t="s">
        <v>224</v>
      </c>
      <c r="C9" s="960">
        <v>0.05</v>
      </c>
      <c r="D9" s="968"/>
      <c r="E9" s="968"/>
      <c r="F9" s="969"/>
    </row>
    <row r="10" spans="1:6" ht="15" thickBot="1">
      <c r="A10" s="778" t="s">
        <v>268</v>
      </c>
      <c r="B10" s="779" t="s">
        <v>668</v>
      </c>
      <c r="C10" s="956">
        <v>8.8999999999999996E-2</v>
      </c>
      <c r="D10" s="956">
        <v>7.2999999999999995E-2</v>
      </c>
      <c r="E10" s="956">
        <v>8.2000000000000003E-2</v>
      </c>
      <c r="F10" s="957">
        <v>0.1</v>
      </c>
    </row>
    <row r="11" spans="1:6" ht="15" thickBot="1">
      <c r="A11" s="778" t="s">
        <v>268</v>
      </c>
      <c r="B11" s="782" t="s">
        <v>187</v>
      </c>
      <c r="C11" s="958">
        <v>8.8999999999999996E-2</v>
      </c>
      <c r="D11" s="958">
        <v>7.2999999999999995E-2</v>
      </c>
      <c r="E11" s="958">
        <v>8.2000000000000003E-2</v>
      </c>
      <c r="F11" s="959">
        <v>0.1</v>
      </c>
    </row>
    <row r="12" spans="1:6" ht="15" thickBot="1">
      <c r="A12" s="778" t="s">
        <v>268</v>
      </c>
      <c r="B12" s="782" t="s">
        <v>138</v>
      </c>
      <c r="C12" s="958">
        <v>6.0999999999999999E-2</v>
      </c>
      <c r="D12" s="958">
        <v>7.0999999999999994E-2</v>
      </c>
      <c r="E12" s="958">
        <v>9.6000000000000002E-2</v>
      </c>
      <c r="F12" s="959">
        <v>0.1</v>
      </c>
    </row>
    <row r="13" spans="1:6" ht="15" thickBot="1">
      <c r="A13" s="778" t="s">
        <v>268</v>
      </c>
      <c r="B13" s="782" t="s">
        <v>213</v>
      </c>
      <c r="C13" s="958">
        <v>6.9000000000000006E-2</v>
      </c>
      <c r="D13" s="958">
        <v>6.5000000000000002E-2</v>
      </c>
      <c r="E13" s="958">
        <v>6.6000000000000003E-2</v>
      </c>
      <c r="F13" s="959">
        <v>0.1</v>
      </c>
    </row>
    <row r="14" spans="1:6" ht="15" thickBot="1">
      <c r="A14" s="778" t="s">
        <v>268</v>
      </c>
      <c r="B14" s="782" t="s">
        <v>225</v>
      </c>
      <c r="C14" s="958">
        <v>0.1</v>
      </c>
      <c r="D14" s="958">
        <v>6.5000000000000002E-2</v>
      </c>
      <c r="E14" s="958">
        <v>7.0000000000000007E-2</v>
      </c>
      <c r="F14" s="959">
        <v>0.1</v>
      </c>
    </row>
    <row r="15" spans="1:6" ht="15" thickBot="1">
      <c r="A15" s="778" t="s">
        <v>268</v>
      </c>
      <c r="B15" s="782" t="s">
        <v>236</v>
      </c>
      <c r="C15" s="958">
        <v>9.8000000000000004E-2</v>
      </c>
      <c r="D15" s="958">
        <v>8.8999999999999996E-2</v>
      </c>
      <c r="E15" s="958">
        <v>8.8999999999999996E-2</v>
      </c>
      <c r="F15" s="959">
        <v>0.1</v>
      </c>
    </row>
    <row r="16" spans="1:6" ht="15" thickBot="1">
      <c r="A16" s="778" t="s">
        <v>268</v>
      </c>
      <c r="B16" s="782" t="s">
        <v>247</v>
      </c>
      <c r="C16" s="958">
        <v>7.0000000000000007E-2</v>
      </c>
      <c r="D16" s="958">
        <v>9.2999999999999999E-2</v>
      </c>
      <c r="E16" s="958">
        <v>9.6000000000000002E-2</v>
      </c>
      <c r="F16" s="959">
        <v>0.1</v>
      </c>
    </row>
    <row r="17" spans="1:6" ht="15" thickBot="1">
      <c r="A17" s="778" t="s">
        <v>268</v>
      </c>
      <c r="B17" s="782" t="s">
        <v>258</v>
      </c>
      <c r="C17" s="958">
        <v>9.5000000000000001E-2</v>
      </c>
      <c r="D17" s="958">
        <v>0.1</v>
      </c>
      <c r="E17" s="958">
        <v>0.1</v>
      </c>
      <c r="F17" s="970"/>
    </row>
    <row r="18" spans="1:6" ht="15" thickBot="1">
      <c r="A18" s="778" t="s">
        <v>268</v>
      </c>
      <c r="B18" s="782" t="s">
        <v>270</v>
      </c>
      <c r="C18" s="958">
        <v>7.3999999999999996E-2</v>
      </c>
      <c r="D18" s="958">
        <v>9.9000000000000005E-2</v>
      </c>
      <c r="E18" s="958">
        <v>0.1</v>
      </c>
      <c r="F18" s="970"/>
    </row>
    <row r="19" spans="1:6" ht="15" thickBot="1">
      <c r="A19" s="778" t="s">
        <v>268</v>
      </c>
      <c r="B19" s="782" t="s">
        <v>280</v>
      </c>
      <c r="C19" s="958">
        <v>9.9000000000000005E-2</v>
      </c>
      <c r="D19" s="958">
        <v>7.5999999999999998E-2</v>
      </c>
      <c r="E19" s="958">
        <v>8.6999999999999994E-2</v>
      </c>
      <c r="F19" s="970"/>
    </row>
    <row r="20" spans="1:6" ht="15" thickBot="1">
      <c r="A20" s="778" t="s">
        <v>268</v>
      </c>
      <c r="B20" s="782" t="s">
        <v>290</v>
      </c>
      <c r="C20" s="958">
        <v>9.8000000000000004E-2</v>
      </c>
      <c r="D20" s="958">
        <v>8.5000000000000006E-2</v>
      </c>
      <c r="E20" s="958">
        <v>8.2000000000000003E-2</v>
      </c>
      <c r="F20" s="970"/>
    </row>
    <row r="21" spans="1:6" ht="15" thickBot="1">
      <c r="A21" s="778" t="s">
        <v>268</v>
      </c>
      <c r="B21" s="782" t="s">
        <v>300</v>
      </c>
      <c r="C21" s="958">
        <v>6.6000000000000003E-2</v>
      </c>
      <c r="D21" s="958">
        <v>6.4000000000000001E-2</v>
      </c>
      <c r="E21" s="958">
        <v>6.5000000000000002E-2</v>
      </c>
      <c r="F21" s="970"/>
    </row>
    <row r="22" spans="1:6" ht="15" thickBot="1">
      <c r="A22" s="778" t="s">
        <v>268</v>
      </c>
      <c r="B22" s="782" t="s">
        <v>669</v>
      </c>
      <c r="C22" s="958">
        <v>0.08</v>
      </c>
      <c r="D22" s="958">
        <v>9.8000000000000004E-2</v>
      </c>
      <c r="E22" s="958">
        <v>9.8000000000000004E-2</v>
      </c>
      <c r="F22" s="970"/>
    </row>
    <row r="23" spans="1:6" ht="15" thickBot="1">
      <c r="A23" s="778" t="s">
        <v>268</v>
      </c>
      <c r="B23" s="782" t="s">
        <v>321</v>
      </c>
      <c r="C23" s="958">
        <v>9.9000000000000005E-2</v>
      </c>
      <c r="D23" s="958">
        <v>9.8000000000000004E-2</v>
      </c>
      <c r="E23" s="958">
        <v>9.0999999999999998E-2</v>
      </c>
      <c r="F23" s="970"/>
    </row>
    <row r="24" spans="1:6" ht="15" thickBot="1">
      <c r="A24" s="778" t="s">
        <v>268</v>
      </c>
      <c r="B24" s="782" t="s">
        <v>332</v>
      </c>
      <c r="C24" s="958">
        <v>8.8999999999999996E-2</v>
      </c>
      <c r="D24" s="958">
        <v>9.7000000000000003E-2</v>
      </c>
      <c r="E24" s="958">
        <v>7.0000000000000007E-2</v>
      </c>
      <c r="F24" s="970"/>
    </row>
    <row r="25" spans="1:6" ht="15" thickBot="1">
      <c r="A25" s="778" t="s">
        <v>268</v>
      </c>
      <c r="B25" s="782" t="s">
        <v>342</v>
      </c>
      <c r="C25" s="958">
        <v>8.8999999999999996E-2</v>
      </c>
      <c r="D25" s="958">
        <v>0.1</v>
      </c>
      <c r="E25" s="958">
        <v>8.1000000000000003E-2</v>
      </c>
      <c r="F25" s="970"/>
    </row>
    <row r="26" spans="1:6" ht="15" thickBot="1">
      <c r="A26" s="778" t="s">
        <v>268</v>
      </c>
      <c r="B26" s="782" t="s">
        <v>352</v>
      </c>
      <c r="C26" s="971"/>
      <c r="D26" s="958">
        <v>9.6000000000000002E-2</v>
      </c>
      <c r="E26" s="958">
        <v>9.2999999999999999E-2</v>
      </c>
      <c r="F26" s="970"/>
    </row>
    <row r="27" spans="1:6" ht="15" thickBot="1">
      <c r="A27" s="778" t="s">
        <v>268</v>
      </c>
      <c r="B27" s="782" t="s">
        <v>362</v>
      </c>
      <c r="C27" s="971"/>
      <c r="D27" s="958">
        <v>7.5999999999999998E-2</v>
      </c>
      <c r="E27" s="958">
        <v>9.1999999999999998E-2</v>
      </c>
      <c r="F27" s="970"/>
    </row>
    <row r="28" spans="1:6" ht="15" thickBot="1">
      <c r="A28" s="788" t="s">
        <v>268</v>
      </c>
      <c r="B28" s="783" t="s">
        <v>372</v>
      </c>
      <c r="C28" s="968"/>
      <c r="D28" s="960">
        <v>7.5999999999999998E-2</v>
      </c>
      <c r="E28" s="960">
        <v>9.1999999999999998E-2</v>
      </c>
      <c r="F28" s="969"/>
    </row>
    <row r="29" spans="1:6" ht="15" thickBot="1">
      <c r="A29" s="778" t="s">
        <v>441</v>
      </c>
      <c r="B29" s="779" t="s">
        <v>670</v>
      </c>
      <c r="C29" s="956">
        <v>6.4000000000000001E-2</v>
      </c>
      <c r="D29" s="956">
        <v>6.5000000000000002E-2</v>
      </c>
      <c r="E29" s="956">
        <v>6.9000000000000006E-2</v>
      </c>
      <c r="F29" s="957">
        <v>0.1</v>
      </c>
    </row>
    <row r="30" spans="1:6" ht="15" thickBot="1">
      <c r="A30" s="778" t="s">
        <v>441</v>
      </c>
      <c r="B30" s="782" t="s">
        <v>188</v>
      </c>
      <c r="C30" s="958">
        <v>6.4000000000000001E-2</v>
      </c>
      <c r="D30" s="958">
        <v>9.9000000000000005E-2</v>
      </c>
      <c r="E30" s="958">
        <v>0.1</v>
      </c>
      <c r="F30" s="959">
        <v>0.1</v>
      </c>
    </row>
    <row r="31" spans="1:6" ht="15" thickBot="1">
      <c r="A31" s="778" t="s">
        <v>441</v>
      </c>
      <c r="B31" s="782" t="s">
        <v>201</v>
      </c>
      <c r="C31" s="958">
        <v>0.1</v>
      </c>
      <c r="D31" s="958">
        <v>9.5000000000000001E-2</v>
      </c>
      <c r="E31" s="958">
        <v>8.8999999999999996E-2</v>
      </c>
      <c r="F31" s="959">
        <v>0.1</v>
      </c>
    </row>
    <row r="32" spans="1:6" ht="15" thickBot="1">
      <c r="A32" s="778" t="s">
        <v>441</v>
      </c>
      <c r="B32" s="782" t="s">
        <v>214</v>
      </c>
      <c r="C32" s="958">
        <v>0.05</v>
      </c>
      <c r="D32" s="958">
        <v>0.05</v>
      </c>
      <c r="E32" s="958">
        <v>8.7999999999999995E-2</v>
      </c>
      <c r="F32" s="959">
        <v>0.1</v>
      </c>
    </row>
    <row r="33" spans="1:6" ht="15" thickBot="1">
      <c r="A33" s="778" t="s">
        <v>441</v>
      </c>
      <c r="B33" s="782" t="s">
        <v>226</v>
      </c>
      <c r="C33" s="958">
        <v>7.4999999999999997E-2</v>
      </c>
      <c r="D33" s="958">
        <v>9.4E-2</v>
      </c>
      <c r="E33" s="958">
        <v>9.7000000000000003E-2</v>
      </c>
      <c r="F33" s="959">
        <v>0.1</v>
      </c>
    </row>
    <row r="34" spans="1:6" ht="15" thickBot="1">
      <c r="A34" s="778" t="s">
        <v>441</v>
      </c>
      <c r="B34" s="782" t="s">
        <v>237</v>
      </c>
      <c r="C34" s="958">
        <v>9.8000000000000004E-2</v>
      </c>
      <c r="D34" s="958">
        <v>8.5999999999999993E-2</v>
      </c>
      <c r="E34" s="958">
        <v>9.7000000000000003E-2</v>
      </c>
      <c r="F34" s="959">
        <v>0.1</v>
      </c>
    </row>
    <row r="35" spans="1:6" ht="15" thickBot="1">
      <c r="A35" s="778" t="s">
        <v>441</v>
      </c>
      <c r="B35" s="782" t="s">
        <v>248</v>
      </c>
      <c r="C35" s="958">
        <v>5.8999999999999997E-2</v>
      </c>
      <c r="D35" s="958">
        <v>6.5000000000000002E-2</v>
      </c>
      <c r="E35" s="958">
        <v>7.0000000000000007E-2</v>
      </c>
      <c r="F35" s="959">
        <v>0.1</v>
      </c>
    </row>
    <row r="36" spans="1:6" ht="15" thickBot="1">
      <c r="A36" s="778" t="s">
        <v>441</v>
      </c>
      <c r="B36" s="782" t="s">
        <v>259</v>
      </c>
      <c r="C36" s="958">
        <v>6.3E-2</v>
      </c>
      <c r="D36" s="958">
        <v>0.1</v>
      </c>
      <c r="E36" s="958">
        <v>0.1</v>
      </c>
      <c r="F36" s="959">
        <v>0.1</v>
      </c>
    </row>
    <row r="37" spans="1:6" ht="15" thickBot="1">
      <c r="A37" s="778" t="s">
        <v>441</v>
      </c>
      <c r="B37" s="782" t="s">
        <v>271</v>
      </c>
      <c r="C37" s="958">
        <v>7.3999999999999996E-2</v>
      </c>
      <c r="D37" s="958">
        <v>0.1</v>
      </c>
      <c r="E37" s="958">
        <v>0.1</v>
      </c>
      <c r="F37" s="959">
        <v>0.1</v>
      </c>
    </row>
    <row r="38" spans="1:6" ht="15" thickBot="1">
      <c r="A38" s="778" t="s">
        <v>441</v>
      </c>
      <c r="B38" s="782" t="s">
        <v>281</v>
      </c>
      <c r="C38" s="958">
        <v>0.1</v>
      </c>
      <c r="D38" s="958">
        <v>9.6000000000000002E-2</v>
      </c>
      <c r="E38" s="958">
        <v>9.6000000000000002E-2</v>
      </c>
      <c r="F38" s="970"/>
    </row>
    <row r="39" spans="1:6" ht="15" thickBot="1">
      <c r="A39" s="778" t="s">
        <v>441</v>
      </c>
      <c r="B39" s="782" t="s">
        <v>291</v>
      </c>
      <c r="C39" s="958">
        <v>0.1</v>
      </c>
      <c r="D39" s="958">
        <v>9.6000000000000002E-2</v>
      </c>
      <c r="E39" s="958">
        <v>9.6000000000000002E-2</v>
      </c>
      <c r="F39" s="970"/>
    </row>
    <row r="40" spans="1:6" ht="15" thickBot="1">
      <c r="A40" s="778" t="s">
        <v>441</v>
      </c>
      <c r="B40" s="782" t="s">
        <v>301</v>
      </c>
      <c r="C40" s="958">
        <v>9.6000000000000002E-2</v>
      </c>
      <c r="D40" s="958">
        <v>0.1</v>
      </c>
      <c r="E40" s="958">
        <v>9.9000000000000005E-2</v>
      </c>
      <c r="F40" s="970"/>
    </row>
    <row r="41" spans="1:6" ht="15" thickBot="1">
      <c r="A41" s="778" t="s">
        <v>441</v>
      </c>
      <c r="B41" s="782" t="s">
        <v>311</v>
      </c>
      <c r="C41" s="958">
        <v>9.6000000000000002E-2</v>
      </c>
      <c r="D41" s="958">
        <v>9.8000000000000004E-2</v>
      </c>
      <c r="E41" s="958">
        <v>9.8000000000000004E-2</v>
      </c>
      <c r="F41" s="970"/>
    </row>
    <row r="42" spans="1:6" ht="15" thickBot="1">
      <c r="A42" s="778" t="s">
        <v>441</v>
      </c>
      <c r="B42" s="782" t="s">
        <v>322</v>
      </c>
      <c r="C42" s="958">
        <v>0.1</v>
      </c>
      <c r="D42" s="958">
        <v>8.7999999999999995E-2</v>
      </c>
      <c r="E42" s="958">
        <v>0.1</v>
      </c>
      <c r="F42" s="970"/>
    </row>
    <row r="43" spans="1:6" ht="15" thickBot="1">
      <c r="A43" s="778" t="s">
        <v>441</v>
      </c>
      <c r="B43" s="782" t="s">
        <v>333</v>
      </c>
      <c r="C43" s="958">
        <v>9.8000000000000004E-2</v>
      </c>
      <c r="D43" s="958">
        <v>9.7000000000000003E-2</v>
      </c>
      <c r="E43" s="958">
        <v>9.6000000000000002E-2</v>
      </c>
      <c r="F43" s="970"/>
    </row>
    <row r="44" spans="1:6" ht="15" thickBot="1">
      <c r="A44" s="778" t="s">
        <v>441</v>
      </c>
      <c r="B44" s="782" t="s">
        <v>343</v>
      </c>
      <c r="C44" s="958">
        <v>8.5999999999999993E-2</v>
      </c>
      <c r="D44" s="958">
        <v>7.9000000000000001E-2</v>
      </c>
      <c r="E44" s="958">
        <v>7.0999999999999994E-2</v>
      </c>
      <c r="F44" s="970"/>
    </row>
    <row r="45" spans="1:6" ht="15" thickBot="1">
      <c r="A45" s="778" t="s">
        <v>441</v>
      </c>
      <c r="B45" s="782" t="s">
        <v>353</v>
      </c>
      <c r="C45" s="958">
        <v>9.8000000000000004E-2</v>
      </c>
      <c r="D45" s="958">
        <v>9.6000000000000002E-2</v>
      </c>
      <c r="E45" s="958">
        <v>9.6000000000000002E-2</v>
      </c>
      <c r="F45" s="970"/>
    </row>
    <row r="46" spans="1:6" ht="15" thickBot="1">
      <c r="A46" s="778" t="s">
        <v>441</v>
      </c>
      <c r="B46" s="782" t="s">
        <v>363</v>
      </c>
      <c r="C46" s="958">
        <v>8.5999999999999993E-2</v>
      </c>
      <c r="D46" s="958">
        <v>9.8000000000000004E-2</v>
      </c>
      <c r="E46" s="958">
        <v>8.7999999999999995E-2</v>
      </c>
      <c r="F46" s="970"/>
    </row>
    <row r="47" spans="1:6" ht="15" thickBot="1">
      <c r="A47" s="778" t="s">
        <v>441</v>
      </c>
      <c r="B47" s="782" t="s">
        <v>373</v>
      </c>
      <c r="C47" s="958">
        <v>9.6000000000000002E-2</v>
      </c>
      <c r="D47" s="971"/>
      <c r="E47" s="958">
        <v>6.9000000000000006E-2</v>
      </c>
      <c r="F47" s="970"/>
    </row>
    <row r="48" spans="1:6" ht="15" thickBot="1">
      <c r="A48" s="788" t="s">
        <v>441</v>
      </c>
      <c r="B48" s="783" t="s">
        <v>382</v>
      </c>
      <c r="C48" s="960">
        <v>9.8000000000000004E-2</v>
      </c>
      <c r="D48" s="968"/>
      <c r="E48" s="960">
        <v>9.5000000000000001E-2</v>
      </c>
      <c r="F48" s="969"/>
    </row>
    <row r="49" spans="1:6" ht="15" thickBot="1">
      <c r="A49" s="778" t="s">
        <v>137</v>
      </c>
      <c r="B49" s="779" t="s">
        <v>671</v>
      </c>
      <c r="C49" s="956">
        <v>9.7000000000000003E-2</v>
      </c>
      <c r="D49" s="956">
        <v>9.5000000000000001E-2</v>
      </c>
      <c r="E49" s="956">
        <v>9.7000000000000003E-2</v>
      </c>
      <c r="F49" s="957">
        <v>0.1</v>
      </c>
    </row>
    <row r="50" spans="1:6" ht="15" thickBot="1">
      <c r="A50" s="778" t="s">
        <v>137</v>
      </c>
      <c r="B50" s="772" t="s">
        <v>189</v>
      </c>
      <c r="C50" s="958">
        <v>7.4999999999999997E-2</v>
      </c>
      <c r="D50" s="958">
        <v>9.5000000000000001E-2</v>
      </c>
      <c r="E50" s="958">
        <v>0.1</v>
      </c>
      <c r="F50" s="959">
        <v>0.1</v>
      </c>
    </row>
    <row r="51" spans="1:6" ht="15" thickBot="1">
      <c r="A51" s="778" t="s">
        <v>137</v>
      </c>
      <c r="B51" s="772" t="s">
        <v>202</v>
      </c>
      <c r="C51" s="958">
        <v>9.8000000000000004E-2</v>
      </c>
      <c r="D51" s="958">
        <v>8.8999999999999996E-2</v>
      </c>
      <c r="E51" s="958">
        <v>0.1</v>
      </c>
      <c r="F51" s="959">
        <v>0.1</v>
      </c>
    </row>
    <row r="52" spans="1:6" ht="15" thickBot="1">
      <c r="A52" s="778" t="s">
        <v>137</v>
      </c>
      <c r="B52" s="772" t="s">
        <v>215</v>
      </c>
      <c r="C52" s="958">
        <v>9.8000000000000004E-2</v>
      </c>
      <c r="D52" s="958">
        <v>9.7000000000000003E-2</v>
      </c>
      <c r="E52" s="958">
        <v>8.1000000000000003E-2</v>
      </c>
      <c r="F52" s="959">
        <v>0.1</v>
      </c>
    </row>
    <row r="53" spans="1:6" ht="15" thickBot="1">
      <c r="A53" s="778" t="s">
        <v>137</v>
      </c>
      <c r="B53" s="772" t="s">
        <v>227</v>
      </c>
      <c r="C53" s="958">
        <v>9.7000000000000003E-2</v>
      </c>
      <c r="D53" s="958">
        <v>7.5999999999999998E-2</v>
      </c>
      <c r="E53" s="958">
        <v>7.0999999999999994E-2</v>
      </c>
      <c r="F53" s="959">
        <v>0.1</v>
      </c>
    </row>
    <row r="54" spans="1:6" ht="15" thickBot="1">
      <c r="A54" s="778" t="s">
        <v>137</v>
      </c>
      <c r="B54" s="772" t="s">
        <v>238</v>
      </c>
      <c r="C54" s="958">
        <v>7.5999999999999998E-2</v>
      </c>
      <c r="D54" s="958">
        <v>0.1</v>
      </c>
      <c r="E54" s="958">
        <v>9.9000000000000005E-2</v>
      </c>
      <c r="F54" s="959">
        <v>0.1</v>
      </c>
    </row>
    <row r="55" spans="1:6" ht="15" thickBot="1">
      <c r="A55" s="778" t="s">
        <v>137</v>
      </c>
      <c r="B55" s="772" t="s">
        <v>249</v>
      </c>
      <c r="C55" s="958">
        <v>0.1</v>
      </c>
      <c r="D55" s="958">
        <v>0.1</v>
      </c>
      <c r="E55" s="958">
        <v>9.6000000000000002E-2</v>
      </c>
      <c r="F55" s="959">
        <v>0.1</v>
      </c>
    </row>
    <row r="56" spans="1:6" ht="15" thickBot="1">
      <c r="A56" s="778" t="s">
        <v>137</v>
      </c>
      <c r="B56" s="772" t="s">
        <v>260</v>
      </c>
      <c r="C56" s="958">
        <v>0.1</v>
      </c>
      <c r="D56" s="958">
        <v>9.6000000000000002E-2</v>
      </c>
      <c r="E56" s="958">
        <v>5.1999999999999998E-2</v>
      </c>
      <c r="F56" s="959">
        <v>0.1</v>
      </c>
    </row>
    <row r="57" spans="1:6" ht="15" thickBot="1">
      <c r="A57" s="778" t="s">
        <v>137</v>
      </c>
      <c r="B57" s="772" t="s">
        <v>272</v>
      </c>
      <c r="C57" s="958">
        <v>9.7000000000000003E-2</v>
      </c>
      <c r="D57" s="958">
        <v>9.6000000000000002E-2</v>
      </c>
      <c r="E57" s="958">
        <v>9.6000000000000002E-2</v>
      </c>
      <c r="F57" s="959">
        <v>0.1</v>
      </c>
    </row>
    <row r="58" spans="1:6" ht="15" thickBot="1">
      <c r="A58" s="778" t="s">
        <v>137</v>
      </c>
      <c r="B58" s="772" t="s">
        <v>282</v>
      </c>
      <c r="C58" s="958">
        <v>9.6000000000000002E-2</v>
      </c>
      <c r="D58" s="958">
        <v>9.9000000000000005E-2</v>
      </c>
      <c r="E58" s="958">
        <v>9.6000000000000002E-2</v>
      </c>
      <c r="F58" s="959">
        <v>0.1</v>
      </c>
    </row>
    <row r="59" spans="1:6" ht="15" thickBot="1">
      <c r="A59" s="778" t="s">
        <v>137</v>
      </c>
      <c r="B59" s="772" t="s">
        <v>292</v>
      </c>
      <c r="C59" s="958">
        <v>7.1999999999999995E-2</v>
      </c>
      <c r="D59" s="958">
        <v>9.6000000000000002E-2</v>
      </c>
      <c r="E59" s="958">
        <v>7.0999999999999994E-2</v>
      </c>
      <c r="F59" s="959">
        <v>0.1</v>
      </c>
    </row>
    <row r="60" spans="1:6" ht="15" thickBot="1">
      <c r="A60" s="778" t="s">
        <v>137</v>
      </c>
      <c r="B60" s="772" t="s">
        <v>302</v>
      </c>
      <c r="C60" s="958">
        <v>9.6000000000000002E-2</v>
      </c>
      <c r="D60" s="958">
        <v>8.8999999999999996E-2</v>
      </c>
      <c r="E60" s="958">
        <v>9.6000000000000002E-2</v>
      </c>
      <c r="F60" s="959">
        <v>0.1</v>
      </c>
    </row>
    <row r="61" spans="1:6" ht="15" thickBot="1">
      <c r="A61" s="778" t="s">
        <v>137</v>
      </c>
      <c r="B61" s="772" t="s">
        <v>312</v>
      </c>
      <c r="C61" s="958">
        <v>8.8999999999999996E-2</v>
      </c>
      <c r="D61" s="958">
        <v>9.8000000000000004E-2</v>
      </c>
      <c r="E61" s="958">
        <v>8.7999999999999995E-2</v>
      </c>
      <c r="F61" s="970"/>
    </row>
    <row r="62" spans="1:6" ht="15" thickBot="1">
      <c r="A62" s="778" t="s">
        <v>137</v>
      </c>
      <c r="B62" s="772" t="s">
        <v>323</v>
      </c>
      <c r="C62" s="958">
        <v>9.8000000000000004E-2</v>
      </c>
      <c r="D62" s="958">
        <v>9.2999999999999999E-2</v>
      </c>
      <c r="E62" s="958">
        <v>9.7000000000000003E-2</v>
      </c>
      <c r="F62" s="970"/>
    </row>
    <row r="63" spans="1:6" ht="15" thickBot="1">
      <c r="A63" s="778" t="s">
        <v>137</v>
      </c>
      <c r="B63" s="772" t="s">
        <v>334</v>
      </c>
      <c r="C63" s="958">
        <v>9.6000000000000002E-2</v>
      </c>
      <c r="D63" s="958">
        <v>9.8000000000000004E-2</v>
      </c>
      <c r="E63" s="958">
        <v>0.09</v>
      </c>
      <c r="F63" s="970"/>
    </row>
    <row r="64" spans="1:6" ht="15" thickBot="1">
      <c r="A64" s="778" t="s">
        <v>137</v>
      </c>
      <c r="B64" s="772" t="s">
        <v>344</v>
      </c>
      <c r="C64" s="958">
        <v>9.9000000000000005E-2</v>
      </c>
      <c r="D64" s="958">
        <v>9.7000000000000003E-2</v>
      </c>
      <c r="E64" s="958">
        <v>9.9000000000000005E-2</v>
      </c>
      <c r="F64" s="970"/>
    </row>
    <row r="65" spans="1:6" ht="15" thickBot="1">
      <c r="A65" s="778" t="s">
        <v>137</v>
      </c>
      <c r="B65" s="772" t="s">
        <v>354</v>
      </c>
      <c r="C65" s="958">
        <v>9.8000000000000004E-2</v>
      </c>
      <c r="D65" s="958">
        <v>9.6000000000000002E-2</v>
      </c>
      <c r="E65" s="958">
        <v>9.6000000000000002E-2</v>
      </c>
      <c r="F65" s="970"/>
    </row>
    <row r="66" spans="1:6" ht="15" thickBot="1">
      <c r="A66" s="778" t="s">
        <v>137</v>
      </c>
      <c r="B66" s="772" t="s">
        <v>364</v>
      </c>
      <c r="C66" s="958">
        <v>9.6000000000000002E-2</v>
      </c>
      <c r="D66" s="958">
        <v>9.1999999999999998E-2</v>
      </c>
      <c r="E66" s="958">
        <v>9.6000000000000002E-2</v>
      </c>
      <c r="F66" s="970"/>
    </row>
    <row r="67" spans="1:6" ht="15" thickBot="1">
      <c r="A67" s="778" t="s">
        <v>137</v>
      </c>
      <c r="B67" s="772" t="s">
        <v>374</v>
      </c>
      <c r="C67" s="958">
        <v>9.4E-2</v>
      </c>
      <c r="D67" s="958">
        <v>0.1</v>
      </c>
      <c r="E67" s="958">
        <v>8.7999999999999995E-2</v>
      </c>
      <c r="F67" s="970"/>
    </row>
    <row r="68" spans="1:6" ht="15" thickBot="1">
      <c r="A68" s="778" t="s">
        <v>137</v>
      </c>
      <c r="B68" s="772" t="s">
        <v>383</v>
      </c>
      <c r="C68" s="958">
        <v>0.1</v>
      </c>
      <c r="D68" s="958">
        <v>8.7999999999999995E-2</v>
      </c>
      <c r="E68" s="958">
        <v>9.7000000000000003E-2</v>
      </c>
      <c r="F68" s="970"/>
    </row>
    <row r="69" spans="1:6" ht="15" thickBot="1">
      <c r="A69" s="778" t="s">
        <v>137</v>
      </c>
      <c r="B69" s="772" t="s">
        <v>392</v>
      </c>
      <c r="C69" s="958">
        <v>6.4000000000000001E-2</v>
      </c>
      <c r="D69" s="958">
        <v>0.1</v>
      </c>
      <c r="E69" s="958">
        <v>0.1</v>
      </c>
      <c r="F69" s="970"/>
    </row>
    <row r="70" spans="1:6" ht="15" thickBot="1">
      <c r="A70" s="778" t="s">
        <v>137</v>
      </c>
      <c r="B70" s="772" t="s">
        <v>400</v>
      </c>
      <c r="C70" s="958">
        <v>9.0999999999999998E-2</v>
      </c>
      <c r="D70" s="971"/>
      <c r="E70" s="971"/>
      <c r="F70" s="970"/>
    </row>
    <row r="71" spans="1:6" ht="15" thickBot="1">
      <c r="A71" s="778" t="s">
        <v>137</v>
      </c>
      <c r="B71" s="772" t="s">
        <v>407</v>
      </c>
      <c r="C71" s="958">
        <v>0.1</v>
      </c>
      <c r="D71" s="971"/>
      <c r="E71" s="971"/>
      <c r="F71" s="970"/>
    </row>
    <row r="72" spans="1:6" ht="24.75" thickBot="1">
      <c r="A72" s="778" t="s">
        <v>137</v>
      </c>
      <c r="B72" s="772" t="s">
        <v>672</v>
      </c>
      <c r="C72" s="971"/>
      <c r="D72" s="971"/>
      <c r="E72" s="971"/>
      <c r="F72" s="959">
        <v>0.05</v>
      </c>
    </row>
    <row r="73" spans="1:6" ht="24.75" thickBot="1">
      <c r="A73" s="778" t="s">
        <v>137</v>
      </c>
      <c r="B73" s="772" t="s">
        <v>673</v>
      </c>
      <c r="C73" s="971"/>
      <c r="D73" s="971"/>
      <c r="E73" s="971"/>
      <c r="F73" s="959">
        <v>0.05</v>
      </c>
    </row>
    <row r="74" spans="1:6" ht="24.75" thickBot="1">
      <c r="A74" s="778" t="s">
        <v>137</v>
      </c>
      <c r="B74" s="772" t="s">
        <v>674</v>
      </c>
      <c r="C74" s="971"/>
      <c r="D74" s="971"/>
      <c r="E74" s="971"/>
      <c r="F74" s="959">
        <v>0.05</v>
      </c>
    </row>
    <row r="75" spans="1:6" ht="24.75" thickBot="1">
      <c r="A75" s="788" t="s">
        <v>137</v>
      </c>
      <c r="B75" s="784" t="s">
        <v>675</v>
      </c>
      <c r="C75" s="968"/>
      <c r="D75" s="968"/>
      <c r="E75" s="968"/>
      <c r="F75" s="961">
        <v>0.05</v>
      </c>
    </row>
    <row r="76" spans="1:6" ht="15" thickBot="1">
      <c r="A76" s="778" t="s">
        <v>522</v>
      </c>
      <c r="B76" s="779" t="s">
        <v>676</v>
      </c>
      <c r="C76" s="956">
        <v>0.1</v>
      </c>
      <c r="D76" s="956">
        <v>0.1</v>
      </c>
      <c r="E76" s="956">
        <v>0.1</v>
      </c>
      <c r="F76" s="957">
        <v>0.1</v>
      </c>
    </row>
    <row r="77" spans="1:6" ht="15" thickBot="1">
      <c r="A77" s="778" t="s">
        <v>522</v>
      </c>
      <c r="B77" s="772" t="s">
        <v>190</v>
      </c>
      <c r="C77" s="958">
        <v>8.7999999999999995E-2</v>
      </c>
      <c r="D77" s="958">
        <v>8.6999999999999994E-2</v>
      </c>
      <c r="E77" s="958">
        <v>7.9000000000000001E-2</v>
      </c>
      <c r="F77" s="959">
        <v>0.1</v>
      </c>
    </row>
    <row r="78" spans="1:6" ht="15" thickBot="1">
      <c r="A78" s="778" t="s">
        <v>522</v>
      </c>
      <c r="B78" s="772" t="s">
        <v>203</v>
      </c>
      <c r="C78" s="958">
        <v>8.6999999999999994E-2</v>
      </c>
      <c r="D78" s="958">
        <v>8.4000000000000005E-2</v>
      </c>
      <c r="E78" s="958">
        <v>9.6000000000000002E-2</v>
      </c>
      <c r="F78" s="959">
        <v>0.1</v>
      </c>
    </row>
    <row r="79" spans="1:6" ht="15" thickBot="1">
      <c r="A79" s="778" t="s">
        <v>522</v>
      </c>
      <c r="B79" s="772" t="s">
        <v>216</v>
      </c>
      <c r="C79" s="958">
        <v>9.8000000000000004E-2</v>
      </c>
      <c r="D79" s="958">
        <v>9.8000000000000004E-2</v>
      </c>
      <c r="E79" s="958">
        <v>9.0999999999999998E-2</v>
      </c>
      <c r="F79" s="959">
        <v>0.1</v>
      </c>
    </row>
    <row r="80" spans="1:6" ht="15" thickBot="1">
      <c r="A80" s="778" t="s">
        <v>522</v>
      </c>
      <c r="B80" s="772" t="s">
        <v>228</v>
      </c>
      <c r="C80" s="958">
        <v>9.6000000000000002E-2</v>
      </c>
      <c r="D80" s="958">
        <v>9.6000000000000002E-2</v>
      </c>
      <c r="E80" s="958">
        <v>0.1</v>
      </c>
      <c r="F80" s="959">
        <v>0.1</v>
      </c>
    </row>
    <row r="81" spans="1:6" ht="15" thickBot="1">
      <c r="A81" s="778" t="s">
        <v>522</v>
      </c>
      <c r="B81" s="772" t="s">
        <v>239</v>
      </c>
      <c r="C81" s="958">
        <v>9.9000000000000005E-2</v>
      </c>
      <c r="D81" s="958">
        <v>9.9000000000000005E-2</v>
      </c>
      <c r="E81" s="958">
        <v>9.8000000000000004E-2</v>
      </c>
      <c r="F81" s="959">
        <v>0.1</v>
      </c>
    </row>
    <row r="82" spans="1:6" ht="15" thickBot="1">
      <c r="A82" s="778" t="s">
        <v>522</v>
      </c>
      <c r="B82" s="772" t="s">
        <v>250</v>
      </c>
      <c r="C82" s="958">
        <v>9.9000000000000005E-2</v>
      </c>
      <c r="D82" s="958">
        <v>9.9000000000000005E-2</v>
      </c>
      <c r="E82" s="958">
        <v>9.7000000000000003E-2</v>
      </c>
      <c r="F82" s="959">
        <v>0.1</v>
      </c>
    </row>
    <row r="83" spans="1:6" ht="15" thickBot="1">
      <c r="A83" s="778" t="s">
        <v>522</v>
      </c>
      <c r="B83" s="772" t="s">
        <v>261</v>
      </c>
      <c r="C83" s="958">
        <v>9.8000000000000004E-2</v>
      </c>
      <c r="D83" s="958">
        <v>9.8000000000000004E-2</v>
      </c>
      <c r="E83" s="958">
        <v>9.8000000000000004E-2</v>
      </c>
      <c r="F83" s="959">
        <v>0.1</v>
      </c>
    </row>
    <row r="84" spans="1:6" ht="15" thickBot="1">
      <c r="A84" s="778" t="s">
        <v>522</v>
      </c>
      <c r="B84" s="772" t="s">
        <v>273</v>
      </c>
      <c r="C84" s="958">
        <v>9.9000000000000005E-2</v>
      </c>
      <c r="D84" s="958">
        <v>9.9000000000000005E-2</v>
      </c>
      <c r="E84" s="958">
        <v>9.9000000000000005E-2</v>
      </c>
      <c r="F84" s="959">
        <v>0.1</v>
      </c>
    </row>
    <row r="85" spans="1:6" ht="15" thickBot="1">
      <c r="A85" s="778" t="s">
        <v>522</v>
      </c>
      <c r="B85" s="772" t="s">
        <v>283</v>
      </c>
      <c r="C85" s="958">
        <v>9.9000000000000005E-2</v>
      </c>
      <c r="D85" s="958">
        <v>9.9000000000000005E-2</v>
      </c>
      <c r="E85" s="958">
        <v>9.9000000000000005E-2</v>
      </c>
      <c r="F85" s="959">
        <v>0.1</v>
      </c>
    </row>
    <row r="86" spans="1:6" ht="15" thickBot="1">
      <c r="A86" s="778" t="s">
        <v>522</v>
      </c>
      <c r="B86" s="772" t="s">
        <v>293</v>
      </c>
      <c r="C86" s="958">
        <v>0.1</v>
      </c>
      <c r="D86" s="958">
        <v>0.1</v>
      </c>
      <c r="E86" s="958">
        <v>7.6999999999999999E-2</v>
      </c>
      <c r="F86" s="959">
        <v>0.1</v>
      </c>
    </row>
    <row r="87" spans="1:6" ht="15" thickBot="1">
      <c r="A87" s="778" t="s">
        <v>522</v>
      </c>
      <c r="B87" s="772" t="s">
        <v>303</v>
      </c>
      <c r="C87" s="958">
        <v>0.1</v>
      </c>
      <c r="D87" s="958">
        <v>0.1</v>
      </c>
      <c r="E87" s="958">
        <v>9.8000000000000004E-2</v>
      </c>
      <c r="F87" s="970"/>
    </row>
    <row r="88" spans="1:6" ht="15" thickBot="1">
      <c r="A88" s="778" t="s">
        <v>522</v>
      </c>
      <c r="B88" s="772" t="s">
        <v>313</v>
      </c>
      <c r="C88" s="958">
        <v>9.1999999999999998E-2</v>
      </c>
      <c r="D88" s="958">
        <v>8.5000000000000006E-2</v>
      </c>
      <c r="E88" s="958">
        <v>9.6000000000000002E-2</v>
      </c>
      <c r="F88" s="970"/>
    </row>
    <row r="89" spans="1:6" ht="15" thickBot="1">
      <c r="A89" s="778" t="s">
        <v>522</v>
      </c>
      <c r="B89" s="772" t="s">
        <v>324</v>
      </c>
      <c r="C89" s="958">
        <v>0.1</v>
      </c>
      <c r="D89" s="958">
        <v>0.1</v>
      </c>
      <c r="E89" s="958">
        <v>9.7000000000000003E-2</v>
      </c>
      <c r="F89" s="970"/>
    </row>
    <row r="90" spans="1:6" ht="15" thickBot="1">
      <c r="A90" s="778" t="s">
        <v>522</v>
      </c>
      <c r="B90" s="772" t="s">
        <v>335</v>
      </c>
      <c r="C90" s="958">
        <v>9.8000000000000004E-2</v>
      </c>
      <c r="D90" s="958">
        <v>9.8000000000000004E-2</v>
      </c>
      <c r="E90" s="958">
        <v>8.7999999999999995E-2</v>
      </c>
      <c r="F90" s="970"/>
    </row>
    <row r="91" spans="1:6" ht="15" thickBot="1">
      <c r="A91" s="778" t="s">
        <v>522</v>
      </c>
      <c r="B91" s="772" t="s">
        <v>345</v>
      </c>
      <c r="C91" s="958">
        <v>9.9000000000000005E-2</v>
      </c>
      <c r="D91" s="958">
        <v>9.9000000000000005E-2</v>
      </c>
      <c r="E91" s="958">
        <v>9.0999999999999998E-2</v>
      </c>
      <c r="F91" s="970"/>
    </row>
    <row r="92" spans="1:6" ht="15" thickBot="1">
      <c r="A92" s="778" t="s">
        <v>522</v>
      </c>
      <c r="B92" s="772" t="s">
        <v>355</v>
      </c>
      <c r="C92" s="958">
        <v>9.6000000000000002E-2</v>
      </c>
      <c r="D92" s="958">
        <v>9.6000000000000002E-2</v>
      </c>
      <c r="E92" s="958">
        <v>7.2999999999999995E-2</v>
      </c>
      <c r="F92" s="970"/>
    </row>
    <row r="93" spans="1:6" ht="15" thickBot="1">
      <c r="A93" s="778" t="s">
        <v>522</v>
      </c>
      <c r="B93" s="772" t="s">
        <v>365</v>
      </c>
      <c r="C93" s="958">
        <v>9.6000000000000002E-2</v>
      </c>
      <c r="D93" s="958">
        <v>9.6000000000000002E-2</v>
      </c>
      <c r="E93" s="958">
        <v>9.9000000000000005E-2</v>
      </c>
      <c r="F93" s="970"/>
    </row>
    <row r="94" spans="1:6" ht="15" thickBot="1">
      <c r="A94" s="778" t="s">
        <v>522</v>
      </c>
      <c r="B94" s="772" t="s">
        <v>375</v>
      </c>
      <c r="C94" s="958">
        <v>7.5999999999999998E-2</v>
      </c>
      <c r="D94" s="958">
        <v>7.3999999999999996E-2</v>
      </c>
      <c r="E94" s="958">
        <v>9.7000000000000003E-2</v>
      </c>
      <c r="F94" s="970"/>
    </row>
    <row r="95" spans="1:6" ht="15" thickBot="1">
      <c r="A95" s="778" t="s">
        <v>522</v>
      </c>
      <c r="B95" s="772" t="s">
        <v>384</v>
      </c>
      <c r="C95" s="958">
        <v>9.9000000000000005E-2</v>
      </c>
      <c r="D95" s="958">
        <v>9.4E-2</v>
      </c>
      <c r="E95" s="958">
        <v>9.6000000000000002E-2</v>
      </c>
      <c r="F95" s="970"/>
    </row>
    <row r="96" spans="1:6" ht="15" thickBot="1">
      <c r="A96" s="778" t="s">
        <v>522</v>
      </c>
      <c r="B96" s="772" t="s">
        <v>393</v>
      </c>
      <c r="C96" s="958">
        <v>9.9000000000000005E-2</v>
      </c>
      <c r="D96" s="958">
        <v>9.9000000000000005E-2</v>
      </c>
      <c r="E96" s="958">
        <v>9.9000000000000005E-2</v>
      </c>
      <c r="F96" s="970"/>
    </row>
    <row r="97" spans="1:6" ht="15" thickBot="1">
      <c r="A97" s="778" t="s">
        <v>522</v>
      </c>
      <c r="B97" s="772" t="s">
        <v>401</v>
      </c>
      <c r="C97" s="958">
        <v>9.8000000000000004E-2</v>
      </c>
      <c r="D97" s="958">
        <v>9.8000000000000004E-2</v>
      </c>
      <c r="E97" s="958">
        <v>9.7000000000000003E-2</v>
      </c>
      <c r="F97" s="970"/>
    </row>
    <row r="98" spans="1:6" ht="15" thickBot="1">
      <c r="A98" s="778" t="s">
        <v>522</v>
      </c>
      <c r="B98" s="772" t="s">
        <v>408</v>
      </c>
      <c r="C98" s="958">
        <v>0.1</v>
      </c>
      <c r="D98" s="958">
        <v>0.1</v>
      </c>
      <c r="E98" s="958">
        <v>9.7000000000000003E-2</v>
      </c>
      <c r="F98" s="970"/>
    </row>
    <row r="99" spans="1:6" ht="15" thickBot="1">
      <c r="A99" s="778" t="s">
        <v>522</v>
      </c>
      <c r="B99" s="772" t="s">
        <v>415</v>
      </c>
      <c r="C99" s="958">
        <v>0.1</v>
      </c>
      <c r="D99" s="958">
        <v>0.1</v>
      </c>
      <c r="E99" s="971"/>
      <c r="F99" s="970"/>
    </row>
    <row r="100" spans="1:6" ht="15" thickBot="1">
      <c r="A100" s="778" t="s">
        <v>522</v>
      </c>
      <c r="B100" s="772" t="s">
        <v>422</v>
      </c>
      <c r="C100" s="958">
        <v>0.09</v>
      </c>
      <c r="D100" s="958">
        <v>8.8999999999999996E-2</v>
      </c>
      <c r="E100" s="971"/>
      <c r="F100" s="970"/>
    </row>
    <row r="101" spans="1:6" ht="15" thickBot="1">
      <c r="A101" s="778" t="s">
        <v>522</v>
      </c>
      <c r="B101" s="772" t="s">
        <v>429</v>
      </c>
      <c r="C101" s="958">
        <v>9.8000000000000004E-2</v>
      </c>
      <c r="D101" s="958">
        <v>9.7000000000000003E-2</v>
      </c>
      <c r="E101" s="971"/>
      <c r="F101" s="970"/>
    </row>
    <row r="102" spans="1:6" ht="24.7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5" thickBot="1">
      <c r="A104" s="778" t="s">
        <v>522</v>
      </c>
      <c r="B104" s="772" t="s">
        <v>679</v>
      </c>
      <c r="C104" s="971"/>
      <c r="D104" s="971"/>
      <c r="E104" s="971"/>
      <c r="F104" s="959">
        <v>0.05</v>
      </c>
    </row>
    <row r="105" spans="1:6" ht="15" thickBot="1">
      <c r="A105" s="778" t="s">
        <v>522</v>
      </c>
      <c r="B105" s="772" t="s">
        <v>680</v>
      </c>
      <c r="C105" s="971"/>
      <c r="D105" s="971"/>
      <c r="E105" s="971"/>
      <c r="F105" s="959">
        <v>0.05</v>
      </c>
    </row>
    <row r="106" spans="1:6" ht="1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5" thickBot="1">
      <c r="A110" s="778" t="s">
        <v>56</v>
      </c>
      <c r="B110" s="779" t="s">
        <v>685</v>
      </c>
      <c r="C110" s="956">
        <v>0.129</v>
      </c>
      <c r="D110" s="956">
        <v>0.129</v>
      </c>
      <c r="E110" s="956">
        <v>0.126</v>
      </c>
      <c r="F110" s="957">
        <v>0.13</v>
      </c>
    </row>
    <row r="111" spans="1:6" ht="15" thickBot="1">
      <c r="A111" s="778" t="s">
        <v>56</v>
      </c>
      <c r="B111" s="772" t="s">
        <v>191</v>
      </c>
      <c r="C111" s="958">
        <v>0.11</v>
      </c>
      <c r="D111" s="958">
        <v>0.11</v>
      </c>
      <c r="E111" s="958">
        <v>9.9000000000000005E-2</v>
      </c>
      <c r="F111" s="959">
        <v>0.128</v>
      </c>
    </row>
    <row r="112" spans="1:6" ht="15" thickBot="1">
      <c r="A112" s="778" t="s">
        <v>56</v>
      </c>
      <c r="B112" s="772" t="s">
        <v>204</v>
      </c>
      <c r="C112" s="958">
        <v>0.125</v>
      </c>
      <c r="D112" s="958">
        <v>0.125</v>
      </c>
      <c r="E112" s="958">
        <v>0.12</v>
      </c>
      <c r="F112" s="959">
        <v>0.125</v>
      </c>
    </row>
    <row r="113" spans="1:6" ht="15" thickBot="1">
      <c r="A113" s="778" t="s">
        <v>56</v>
      </c>
      <c r="B113" s="772" t="s">
        <v>217</v>
      </c>
      <c r="C113" s="958">
        <v>0.13</v>
      </c>
      <c r="D113" s="958">
        <v>0.13</v>
      </c>
      <c r="E113" s="958">
        <v>0.13</v>
      </c>
      <c r="F113" s="959">
        <v>0.13</v>
      </c>
    </row>
    <row r="114" spans="1:6" ht="15" thickBot="1">
      <c r="A114" s="778" t="s">
        <v>56</v>
      </c>
      <c r="B114" s="772" t="s">
        <v>229</v>
      </c>
      <c r="C114" s="958">
        <v>0.123</v>
      </c>
      <c r="D114" s="958">
        <v>0.123</v>
      </c>
      <c r="E114" s="958">
        <v>0.12</v>
      </c>
      <c r="F114" s="959">
        <v>0.13</v>
      </c>
    </row>
    <row r="115" spans="1:6" ht="15" thickBot="1">
      <c r="A115" s="778" t="s">
        <v>56</v>
      </c>
      <c r="B115" s="772" t="s">
        <v>240</v>
      </c>
      <c r="C115" s="958">
        <v>0.125</v>
      </c>
      <c r="D115" s="958">
        <v>0.125</v>
      </c>
      <c r="E115" s="958">
        <v>0.11700000000000001</v>
      </c>
      <c r="F115" s="959">
        <v>0.13</v>
      </c>
    </row>
    <row r="116" spans="1:6" ht="15" thickBot="1">
      <c r="A116" s="778" t="s">
        <v>56</v>
      </c>
      <c r="B116" s="772" t="s">
        <v>251</v>
      </c>
      <c r="C116" s="958">
        <v>0.11700000000000001</v>
      </c>
      <c r="D116" s="958">
        <v>0.11700000000000001</v>
      </c>
      <c r="E116" s="958">
        <v>8.7999999999999995E-2</v>
      </c>
      <c r="F116" s="959">
        <v>0.13</v>
      </c>
    </row>
    <row r="117" spans="1:6" ht="15" thickBot="1">
      <c r="A117" s="778" t="s">
        <v>56</v>
      </c>
      <c r="B117" s="772" t="s">
        <v>262</v>
      </c>
      <c r="C117" s="958">
        <v>0.13</v>
      </c>
      <c r="D117" s="958">
        <v>0.13</v>
      </c>
      <c r="E117" s="958">
        <v>0.129</v>
      </c>
      <c r="F117" s="959">
        <v>0.13</v>
      </c>
    </row>
    <row r="118" spans="1:6" ht="15" thickBot="1">
      <c r="A118" s="778" t="s">
        <v>56</v>
      </c>
      <c r="B118" s="772" t="s">
        <v>274</v>
      </c>
      <c r="C118" s="958">
        <v>0.123</v>
      </c>
      <c r="D118" s="958">
        <v>0.123</v>
      </c>
      <c r="E118" s="958">
        <v>0.11600000000000001</v>
      </c>
      <c r="F118" s="959">
        <v>0.13</v>
      </c>
    </row>
    <row r="119" spans="1:6" ht="15" thickBot="1">
      <c r="A119" s="778" t="s">
        <v>56</v>
      </c>
      <c r="B119" s="772" t="s">
        <v>284</v>
      </c>
      <c r="C119" s="958">
        <v>0.127</v>
      </c>
      <c r="D119" s="958">
        <v>0.127</v>
      </c>
      <c r="E119" s="958">
        <v>0.124</v>
      </c>
      <c r="F119" s="959">
        <v>0.13</v>
      </c>
    </row>
    <row r="120" spans="1:6" ht="15" thickBot="1">
      <c r="A120" s="778" t="s">
        <v>56</v>
      </c>
      <c r="B120" s="772" t="s">
        <v>294</v>
      </c>
      <c r="C120" s="958">
        <v>0.125</v>
      </c>
      <c r="D120" s="958">
        <v>0.125</v>
      </c>
      <c r="E120" s="958">
        <v>0.122</v>
      </c>
      <c r="F120" s="959">
        <v>0.13</v>
      </c>
    </row>
    <row r="121" spans="1:6" ht="15" thickBot="1">
      <c r="A121" s="778" t="s">
        <v>56</v>
      </c>
      <c r="B121" s="772" t="s">
        <v>304</v>
      </c>
      <c r="C121" s="958">
        <v>0.13</v>
      </c>
      <c r="D121" s="958">
        <v>0.13</v>
      </c>
      <c r="E121" s="958">
        <v>0.13</v>
      </c>
      <c r="F121" s="959">
        <v>0.13</v>
      </c>
    </row>
    <row r="122" spans="1:6" ht="15" thickBot="1">
      <c r="A122" s="778" t="s">
        <v>56</v>
      </c>
      <c r="B122" s="772" t="s">
        <v>314</v>
      </c>
      <c r="C122" s="958">
        <v>0.13</v>
      </c>
      <c r="D122" s="958">
        <v>0.13</v>
      </c>
      <c r="E122" s="958">
        <v>0.125</v>
      </c>
      <c r="F122" s="959">
        <v>0.13</v>
      </c>
    </row>
    <row r="123" spans="1:6" ht="15" thickBot="1">
      <c r="A123" s="778" t="s">
        <v>56</v>
      </c>
      <c r="B123" s="772" t="s">
        <v>325</v>
      </c>
      <c r="C123" s="958">
        <v>0.129</v>
      </c>
      <c r="D123" s="958">
        <v>0.129</v>
      </c>
      <c r="E123" s="958">
        <v>0.123</v>
      </c>
      <c r="F123" s="959">
        <v>0.13</v>
      </c>
    </row>
    <row r="124" spans="1:6" ht="15" thickBot="1">
      <c r="A124" s="778" t="s">
        <v>56</v>
      </c>
      <c r="B124" s="772" t="s">
        <v>336</v>
      </c>
      <c r="C124" s="958">
        <v>0.10199999999999999</v>
      </c>
      <c r="D124" s="958">
        <v>0.10100000000000001</v>
      </c>
      <c r="E124" s="958">
        <v>0.08</v>
      </c>
      <c r="F124" s="970"/>
    </row>
    <row r="125" spans="1:6" ht="15" thickBot="1">
      <c r="A125" s="778" t="s">
        <v>56</v>
      </c>
      <c r="B125" s="772" t="s">
        <v>346</v>
      </c>
      <c r="C125" s="958">
        <v>0.13</v>
      </c>
      <c r="D125" s="958">
        <v>0.13</v>
      </c>
      <c r="E125" s="958">
        <v>0.129</v>
      </c>
      <c r="F125" s="970"/>
    </row>
    <row r="126" spans="1:6" ht="15" thickBot="1">
      <c r="A126" s="778" t="s">
        <v>56</v>
      </c>
      <c r="B126" s="772" t="s">
        <v>356</v>
      </c>
      <c r="C126" s="958">
        <v>0.13</v>
      </c>
      <c r="D126" s="958">
        <v>0.13</v>
      </c>
      <c r="E126" s="958">
        <v>0.126</v>
      </c>
      <c r="F126" s="970"/>
    </row>
    <row r="127" spans="1:6" ht="15" thickBot="1">
      <c r="A127" s="778" t="s">
        <v>56</v>
      </c>
      <c r="B127" s="772" t="s">
        <v>366</v>
      </c>
      <c r="C127" s="958">
        <v>0.125</v>
      </c>
      <c r="D127" s="958">
        <v>0.125</v>
      </c>
      <c r="E127" s="958">
        <v>0.121</v>
      </c>
      <c r="F127" s="970"/>
    </row>
    <row r="128" spans="1:6" ht="15" thickBot="1">
      <c r="A128" s="778" t="s">
        <v>56</v>
      </c>
      <c r="B128" s="772" t="s">
        <v>376</v>
      </c>
      <c r="C128" s="958">
        <v>0.12</v>
      </c>
      <c r="D128" s="958">
        <v>0.12</v>
      </c>
      <c r="E128" s="958">
        <v>0.105</v>
      </c>
      <c r="F128" s="970"/>
    </row>
    <row r="129" spans="1:6" ht="15" thickBot="1">
      <c r="A129" s="778" t="s">
        <v>56</v>
      </c>
      <c r="B129" s="772" t="s">
        <v>385</v>
      </c>
      <c r="C129" s="958">
        <v>0.13</v>
      </c>
      <c r="D129" s="958">
        <v>0.13</v>
      </c>
      <c r="E129" s="958">
        <v>0.126</v>
      </c>
      <c r="F129" s="970"/>
    </row>
    <row r="130" spans="1:6" ht="15" thickBot="1">
      <c r="A130" s="778" t="s">
        <v>56</v>
      </c>
      <c r="B130" s="772" t="s">
        <v>394</v>
      </c>
      <c r="C130" s="958">
        <v>0.125</v>
      </c>
      <c r="D130" s="958">
        <v>0.125</v>
      </c>
      <c r="E130" s="958">
        <v>0.122</v>
      </c>
      <c r="F130" s="970"/>
    </row>
    <row r="131" spans="1:6" ht="15" thickBot="1">
      <c r="A131" s="778" t="s">
        <v>56</v>
      </c>
      <c r="B131" s="772" t="s">
        <v>402</v>
      </c>
      <c r="C131" s="958">
        <v>0.127</v>
      </c>
      <c r="D131" s="958">
        <v>0.126</v>
      </c>
      <c r="E131" s="958">
        <v>0.123</v>
      </c>
      <c r="F131" s="970"/>
    </row>
    <row r="132" spans="1:6" ht="15" thickBot="1">
      <c r="A132" s="778" t="s">
        <v>56</v>
      </c>
      <c r="B132" s="772" t="s">
        <v>409</v>
      </c>
      <c r="C132" s="958">
        <v>9.0999999999999998E-2</v>
      </c>
      <c r="D132" s="958">
        <v>0.121</v>
      </c>
      <c r="E132" s="958">
        <v>9.9000000000000005E-2</v>
      </c>
      <c r="F132" s="970"/>
    </row>
    <row r="133" spans="1:6" ht="15" thickBot="1">
      <c r="A133" s="778" t="s">
        <v>56</v>
      </c>
      <c r="B133" s="772" t="s">
        <v>416</v>
      </c>
      <c r="C133" s="958">
        <v>0.13</v>
      </c>
      <c r="D133" s="958">
        <v>0.13</v>
      </c>
      <c r="E133" s="958">
        <v>0.129</v>
      </c>
      <c r="F133" s="970"/>
    </row>
    <row r="134" spans="1:6" ht="15" thickBot="1">
      <c r="A134" s="778" t="s">
        <v>56</v>
      </c>
      <c r="B134" s="772" t="s">
        <v>686</v>
      </c>
      <c r="C134" s="958">
        <v>6.8000000000000005E-2</v>
      </c>
      <c r="D134" s="958">
        <v>6.5000000000000002E-2</v>
      </c>
      <c r="E134" s="958">
        <v>6.5000000000000002E-2</v>
      </c>
      <c r="F134" s="959">
        <v>0.13</v>
      </c>
    </row>
    <row r="135" spans="1:6" ht="15" thickBot="1">
      <c r="A135" s="778" t="s">
        <v>56</v>
      </c>
      <c r="B135" s="772" t="s">
        <v>430</v>
      </c>
      <c r="C135" s="958">
        <v>0.123</v>
      </c>
      <c r="D135" s="958">
        <v>0.123</v>
      </c>
      <c r="E135" s="958">
        <v>0.11</v>
      </c>
      <c r="F135" s="970"/>
    </row>
    <row r="136" spans="1:6" ht="15" thickBot="1">
      <c r="A136" s="778" t="s">
        <v>56</v>
      </c>
      <c r="B136" s="772" t="s">
        <v>437</v>
      </c>
      <c r="C136" s="958">
        <v>0.13</v>
      </c>
      <c r="D136" s="958">
        <v>0.13</v>
      </c>
      <c r="E136" s="958">
        <v>0.125</v>
      </c>
      <c r="F136" s="970"/>
    </row>
    <row r="137" spans="1:6" ht="15" thickBot="1">
      <c r="A137" s="778" t="s">
        <v>56</v>
      </c>
      <c r="B137" s="772" t="s">
        <v>444</v>
      </c>
      <c r="C137" s="958">
        <v>0.121</v>
      </c>
      <c r="D137" s="958">
        <v>0.122</v>
      </c>
      <c r="E137" s="958">
        <v>0.115</v>
      </c>
      <c r="F137" s="970"/>
    </row>
    <row r="138" spans="1:6" ht="15" thickBot="1">
      <c r="A138" s="778" t="s">
        <v>56</v>
      </c>
      <c r="B138" s="772" t="s">
        <v>687</v>
      </c>
      <c r="C138" s="958">
        <v>0.105</v>
      </c>
      <c r="D138" s="958">
        <v>0.125</v>
      </c>
      <c r="E138" s="958">
        <v>0.112</v>
      </c>
      <c r="F138" s="970"/>
    </row>
    <row r="139" spans="1:6" ht="15" thickBot="1">
      <c r="A139" s="778" t="s">
        <v>56</v>
      </c>
      <c r="B139" s="772" t="s">
        <v>688</v>
      </c>
      <c r="C139" s="958">
        <v>0.127</v>
      </c>
      <c r="D139" s="958">
        <v>0.127</v>
      </c>
      <c r="E139" s="958">
        <v>0.122</v>
      </c>
      <c r="F139" s="959">
        <v>0.13</v>
      </c>
    </row>
    <row r="140" spans="1:6" ht="15" thickBot="1">
      <c r="A140" s="778" t="s">
        <v>56</v>
      </c>
      <c r="B140" s="772" t="s">
        <v>689</v>
      </c>
      <c r="C140" s="958">
        <v>0.125</v>
      </c>
      <c r="D140" s="958">
        <v>0.125</v>
      </c>
      <c r="E140" s="958">
        <v>0.11899999999999999</v>
      </c>
      <c r="F140" s="959">
        <v>0.13</v>
      </c>
    </row>
    <row r="141" spans="1:6" ht="15" thickBot="1">
      <c r="A141" s="778" t="s">
        <v>56</v>
      </c>
      <c r="B141" s="772" t="s">
        <v>463</v>
      </c>
      <c r="C141" s="958">
        <v>0.125</v>
      </c>
      <c r="D141" s="958">
        <v>0.125</v>
      </c>
      <c r="E141" s="958">
        <v>0.11700000000000001</v>
      </c>
      <c r="F141" s="970"/>
    </row>
    <row r="142" spans="1:6" ht="15" thickBot="1">
      <c r="A142" s="778" t="s">
        <v>56</v>
      </c>
      <c r="B142" s="772" t="s">
        <v>468</v>
      </c>
      <c r="C142" s="958">
        <v>0.125</v>
      </c>
      <c r="D142" s="958">
        <v>0.125</v>
      </c>
      <c r="E142" s="958">
        <v>0.115</v>
      </c>
      <c r="F142" s="970"/>
    </row>
    <row r="143" spans="1:6" ht="15" thickBot="1">
      <c r="A143" s="778" t="s">
        <v>56</v>
      </c>
      <c r="B143" s="772" t="s">
        <v>473</v>
      </c>
      <c r="C143" s="958">
        <v>0.121</v>
      </c>
      <c r="D143" s="958">
        <v>0.121</v>
      </c>
      <c r="E143" s="958">
        <v>0.108</v>
      </c>
      <c r="F143" s="970"/>
    </row>
    <row r="144" spans="1:6" ht="15" thickBot="1">
      <c r="A144" s="778" t="s">
        <v>56</v>
      </c>
      <c r="B144" s="962" t="s">
        <v>690</v>
      </c>
      <c r="C144" s="963">
        <v>0.126</v>
      </c>
      <c r="D144" s="963">
        <v>0.126</v>
      </c>
      <c r="E144" s="963">
        <v>0.121</v>
      </c>
      <c r="F144" s="970"/>
    </row>
    <row r="145" spans="1:6" ht="1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5" thickBot="1">
      <c r="A153" s="778" t="s">
        <v>56</v>
      </c>
      <c r="B153" s="772" t="s">
        <v>698</v>
      </c>
      <c r="C153" s="971"/>
      <c r="D153" s="971"/>
      <c r="E153" s="971"/>
      <c r="F153" s="959">
        <v>0.05</v>
      </c>
    </row>
    <row r="154" spans="1:6" ht="1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5" thickBot="1">
      <c r="A157" s="788" t="s">
        <v>56</v>
      </c>
      <c r="B157" s="784" t="s">
        <v>702</v>
      </c>
      <c r="C157" s="968"/>
      <c r="D157" s="968"/>
      <c r="E157" s="968"/>
      <c r="F157" s="961">
        <v>0.05</v>
      </c>
    </row>
    <row r="158" spans="1:6" ht="15" thickBot="1">
      <c r="A158" s="778" t="s">
        <v>525</v>
      </c>
      <c r="B158" s="779" t="s">
        <v>703</v>
      </c>
      <c r="C158" s="956">
        <v>0.13</v>
      </c>
      <c r="D158" s="956">
        <v>0.13</v>
      </c>
      <c r="E158" s="956">
        <v>0.13</v>
      </c>
      <c r="F158" s="957">
        <v>0.13</v>
      </c>
    </row>
    <row r="159" spans="1:6" ht="15" thickBot="1">
      <c r="A159" s="778" t="s">
        <v>525</v>
      </c>
      <c r="B159" s="772" t="s">
        <v>192</v>
      </c>
      <c r="C159" s="958">
        <v>0.13</v>
      </c>
      <c r="D159" s="958">
        <v>0.13</v>
      </c>
      <c r="E159" s="958">
        <v>0.13</v>
      </c>
      <c r="F159" s="959">
        <v>0.13</v>
      </c>
    </row>
    <row r="160" spans="1:6" ht="15" thickBot="1">
      <c r="A160" s="778" t="s">
        <v>525</v>
      </c>
      <c r="B160" s="772" t="s">
        <v>205</v>
      </c>
      <c r="C160" s="958">
        <v>0.13</v>
      </c>
      <c r="D160" s="958">
        <v>0.13</v>
      </c>
      <c r="E160" s="958">
        <v>0.129</v>
      </c>
      <c r="F160" s="959">
        <v>0.13</v>
      </c>
    </row>
    <row r="161" spans="1:6" ht="15" thickBot="1">
      <c r="A161" s="778" t="s">
        <v>525</v>
      </c>
      <c r="B161" s="772" t="s">
        <v>218</v>
      </c>
      <c r="C161" s="958">
        <v>0.128</v>
      </c>
      <c r="D161" s="958">
        <v>0.128</v>
      </c>
      <c r="E161" s="958">
        <v>0.125</v>
      </c>
      <c r="F161" s="959">
        <v>0.13</v>
      </c>
    </row>
    <row r="162" spans="1:6" ht="15" thickBot="1">
      <c r="A162" s="778" t="s">
        <v>525</v>
      </c>
      <c r="B162" s="772" t="s">
        <v>230</v>
      </c>
      <c r="C162" s="958">
        <v>0.122</v>
      </c>
      <c r="D162" s="958">
        <v>0.122</v>
      </c>
      <c r="E162" s="958">
        <v>0.126</v>
      </c>
      <c r="F162" s="959">
        <v>0.122</v>
      </c>
    </row>
    <row r="163" spans="1:6" ht="15" thickBot="1">
      <c r="A163" s="778" t="s">
        <v>525</v>
      </c>
      <c r="B163" s="772" t="s">
        <v>241</v>
      </c>
      <c r="C163" s="958">
        <v>0.13</v>
      </c>
      <c r="D163" s="958">
        <v>0.13</v>
      </c>
      <c r="E163" s="958">
        <v>0.125</v>
      </c>
      <c r="F163" s="959">
        <v>0.13</v>
      </c>
    </row>
    <row r="164" spans="1:6" ht="15" thickBot="1">
      <c r="A164" s="778" t="s">
        <v>525</v>
      </c>
      <c r="B164" s="772" t="s">
        <v>252</v>
      </c>
      <c r="C164" s="958">
        <v>0.13</v>
      </c>
      <c r="D164" s="958">
        <v>0.13</v>
      </c>
      <c r="E164" s="958">
        <v>0.13</v>
      </c>
      <c r="F164" s="959">
        <v>0.13</v>
      </c>
    </row>
    <row r="165" spans="1:6" ht="15" thickBot="1">
      <c r="A165" s="778" t="s">
        <v>525</v>
      </c>
      <c r="B165" s="772" t="s">
        <v>263</v>
      </c>
      <c r="C165" s="958">
        <v>0.13</v>
      </c>
      <c r="D165" s="958">
        <v>0.13</v>
      </c>
      <c r="E165" s="958">
        <v>0.124</v>
      </c>
      <c r="F165" s="959">
        <v>0.13</v>
      </c>
    </row>
    <row r="166" spans="1:6" ht="15" thickBot="1">
      <c r="A166" s="778" t="s">
        <v>525</v>
      </c>
      <c r="B166" s="772" t="s">
        <v>275</v>
      </c>
      <c r="C166" s="958">
        <v>0.13</v>
      </c>
      <c r="D166" s="958">
        <v>0.13</v>
      </c>
      <c r="E166" s="958">
        <v>0.13</v>
      </c>
      <c r="F166" s="959">
        <v>0.13</v>
      </c>
    </row>
    <row r="167" spans="1:6" ht="15" thickBot="1">
      <c r="A167" s="778" t="s">
        <v>525</v>
      </c>
      <c r="B167" s="772" t="s">
        <v>285</v>
      </c>
      <c r="C167" s="958">
        <v>0.125</v>
      </c>
      <c r="D167" s="958">
        <v>0.125</v>
      </c>
      <c r="E167" s="958">
        <v>0.121</v>
      </c>
      <c r="F167" s="970"/>
    </row>
    <row r="168" spans="1:6" ht="15" thickBot="1">
      <c r="A168" s="778" t="s">
        <v>525</v>
      </c>
      <c r="B168" s="772" t="s">
        <v>295</v>
      </c>
      <c r="C168" s="958">
        <v>0.13</v>
      </c>
      <c r="D168" s="958">
        <v>0.13</v>
      </c>
      <c r="E168" s="958">
        <v>0.126</v>
      </c>
      <c r="F168" s="970"/>
    </row>
    <row r="169" spans="1:6" ht="15" thickBot="1">
      <c r="A169" s="778" t="s">
        <v>525</v>
      </c>
      <c r="B169" s="772" t="s">
        <v>305</v>
      </c>
      <c r="C169" s="958">
        <v>0.128</v>
      </c>
      <c r="D169" s="958">
        <v>0.129</v>
      </c>
      <c r="E169" s="958">
        <v>0.13</v>
      </c>
      <c r="F169" s="970"/>
    </row>
    <row r="170" spans="1:6" ht="15" thickBot="1">
      <c r="A170" s="778" t="s">
        <v>525</v>
      </c>
      <c r="B170" s="772" t="s">
        <v>315</v>
      </c>
      <c r="C170" s="958">
        <v>0.14099999999999999</v>
      </c>
      <c r="D170" s="958">
        <v>0.13</v>
      </c>
      <c r="E170" s="958">
        <v>0.125</v>
      </c>
      <c r="F170" s="970"/>
    </row>
    <row r="171" spans="1:6" ht="15" thickBot="1">
      <c r="A171" s="778" t="s">
        <v>525</v>
      </c>
      <c r="B171" s="772" t="s">
        <v>704</v>
      </c>
      <c r="C171" s="958">
        <v>0.127</v>
      </c>
      <c r="D171" s="958">
        <v>0.126</v>
      </c>
      <c r="E171" s="958">
        <v>0.126</v>
      </c>
      <c r="F171" s="959">
        <v>0.11799999999999999</v>
      </c>
    </row>
    <row r="172" spans="1:6" ht="15" thickBot="1">
      <c r="A172" s="778" t="s">
        <v>525</v>
      </c>
      <c r="B172" s="772" t="s">
        <v>705</v>
      </c>
      <c r="C172" s="958">
        <v>0.13</v>
      </c>
      <c r="D172" s="958">
        <v>0.13</v>
      </c>
      <c r="E172" s="958">
        <v>0.13</v>
      </c>
      <c r="F172" s="970"/>
    </row>
    <row r="173" spans="1:6" ht="15" thickBot="1">
      <c r="A173" s="778" t="s">
        <v>525</v>
      </c>
      <c r="B173" s="772" t="s">
        <v>347</v>
      </c>
      <c r="C173" s="958">
        <v>0.13</v>
      </c>
      <c r="D173" s="958">
        <v>0.13</v>
      </c>
      <c r="E173" s="958">
        <v>0.13</v>
      </c>
      <c r="F173" s="970"/>
    </row>
    <row r="174" spans="1:6" ht="15" thickBot="1">
      <c r="A174" s="778" t="s">
        <v>525</v>
      </c>
      <c r="B174" s="772" t="s">
        <v>706</v>
      </c>
      <c r="C174" s="958">
        <v>0.13</v>
      </c>
      <c r="D174" s="958">
        <v>0.13</v>
      </c>
      <c r="E174" s="958">
        <v>0.13</v>
      </c>
      <c r="F174" s="959">
        <v>0.13</v>
      </c>
    </row>
    <row r="175" spans="1:6" ht="15" thickBot="1">
      <c r="A175" s="778" t="s">
        <v>525</v>
      </c>
      <c r="B175" s="772" t="s">
        <v>707</v>
      </c>
      <c r="C175" s="958">
        <v>0.13</v>
      </c>
      <c r="D175" s="958">
        <v>0.13</v>
      </c>
      <c r="E175" s="958">
        <v>0.13</v>
      </c>
      <c r="F175" s="959">
        <v>0.13</v>
      </c>
    </row>
    <row r="176" spans="1:6" ht="15" thickBot="1">
      <c r="A176" s="778" t="s">
        <v>525</v>
      </c>
      <c r="B176" s="772" t="s">
        <v>377</v>
      </c>
      <c r="C176" s="958">
        <v>0.13</v>
      </c>
      <c r="D176" s="958">
        <v>0.13</v>
      </c>
      <c r="E176" s="958">
        <v>0.13</v>
      </c>
      <c r="F176" s="959">
        <v>0.13</v>
      </c>
    </row>
    <row r="177" spans="1:6" ht="15" thickBot="1">
      <c r="A177" s="778" t="s">
        <v>525</v>
      </c>
      <c r="B177" s="772" t="s">
        <v>708</v>
      </c>
      <c r="C177" s="958">
        <v>0.13</v>
      </c>
      <c r="D177" s="958">
        <v>0.13</v>
      </c>
      <c r="E177" s="958">
        <v>0.13</v>
      </c>
      <c r="F177" s="959">
        <v>0.13</v>
      </c>
    </row>
    <row r="178" spans="1:6" ht="15" thickBot="1">
      <c r="A178" s="778" t="s">
        <v>525</v>
      </c>
      <c r="B178" s="772" t="s">
        <v>395</v>
      </c>
      <c r="C178" s="958">
        <v>0.13</v>
      </c>
      <c r="D178" s="958">
        <v>0.13</v>
      </c>
      <c r="E178" s="958">
        <v>0.13</v>
      </c>
      <c r="F178" s="959">
        <v>0.127</v>
      </c>
    </row>
    <row r="179" spans="1:6" ht="15" thickBot="1">
      <c r="A179" s="778" t="s">
        <v>525</v>
      </c>
      <c r="B179" s="772" t="s">
        <v>403</v>
      </c>
      <c r="C179" s="958">
        <v>0.13</v>
      </c>
      <c r="D179" s="958">
        <v>0.13</v>
      </c>
      <c r="E179" s="958">
        <v>0.13</v>
      </c>
      <c r="F179" s="970"/>
    </row>
    <row r="180" spans="1:6" ht="15" thickBot="1">
      <c r="A180" s="778" t="s">
        <v>525</v>
      </c>
      <c r="B180" s="772" t="s">
        <v>709</v>
      </c>
      <c r="C180" s="958">
        <v>0.13</v>
      </c>
      <c r="D180" s="958">
        <v>0.13</v>
      </c>
      <c r="E180" s="958">
        <v>0.125</v>
      </c>
      <c r="F180" s="959">
        <v>0.13</v>
      </c>
    </row>
    <row r="181" spans="1:6" ht="15" thickBot="1">
      <c r="A181" s="778" t="s">
        <v>525</v>
      </c>
      <c r="B181" s="772" t="s">
        <v>417</v>
      </c>
      <c r="C181" s="958">
        <v>0.122</v>
      </c>
      <c r="D181" s="958">
        <v>0.123</v>
      </c>
      <c r="E181" s="958">
        <v>0.126</v>
      </c>
      <c r="F181" s="959">
        <v>0.121</v>
      </c>
    </row>
    <row r="182" spans="1:6" ht="15" thickBot="1">
      <c r="A182" s="778" t="s">
        <v>525</v>
      </c>
      <c r="B182" s="772" t="s">
        <v>424</v>
      </c>
      <c r="C182" s="958">
        <v>0.125</v>
      </c>
      <c r="D182" s="958">
        <v>0.125</v>
      </c>
      <c r="E182" s="958">
        <v>0.11700000000000001</v>
      </c>
      <c r="F182" s="959">
        <v>0.13</v>
      </c>
    </row>
    <row r="183" spans="1:6" ht="15" thickBot="1">
      <c r="A183" s="778" t="s">
        <v>525</v>
      </c>
      <c r="B183" s="772" t="s">
        <v>431</v>
      </c>
      <c r="C183" s="958">
        <v>0.127</v>
      </c>
      <c r="D183" s="958">
        <v>0.127</v>
      </c>
      <c r="E183" s="958">
        <v>0.128</v>
      </c>
      <c r="F183" s="970"/>
    </row>
    <row r="184" spans="1:6" ht="15" thickBot="1">
      <c r="A184" s="778" t="s">
        <v>525</v>
      </c>
      <c r="B184" s="772" t="s">
        <v>438</v>
      </c>
      <c r="C184" s="958">
        <v>0.125</v>
      </c>
      <c r="D184" s="958">
        <v>0.125</v>
      </c>
      <c r="E184" s="958">
        <v>0.127</v>
      </c>
      <c r="F184" s="970"/>
    </row>
    <row r="185" spans="1:6" ht="1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5" thickBot="1">
      <c r="A187" s="778" t="s">
        <v>525</v>
      </c>
      <c r="B187" s="772" t="s">
        <v>712</v>
      </c>
      <c r="C187" s="971"/>
      <c r="D187" s="971"/>
      <c r="E187" s="971"/>
      <c r="F187" s="959">
        <v>0.05</v>
      </c>
    </row>
    <row r="188" spans="1:6" ht="24.7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5" thickBot="1">
      <c r="A204" s="778" t="s">
        <v>525</v>
      </c>
      <c r="B204" s="772" t="s">
        <v>729</v>
      </c>
      <c r="C204" s="971"/>
      <c r="D204" s="971"/>
      <c r="E204" s="971"/>
      <c r="F204" s="959">
        <v>0.05</v>
      </c>
    </row>
    <row r="205" spans="1:6" ht="15" thickBot="1">
      <c r="A205" s="788" t="s">
        <v>525</v>
      </c>
      <c r="B205" s="784" t="s">
        <v>730</v>
      </c>
      <c r="C205" s="968"/>
      <c r="D205" s="968"/>
      <c r="E205" s="968"/>
      <c r="F205" s="961">
        <v>0.05</v>
      </c>
    </row>
    <row r="206" spans="1:6" ht="15" thickBot="1">
      <c r="A206" s="778" t="s">
        <v>527</v>
      </c>
      <c r="B206" s="779" t="s">
        <v>731</v>
      </c>
      <c r="C206" s="956">
        <v>0.15</v>
      </c>
      <c r="D206" s="956">
        <v>0.15</v>
      </c>
      <c r="E206" s="956">
        <v>0.15</v>
      </c>
      <c r="F206" s="957">
        <v>0.15</v>
      </c>
    </row>
    <row r="207" spans="1:6" ht="15" thickBot="1">
      <c r="A207" s="778" t="s">
        <v>527</v>
      </c>
      <c r="B207" s="772" t="s">
        <v>193</v>
      </c>
      <c r="C207" s="958">
        <v>0.15</v>
      </c>
      <c r="D207" s="958">
        <v>0.15</v>
      </c>
      <c r="E207" s="958">
        <v>0.15</v>
      </c>
      <c r="F207" s="959">
        <v>0.14399999999999999</v>
      </c>
    </row>
    <row r="208" spans="1:6" ht="15" thickBot="1">
      <c r="A208" s="778" t="s">
        <v>527</v>
      </c>
      <c r="B208" s="772" t="s">
        <v>206</v>
      </c>
      <c r="C208" s="958">
        <v>0.15</v>
      </c>
      <c r="D208" s="958">
        <v>0.15</v>
      </c>
      <c r="E208" s="958">
        <v>0.15</v>
      </c>
      <c r="F208" s="959">
        <v>0.15</v>
      </c>
    </row>
    <row r="209" spans="1:6" ht="15" thickBot="1">
      <c r="A209" s="778" t="s">
        <v>527</v>
      </c>
      <c r="B209" s="772" t="s">
        <v>219</v>
      </c>
      <c r="C209" s="958">
        <v>0.13700000000000001</v>
      </c>
      <c r="D209" s="958">
        <v>0.13700000000000001</v>
      </c>
      <c r="E209" s="958">
        <v>0.14000000000000001</v>
      </c>
      <c r="F209" s="959">
        <v>0.11700000000000001</v>
      </c>
    </row>
    <row r="210" spans="1:6" ht="15" thickBot="1">
      <c r="A210" s="778" t="s">
        <v>527</v>
      </c>
      <c r="B210" s="772" t="s">
        <v>732</v>
      </c>
      <c r="C210" s="958">
        <v>0.15</v>
      </c>
      <c r="D210" s="958">
        <v>0.15</v>
      </c>
      <c r="E210" s="958">
        <v>0.15</v>
      </c>
      <c r="F210" s="959">
        <v>0.13800000000000001</v>
      </c>
    </row>
    <row r="211" spans="1:6" ht="15" thickBot="1">
      <c r="A211" s="778" t="s">
        <v>527</v>
      </c>
      <c r="B211" s="772" t="s">
        <v>733</v>
      </c>
      <c r="C211" s="958">
        <v>0.13700000000000001</v>
      </c>
      <c r="D211" s="958">
        <v>0.13500000000000001</v>
      </c>
      <c r="E211" s="958">
        <v>0.13600000000000001</v>
      </c>
      <c r="F211" s="959">
        <v>0.1</v>
      </c>
    </row>
    <row r="212" spans="1:6" ht="15" thickBot="1">
      <c r="A212" s="778" t="s">
        <v>527</v>
      </c>
      <c r="B212" s="772" t="s">
        <v>734</v>
      </c>
      <c r="C212" s="958">
        <v>0.15</v>
      </c>
      <c r="D212" s="958">
        <v>0.15</v>
      </c>
      <c r="E212" s="958">
        <v>0.14799999999999999</v>
      </c>
      <c r="F212" s="959">
        <v>0.13600000000000001</v>
      </c>
    </row>
    <row r="213" spans="1:6" ht="15" thickBot="1">
      <c r="A213" s="778" t="s">
        <v>527</v>
      </c>
      <c r="B213" s="772" t="s">
        <v>264</v>
      </c>
      <c r="C213" s="958">
        <v>0.15</v>
      </c>
      <c r="D213" s="958">
        <v>0.15</v>
      </c>
      <c r="E213" s="958">
        <v>0.15</v>
      </c>
      <c r="F213" s="959">
        <v>0.13800000000000001</v>
      </c>
    </row>
    <row r="214" spans="1:6" ht="15" thickBot="1">
      <c r="A214" s="778" t="s">
        <v>527</v>
      </c>
      <c r="B214" s="772" t="s">
        <v>276</v>
      </c>
      <c r="C214" s="958">
        <v>9.0999999999999998E-2</v>
      </c>
      <c r="D214" s="958">
        <v>0.09</v>
      </c>
      <c r="E214" s="958">
        <v>9.1999999999999998E-2</v>
      </c>
      <c r="F214" s="970"/>
    </row>
    <row r="215" spans="1:6" ht="15" thickBot="1">
      <c r="A215" s="778" t="s">
        <v>527</v>
      </c>
      <c r="B215" s="772" t="s">
        <v>735</v>
      </c>
      <c r="C215" s="958">
        <v>0.15</v>
      </c>
      <c r="D215" s="958">
        <v>0.15</v>
      </c>
      <c r="E215" s="958">
        <v>0.15</v>
      </c>
      <c r="F215" s="959">
        <v>0.15</v>
      </c>
    </row>
    <row r="216" spans="1:6" ht="15" thickBot="1">
      <c r="A216" s="778" t="s">
        <v>527</v>
      </c>
      <c r="B216" s="772" t="s">
        <v>296</v>
      </c>
      <c r="C216" s="958">
        <v>0.14699999999999999</v>
      </c>
      <c r="D216" s="958">
        <v>0.14699999999999999</v>
      </c>
      <c r="E216" s="958">
        <v>0.15</v>
      </c>
      <c r="F216" s="959">
        <v>0.14000000000000001</v>
      </c>
    </row>
    <row r="217" spans="1:6" ht="15" thickBot="1">
      <c r="A217" s="778" t="s">
        <v>527</v>
      </c>
      <c r="B217" s="772" t="s">
        <v>306</v>
      </c>
      <c r="C217" s="958">
        <v>0.15</v>
      </c>
      <c r="D217" s="958">
        <v>0.15</v>
      </c>
      <c r="E217" s="958">
        <v>0.15</v>
      </c>
      <c r="F217" s="959">
        <v>0.15</v>
      </c>
    </row>
    <row r="218" spans="1:6" ht="15" thickBot="1">
      <c r="A218" s="778" t="s">
        <v>527</v>
      </c>
      <c r="B218" s="772" t="s">
        <v>736</v>
      </c>
      <c r="C218" s="958">
        <v>0.15</v>
      </c>
      <c r="D218" s="958">
        <v>0.15</v>
      </c>
      <c r="E218" s="958">
        <v>0.15</v>
      </c>
      <c r="F218" s="959">
        <v>0.15</v>
      </c>
    </row>
    <row r="219" spans="1:6" ht="15" thickBot="1">
      <c r="A219" s="778" t="s">
        <v>527</v>
      </c>
      <c r="B219" s="772" t="s">
        <v>327</v>
      </c>
      <c r="C219" s="958">
        <v>0.15</v>
      </c>
      <c r="D219" s="958">
        <v>0.15</v>
      </c>
      <c r="E219" s="958">
        <v>0.15</v>
      </c>
      <c r="F219" s="959">
        <v>0.14799999999999999</v>
      </c>
    </row>
    <row r="220" spans="1:6" ht="15" thickBot="1">
      <c r="A220" s="778" t="s">
        <v>527</v>
      </c>
      <c r="B220" s="772" t="s">
        <v>737</v>
      </c>
      <c r="C220" s="958">
        <v>0.15</v>
      </c>
      <c r="D220" s="958">
        <v>0.15</v>
      </c>
      <c r="E220" s="958">
        <v>0.15</v>
      </c>
      <c r="F220" s="959">
        <v>0.15</v>
      </c>
    </row>
    <row r="221" spans="1:6" ht="15" thickBot="1">
      <c r="A221" s="778" t="s">
        <v>527</v>
      </c>
      <c r="B221" s="772" t="s">
        <v>348</v>
      </c>
      <c r="C221" s="958"/>
      <c r="D221" s="971"/>
      <c r="E221" s="971"/>
      <c r="F221" s="959">
        <v>0.14799999999999999</v>
      </c>
    </row>
    <row r="222" spans="1:6" ht="15" thickBot="1">
      <c r="A222" s="778" t="s">
        <v>527</v>
      </c>
      <c r="B222" s="772" t="s">
        <v>358</v>
      </c>
      <c r="C222" s="958"/>
      <c r="D222" s="971"/>
      <c r="E222" s="971"/>
      <c r="F222" s="959">
        <v>0.1</v>
      </c>
    </row>
    <row r="223" spans="1:6" ht="15" thickBot="1">
      <c r="A223" s="778" t="s">
        <v>527</v>
      </c>
      <c r="B223" s="772" t="s">
        <v>368</v>
      </c>
      <c r="C223" s="958"/>
      <c r="D223" s="971"/>
      <c r="E223" s="971"/>
      <c r="F223" s="959">
        <v>0.15</v>
      </c>
    </row>
    <row r="224" spans="1:6" ht="15" thickBot="1">
      <c r="A224" s="778" t="s">
        <v>527</v>
      </c>
      <c r="B224" s="772" t="s">
        <v>378</v>
      </c>
      <c r="C224" s="958"/>
      <c r="D224" s="971"/>
      <c r="E224" s="971"/>
      <c r="F224" s="959">
        <v>0.15</v>
      </c>
    </row>
    <row r="225" spans="1:6" ht="15" thickBot="1">
      <c r="A225" s="778" t="s">
        <v>527</v>
      </c>
      <c r="B225" s="772" t="s">
        <v>738</v>
      </c>
      <c r="C225" s="958">
        <v>0.15</v>
      </c>
      <c r="D225" s="958">
        <v>0.15</v>
      </c>
      <c r="E225" s="958">
        <v>0.15</v>
      </c>
      <c r="F225" s="959">
        <v>0.15</v>
      </c>
    </row>
    <row r="226" spans="1:6" ht="15" thickBot="1">
      <c r="A226" s="778" t="s">
        <v>527</v>
      </c>
      <c r="B226" s="772" t="s">
        <v>396</v>
      </c>
      <c r="C226" s="958">
        <v>0.15</v>
      </c>
      <c r="D226" s="958">
        <v>0.15</v>
      </c>
      <c r="E226" s="958">
        <v>0.15</v>
      </c>
      <c r="F226" s="959">
        <v>0.14799999999999999</v>
      </c>
    </row>
    <row r="227" spans="1:6" ht="15" thickBot="1">
      <c r="A227" s="778" t="s">
        <v>527</v>
      </c>
      <c r="B227" s="772" t="s">
        <v>739</v>
      </c>
      <c r="C227" s="958">
        <v>0.15</v>
      </c>
      <c r="D227" s="958">
        <v>0.15</v>
      </c>
      <c r="E227" s="958">
        <v>0.15</v>
      </c>
      <c r="F227" s="959">
        <v>0.15</v>
      </c>
    </row>
    <row r="228" spans="1:6" ht="15" thickBot="1">
      <c r="A228" s="778" t="s">
        <v>527</v>
      </c>
      <c r="B228" s="772" t="s">
        <v>411</v>
      </c>
      <c r="C228" s="958">
        <v>0.15</v>
      </c>
      <c r="D228" s="958">
        <v>0.15</v>
      </c>
      <c r="E228" s="958">
        <v>0.15</v>
      </c>
      <c r="F228" s="959">
        <v>0.15</v>
      </c>
    </row>
    <row r="229" spans="1:6" ht="15" thickBot="1">
      <c r="A229" s="778" t="s">
        <v>527</v>
      </c>
      <c r="B229" s="772" t="s">
        <v>418</v>
      </c>
      <c r="C229" s="958">
        <v>0.15</v>
      </c>
      <c r="D229" s="958">
        <v>0.15</v>
      </c>
      <c r="E229" s="958">
        <v>0.15</v>
      </c>
      <c r="F229" s="970"/>
    </row>
    <row r="230" spans="1:6" ht="15" thickBot="1">
      <c r="A230" s="778" t="s">
        <v>527</v>
      </c>
      <c r="B230" s="772" t="s">
        <v>425</v>
      </c>
      <c r="C230" s="958">
        <v>0.14499999999999999</v>
      </c>
      <c r="D230" s="958">
        <v>0.14499999999999999</v>
      </c>
      <c r="E230" s="958">
        <v>0.14399999999999999</v>
      </c>
      <c r="F230" s="970"/>
    </row>
    <row r="231" spans="1:6" ht="15" thickBot="1">
      <c r="A231" s="778" t="s">
        <v>527</v>
      </c>
      <c r="B231" s="772" t="s">
        <v>740</v>
      </c>
      <c r="C231" s="958">
        <v>0.128</v>
      </c>
      <c r="D231" s="958">
        <v>0.125</v>
      </c>
      <c r="E231" s="958">
        <v>0.13200000000000001</v>
      </c>
      <c r="F231" s="970"/>
    </row>
    <row r="232" spans="1:6" ht="15" thickBot="1">
      <c r="A232" s="778" t="s">
        <v>527</v>
      </c>
      <c r="B232" s="772" t="s">
        <v>741</v>
      </c>
      <c r="C232" s="958">
        <v>0.14499999999999999</v>
      </c>
      <c r="D232" s="958">
        <v>0.14399999999999999</v>
      </c>
      <c r="E232" s="958">
        <v>0.14599999999999999</v>
      </c>
      <c r="F232" s="959">
        <v>0.13800000000000001</v>
      </c>
    </row>
    <row r="233" spans="1:6" ht="15" thickBot="1">
      <c r="A233" s="778" t="s">
        <v>527</v>
      </c>
      <c r="B233" s="772" t="s">
        <v>742</v>
      </c>
      <c r="C233" s="958">
        <v>0.14499999999999999</v>
      </c>
      <c r="D233" s="958">
        <v>0.14299999999999999</v>
      </c>
      <c r="E233" s="958">
        <v>0.14199999999999999</v>
      </c>
      <c r="F233" s="970"/>
    </row>
    <row r="234" spans="1:6" ht="15" thickBot="1">
      <c r="A234" s="778" t="s">
        <v>527</v>
      </c>
      <c r="B234" s="772" t="s">
        <v>743</v>
      </c>
      <c r="C234" s="958">
        <v>0.14000000000000001</v>
      </c>
      <c r="D234" s="958">
        <v>0.14000000000000001</v>
      </c>
      <c r="E234" s="958">
        <v>0.14399999999999999</v>
      </c>
      <c r="F234" s="970"/>
    </row>
    <row r="235" spans="1:6" ht="15" thickBot="1">
      <c r="A235" s="778" t="s">
        <v>527</v>
      </c>
      <c r="B235" s="772" t="s">
        <v>744</v>
      </c>
      <c r="C235" s="958">
        <v>0.14099999999999999</v>
      </c>
      <c r="D235" s="958">
        <v>0.14199999999999999</v>
      </c>
      <c r="E235" s="958">
        <v>0.14499999999999999</v>
      </c>
      <c r="F235" s="959">
        <v>0.15</v>
      </c>
    </row>
    <row r="236" spans="1:6" ht="1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5" thickBot="1">
      <c r="A245" s="778" t="s">
        <v>529</v>
      </c>
      <c r="B245" s="779" t="s">
        <v>753</v>
      </c>
      <c r="C245" s="956">
        <v>0.15</v>
      </c>
      <c r="D245" s="956">
        <v>0.15</v>
      </c>
      <c r="E245" s="956">
        <v>0.15</v>
      </c>
      <c r="F245" s="957">
        <v>0.14299999999999999</v>
      </c>
    </row>
    <row r="246" spans="1:6" ht="15" thickBot="1">
      <c r="A246" s="778" t="s">
        <v>529</v>
      </c>
      <c r="B246" s="772" t="s">
        <v>194</v>
      </c>
      <c r="C246" s="958">
        <v>0.15</v>
      </c>
      <c r="D246" s="958">
        <v>0.15</v>
      </c>
      <c r="E246" s="958">
        <v>0.15</v>
      </c>
      <c r="F246" s="959">
        <v>0.114</v>
      </c>
    </row>
    <row r="247" spans="1:6" ht="15" thickBot="1">
      <c r="A247" s="778" t="s">
        <v>529</v>
      </c>
      <c r="B247" s="772" t="s">
        <v>754</v>
      </c>
      <c r="C247" s="958">
        <v>0.15</v>
      </c>
      <c r="D247" s="958">
        <v>0.15</v>
      </c>
      <c r="E247" s="958">
        <v>0.15</v>
      </c>
      <c r="F247" s="959">
        <v>0.15</v>
      </c>
    </row>
    <row r="248" spans="1:6" ht="15" thickBot="1">
      <c r="A248" s="778" t="s">
        <v>529</v>
      </c>
      <c r="B248" s="772" t="s">
        <v>755</v>
      </c>
      <c r="C248" s="958">
        <v>0.15</v>
      </c>
      <c r="D248" s="958">
        <v>0.15</v>
      </c>
      <c r="E248" s="958">
        <v>0.15</v>
      </c>
      <c r="F248" s="959">
        <v>0.14000000000000001</v>
      </c>
    </row>
    <row r="249" spans="1:6" ht="15" thickBot="1">
      <c r="A249" s="778" t="s">
        <v>529</v>
      </c>
      <c r="B249" s="772" t="s">
        <v>756</v>
      </c>
      <c r="C249" s="958">
        <v>0.15</v>
      </c>
      <c r="D249" s="958">
        <v>0.14899999999999999</v>
      </c>
      <c r="E249" s="958">
        <v>0.15</v>
      </c>
      <c r="F249" s="959">
        <v>0.1</v>
      </c>
    </row>
    <row r="250" spans="1:6" ht="15" thickBot="1">
      <c r="A250" s="778" t="s">
        <v>529</v>
      </c>
      <c r="B250" s="772" t="s">
        <v>757</v>
      </c>
      <c r="C250" s="958">
        <v>0.15</v>
      </c>
      <c r="D250" s="958">
        <v>0.15</v>
      </c>
      <c r="E250" s="958">
        <v>0.15</v>
      </c>
      <c r="F250" s="959">
        <v>0.14399999999999999</v>
      </c>
    </row>
    <row r="251" spans="1:6" ht="15" thickBot="1">
      <c r="A251" s="778" t="s">
        <v>529</v>
      </c>
      <c r="B251" s="772" t="s">
        <v>254</v>
      </c>
      <c r="C251" s="958">
        <v>0.15</v>
      </c>
      <c r="D251" s="958">
        <v>0.15</v>
      </c>
      <c r="E251" s="958">
        <v>0.15</v>
      </c>
      <c r="F251" s="959">
        <v>0.14299999999999999</v>
      </c>
    </row>
    <row r="252" spans="1:6" ht="15" thickBot="1">
      <c r="A252" s="778" t="s">
        <v>529</v>
      </c>
      <c r="B252" s="772" t="s">
        <v>265</v>
      </c>
      <c r="C252" s="958">
        <v>0.15</v>
      </c>
      <c r="D252" s="958">
        <v>0.15</v>
      </c>
      <c r="E252" s="958">
        <v>0.15</v>
      </c>
      <c r="F252" s="959">
        <v>0.1</v>
      </c>
    </row>
    <row r="253" spans="1:6" ht="15" thickBot="1">
      <c r="A253" s="778" t="s">
        <v>529</v>
      </c>
      <c r="B253" s="772" t="s">
        <v>277</v>
      </c>
      <c r="C253" s="958">
        <v>0.15</v>
      </c>
      <c r="D253" s="958">
        <v>0.15</v>
      </c>
      <c r="E253" s="958">
        <v>0.15</v>
      </c>
      <c r="F253" s="959">
        <v>0.1</v>
      </c>
    </row>
    <row r="254" spans="1:6" ht="15" thickBot="1">
      <c r="A254" s="778" t="s">
        <v>529</v>
      </c>
      <c r="B254" s="772" t="s">
        <v>287</v>
      </c>
      <c r="C254" s="971"/>
      <c r="D254" s="971"/>
      <c r="E254" s="971"/>
      <c r="F254" s="959">
        <v>0.15</v>
      </c>
    </row>
    <row r="255" spans="1:6" ht="15" thickBot="1">
      <c r="A255" s="778" t="s">
        <v>529</v>
      </c>
      <c r="B255" s="772" t="s">
        <v>297</v>
      </c>
      <c r="C255" s="971"/>
      <c r="D255" s="971"/>
      <c r="E255" s="971"/>
      <c r="F255" s="959">
        <v>0.14299999999999999</v>
      </c>
    </row>
    <row r="256" spans="1:6" ht="15" thickBot="1">
      <c r="A256" s="778" t="s">
        <v>529</v>
      </c>
      <c r="B256" s="772" t="s">
        <v>758</v>
      </c>
      <c r="C256" s="958">
        <v>0.14599999999999999</v>
      </c>
      <c r="D256" s="958">
        <v>0.14699999999999999</v>
      </c>
      <c r="E256" s="958">
        <v>0.15</v>
      </c>
      <c r="F256" s="959">
        <v>0.13200000000000001</v>
      </c>
    </row>
    <row r="257" spans="1:6" ht="15" thickBot="1">
      <c r="A257" s="778" t="s">
        <v>529</v>
      </c>
      <c r="B257" s="772" t="s">
        <v>317</v>
      </c>
      <c r="C257" s="958">
        <v>0.15</v>
      </c>
      <c r="D257" s="958">
        <v>0.15</v>
      </c>
      <c r="E257" s="958">
        <v>0.15</v>
      </c>
      <c r="F257" s="959">
        <v>0.13900000000000001</v>
      </c>
    </row>
    <row r="258" spans="1:6" ht="15" thickBot="1">
      <c r="A258" s="778" t="s">
        <v>529</v>
      </c>
      <c r="B258" s="772" t="s">
        <v>328</v>
      </c>
      <c r="C258" s="958">
        <v>0.15</v>
      </c>
      <c r="D258" s="958">
        <v>0.15</v>
      </c>
      <c r="E258" s="958">
        <v>0.15</v>
      </c>
      <c r="F258" s="959">
        <v>0.13</v>
      </c>
    </row>
    <row r="259" spans="1:6" ht="15" thickBot="1">
      <c r="A259" s="778" t="s">
        <v>529</v>
      </c>
      <c r="B259" s="772" t="s">
        <v>759</v>
      </c>
      <c r="C259" s="958">
        <v>0.14799999999999999</v>
      </c>
      <c r="D259" s="958">
        <v>0.14899999999999999</v>
      </c>
      <c r="E259" s="958">
        <v>0.15</v>
      </c>
      <c r="F259" s="959">
        <v>0.13700000000000001</v>
      </c>
    </row>
    <row r="260" spans="1:6" ht="15" thickBot="1">
      <c r="A260" s="778" t="s">
        <v>529</v>
      </c>
      <c r="B260" s="772" t="s">
        <v>349</v>
      </c>
      <c r="C260" s="958">
        <v>0.15</v>
      </c>
      <c r="D260" s="958">
        <v>0.15</v>
      </c>
      <c r="E260" s="958">
        <v>0.15</v>
      </c>
      <c r="F260" s="959">
        <v>0.14199999999999999</v>
      </c>
    </row>
    <row r="261" spans="1:6" ht="15" thickBot="1">
      <c r="A261" s="778" t="s">
        <v>529</v>
      </c>
      <c r="B261" s="772" t="s">
        <v>359</v>
      </c>
      <c r="C261" s="958">
        <v>0.15</v>
      </c>
      <c r="D261" s="958">
        <v>0.15</v>
      </c>
      <c r="E261" s="958">
        <v>0.14899999999999999</v>
      </c>
      <c r="F261" s="959">
        <v>0.14799999999999999</v>
      </c>
    </row>
    <row r="262" spans="1:6" ht="15" thickBot="1">
      <c r="A262" s="778" t="s">
        <v>529</v>
      </c>
      <c r="B262" s="772" t="s">
        <v>369</v>
      </c>
      <c r="C262" s="958">
        <v>0.15</v>
      </c>
      <c r="D262" s="958">
        <v>0.15</v>
      </c>
      <c r="E262" s="958">
        <v>0.15</v>
      </c>
      <c r="F262" s="970"/>
    </row>
    <row r="263" spans="1:6" ht="15" thickBot="1">
      <c r="A263" s="778" t="s">
        <v>529</v>
      </c>
      <c r="B263" s="772" t="s">
        <v>760</v>
      </c>
      <c r="C263" s="958">
        <v>0.14899999999999999</v>
      </c>
      <c r="D263" s="958">
        <v>0.14899999999999999</v>
      </c>
      <c r="E263" s="958">
        <v>0.15</v>
      </c>
      <c r="F263" s="959">
        <v>0.13</v>
      </c>
    </row>
    <row r="264" spans="1:6" ht="15" thickBot="1">
      <c r="A264" s="778" t="s">
        <v>529</v>
      </c>
      <c r="B264" s="772" t="s">
        <v>388</v>
      </c>
      <c r="C264" s="958">
        <v>0.14799999999999999</v>
      </c>
      <c r="D264" s="958">
        <v>0.14699999999999999</v>
      </c>
      <c r="E264" s="958">
        <v>0.15</v>
      </c>
      <c r="F264" s="959">
        <v>7.8E-2</v>
      </c>
    </row>
    <row r="265" spans="1:6" ht="15" thickBot="1">
      <c r="A265" s="778" t="s">
        <v>529</v>
      </c>
      <c r="B265" s="772" t="s">
        <v>397</v>
      </c>
      <c r="C265" s="958">
        <v>0.15</v>
      </c>
      <c r="D265" s="958">
        <v>0.15</v>
      </c>
      <c r="E265" s="958">
        <v>0.15</v>
      </c>
      <c r="F265" s="959">
        <v>7.3999999999999996E-2</v>
      </c>
    </row>
    <row r="266" spans="1:6" ht="15" thickBot="1">
      <c r="A266" s="778" t="s">
        <v>529</v>
      </c>
      <c r="B266" s="772" t="s">
        <v>405</v>
      </c>
      <c r="C266" s="958">
        <v>0.14699999999999999</v>
      </c>
      <c r="D266" s="958">
        <v>0.14699999999999999</v>
      </c>
      <c r="E266" s="958">
        <v>0.15</v>
      </c>
      <c r="F266" s="959">
        <v>0.14299999999999999</v>
      </c>
    </row>
    <row r="267" spans="1:6" ht="15" thickBot="1">
      <c r="A267" s="778" t="s">
        <v>529</v>
      </c>
      <c r="B267" s="772" t="s">
        <v>412</v>
      </c>
      <c r="C267" s="958">
        <v>0.14199999999999999</v>
      </c>
      <c r="D267" s="958">
        <v>0.14299999999999999</v>
      </c>
      <c r="E267" s="958">
        <v>0.15</v>
      </c>
      <c r="F267" s="970"/>
    </row>
    <row r="268" spans="1:6" ht="15" thickBot="1">
      <c r="A268" s="778" t="s">
        <v>529</v>
      </c>
      <c r="B268" s="772" t="s">
        <v>761</v>
      </c>
      <c r="C268" s="958">
        <v>0.15</v>
      </c>
      <c r="D268" s="958">
        <v>0.15</v>
      </c>
      <c r="E268" s="958">
        <v>0.15</v>
      </c>
      <c r="F268" s="959">
        <v>0.13</v>
      </c>
    </row>
    <row r="269" spans="1:6" ht="15" thickBot="1">
      <c r="A269" s="778" t="s">
        <v>529</v>
      </c>
      <c r="B269" s="772" t="s">
        <v>426</v>
      </c>
      <c r="C269" s="958">
        <v>0.15</v>
      </c>
      <c r="D269" s="958">
        <v>0.15</v>
      </c>
      <c r="E269" s="958">
        <v>0.15</v>
      </c>
      <c r="F269" s="959">
        <v>0.14299999999999999</v>
      </c>
    </row>
    <row r="270" spans="1:6" ht="15" thickBot="1">
      <c r="A270" s="778" t="s">
        <v>529</v>
      </c>
      <c r="B270" s="772" t="s">
        <v>433</v>
      </c>
      <c r="C270" s="958">
        <v>0.14499999999999999</v>
      </c>
      <c r="D270" s="958">
        <v>0.14499999999999999</v>
      </c>
      <c r="E270" s="958">
        <v>0.15</v>
      </c>
      <c r="F270" s="959">
        <v>0.14699999999999999</v>
      </c>
    </row>
    <row r="271" spans="1:6" ht="15" thickBot="1">
      <c r="A271" s="778" t="s">
        <v>529</v>
      </c>
      <c r="B271" s="772" t="s">
        <v>440</v>
      </c>
      <c r="C271" s="958">
        <v>0.15</v>
      </c>
      <c r="D271" s="958">
        <v>0.15</v>
      </c>
      <c r="E271" s="958">
        <v>0.15</v>
      </c>
      <c r="F271" s="959">
        <v>0.13800000000000001</v>
      </c>
    </row>
    <row r="272" spans="1:6" ht="15" thickBot="1">
      <c r="A272" s="778" t="s">
        <v>529</v>
      </c>
      <c r="B272" s="772" t="s">
        <v>447</v>
      </c>
      <c r="C272" s="971"/>
      <c r="D272" s="971"/>
      <c r="E272" s="971"/>
      <c r="F272" s="959">
        <v>0.14000000000000001</v>
      </c>
    </row>
    <row r="273" spans="1:6" ht="15" thickBot="1">
      <c r="A273" s="778" t="s">
        <v>529</v>
      </c>
      <c r="B273" s="772" t="s">
        <v>762</v>
      </c>
      <c r="C273" s="958">
        <v>0.14199999999999999</v>
      </c>
      <c r="D273" s="958">
        <v>0.14299999999999999</v>
      </c>
      <c r="E273" s="958">
        <v>0.15</v>
      </c>
      <c r="F273" s="959">
        <v>0.1</v>
      </c>
    </row>
    <row r="274" spans="1:6" ht="15" thickBot="1">
      <c r="A274" s="778" t="s">
        <v>529</v>
      </c>
      <c r="B274" s="772" t="s">
        <v>763</v>
      </c>
      <c r="C274" s="958">
        <v>0.14799999999999999</v>
      </c>
      <c r="D274" s="958">
        <v>0.14799999999999999</v>
      </c>
      <c r="E274" s="958">
        <v>0.15</v>
      </c>
      <c r="F274" s="959">
        <v>6.7000000000000004E-2</v>
      </c>
    </row>
    <row r="275" spans="1:6" ht="15" thickBot="1">
      <c r="A275" s="778" t="s">
        <v>529</v>
      </c>
      <c r="B275" s="772" t="s">
        <v>764</v>
      </c>
      <c r="C275" s="958">
        <v>0.15</v>
      </c>
      <c r="D275" s="958">
        <v>0.15</v>
      </c>
      <c r="E275" s="958">
        <v>0.15</v>
      </c>
      <c r="F275" s="959">
        <v>0.15</v>
      </c>
    </row>
    <row r="276" spans="1:6" ht="15" thickBot="1">
      <c r="A276" s="778" t="s">
        <v>529</v>
      </c>
      <c r="B276" s="772" t="s">
        <v>765</v>
      </c>
      <c r="C276" s="958">
        <v>0.14499999999999999</v>
      </c>
      <c r="D276" s="958">
        <v>0.14299999999999999</v>
      </c>
      <c r="E276" s="958">
        <v>0.15</v>
      </c>
      <c r="F276" s="959">
        <v>5.8999999999999997E-2</v>
      </c>
    </row>
    <row r="277" spans="1:6" ht="15" thickBot="1">
      <c r="A277" s="778" t="s">
        <v>529</v>
      </c>
      <c r="B277" s="772" t="s">
        <v>766</v>
      </c>
      <c r="C277" s="958">
        <v>0.15</v>
      </c>
      <c r="D277" s="958">
        <v>0.15</v>
      </c>
      <c r="E277" s="958">
        <v>0.15</v>
      </c>
      <c r="F277" s="959">
        <v>0.121</v>
      </c>
    </row>
    <row r="278" spans="1:6" ht="1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5" thickBot="1">
      <c r="A290" s="778" t="s">
        <v>533</v>
      </c>
      <c r="B290" s="779" t="s">
        <v>779</v>
      </c>
      <c r="C290" s="956">
        <v>0.15</v>
      </c>
      <c r="D290" s="956">
        <v>0.15</v>
      </c>
      <c r="E290" s="956">
        <v>0.15</v>
      </c>
      <c r="F290" s="973"/>
    </row>
    <row r="291" spans="1:6" ht="15" thickBot="1">
      <c r="A291" s="778" t="s">
        <v>533</v>
      </c>
      <c r="B291" s="772" t="s">
        <v>195</v>
      </c>
      <c r="C291" s="958">
        <v>0.15</v>
      </c>
      <c r="D291" s="958">
        <v>0.15</v>
      </c>
      <c r="E291" s="958">
        <v>0.15</v>
      </c>
      <c r="F291" s="970"/>
    </row>
    <row r="292" spans="1:6" ht="15" thickBot="1">
      <c r="A292" s="778" t="s">
        <v>533</v>
      </c>
      <c r="B292" s="772" t="s">
        <v>780</v>
      </c>
      <c r="C292" s="958">
        <v>0.15</v>
      </c>
      <c r="D292" s="958">
        <v>0.15</v>
      </c>
      <c r="E292" s="958">
        <v>0.15</v>
      </c>
      <c r="F292" s="959">
        <v>0.14699999999999999</v>
      </c>
    </row>
    <row r="293" spans="1:6" ht="15" thickBot="1">
      <c r="A293" s="778" t="s">
        <v>533</v>
      </c>
      <c r="B293" s="772" t="s">
        <v>781</v>
      </c>
      <c r="C293" s="971"/>
      <c r="D293" s="971"/>
      <c r="E293" s="971"/>
      <c r="F293" s="959">
        <v>0.1</v>
      </c>
    </row>
    <row r="294" spans="1:6" ht="15" thickBot="1">
      <c r="A294" s="778" t="s">
        <v>533</v>
      </c>
      <c r="B294" s="772" t="s">
        <v>782</v>
      </c>
      <c r="C294" s="958">
        <v>0.15</v>
      </c>
      <c r="D294" s="958">
        <v>0.15</v>
      </c>
      <c r="E294" s="958">
        <v>0.15</v>
      </c>
      <c r="F294" s="959">
        <v>0.15</v>
      </c>
    </row>
    <row r="295" spans="1:6" ht="15" thickBot="1">
      <c r="A295" s="778" t="s">
        <v>533</v>
      </c>
      <c r="B295" s="772" t="s">
        <v>233</v>
      </c>
      <c r="C295" s="958">
        <v>0.15</v>
      </c>
      <c r="D295" s="958">
        <v>0.15</v>
      </c>
      <c r="E295" s="958">
        <v>0.15</v>
      </c>
      <c r="F295" s="959">
        <v>0.15</v>
      </c>
    </row>
    <row r="296" spans="1:6" ht="15" thickBot="1">
      <c r="A296" s="778" t="s">
        <v>533</v>
      </c>
      <c r="B296" s="772" t="s">
        <v>783</v>
      </c>
      <c r="C296" s="958">
        <v>0.15</v>
      </c>
      <c r="D296" s="958">
        <v>0.15</v>
      </c>
      <c r="E296" s="958">
        <v>0.15</v>
      </c>
      <c r="F296" s="959">
        <v>0.15</v>
      </c>
    </row>
    <row r="297" spans="1:6" ht="15" thickBot="1">
      <c r="A297" s="778" t="s">
        <v>533</v>
      </c>
      <c r="B297" s="772" t="s">
        <v>784</v>
      </c>
      <c r="C297" s="958">
        <v>0.14799999999999999</v>
      </c>
      <c r="D297" s="958">
        <v>0.14899999999999999</v>
      </c>
      <c r="E297" s="958">
        <v>0.15</v>
      </c>
      <c r="F297" s="959">
        <v>0.13700000000000001</v>
      </c>
    </row>
    <row r="298" spans="1:6" ht="15" thickBot="1">
      <c r="A298" s="778" t="s">
        <v>533</v>
      </c>
      <c r="B298" s="772" t="s">
        <v>266</v>
      </c>
      <c r="C298" s="958">
        <v>0.13400000000000001</v>
      </c>
      <c r="D298" s="958">
        <v>0.13400000000000001</v>
      </c>
      <c r="E298" s="958">
        <v>0.14499999999999999</v>
      </c>
      <c r="F298" s="959">
        <v>0.14799999999999999</v>
      </c>
    </row>
    <row r="299" spans="1:6" ht="15" thickBot="1">
      <c r="A299" s="778" t="s">
        <v>533</v>
      </c>
      <c r="B299" s="772" t="s">
        <v>278</v>
      </c>
      <c r="C299" s="958">
        <v>0.15</v>
      </c>
      <c r="D299" s="958">
        <v>0.15</v>
      </c>
      <c r="E299" s="958">
        <v>0.15</v>
      </c>
      <c r="F299" s="970"/>
    </row>
    <row r="300" spans="1:6" ht="15" thickBot="1">
      <c r="A300" s="778" t="s">
        <v>533</v>
      </c>
      <c r="B300" s="772" t="s">
        <v>785</v>
      </c>
      <c r="C300" s="958">
        <v>0.15</v>
      </c>
      <c r="D300" s="958">
        <v>0.15</v>
      </c>
      <c r="E300" s="958">
        <v>0.15</v>
      </c>
      <c r="F300" s="959">
        <v>0.15</v>
      </c>
    </row>
    <row r="301" spans="1:6" ht="15" thickBot="1">
      <c r="A301" s="778" t="s">
        <v>533</v>
      </c>
      <c r="B301" s="772" t="s">
        <v>298</v>
      </c>
      <c r="C301" s="958">
        <v>0.15</v>
      </c>
      <c r="D301" s="958">
        <v>0.15</v>
      </c>
      <c r="E301" s="958">
        <v>0.15</v>
      </c>
      <c r="F301" s="970"/>
    </row>
    <row r="302" spans="1:6" ht="15" thickBot="1">
      <c r="A302" s="778" t="s">
        <v>533</v>
      </c>
      <c r="B302" s="772" t="s">
        <v>786</v>
      </c>
      <c r="C302" s="958">
        <v>0.15</v>
      </c>
      <c r="D302" s="958">
        <v>0.15</v>
      </c>
      <c r="E302" s="958">
        <v>0.15</v>
      </c>
      <c r="F302" s="959">
        <v>0.15</v>
      </c>
    </row>
    <row r="303" spans="1:6" ht="15" thickBot="1">
      <c r="A303" s="778" t="s">
        <v>533</v>
      </c>
      <c r="B303" s="772" t="s">
        <v>318</v>
      </c>
      <c r="C303" s="958">
        <v>0.15</v>
      </c>
      <c r="D303" s="958">
        <v>0.15</v>
      </c>
      <c r="E303" s="958">
        <v>0.15</v>
      </c>
      <c r="F303" s="959">
        <v>0.15</v>
      </c>
    </row>
    <row r="304" spans="1:6" ht="15" thickBot="1">
      <c r="A304" s="778" t="s">
        <v>533</v>
      </c>
      <c r="B304" s="772" t="s">
        <v>329</v>
      </c>
      <c r="C304" s="958">
        <v>0.15</v>
      </c>
      <c r="D304" s="958">
        <v>0.15</v>
      </c>
      <c r="E304" s="958">
        <v>0.15</v>
      </c>
      <c r="F304" s="970"/>
    </row>
    <row r="305" spans="1:6" ht="15" thickBot="1">
      <c r="A305" s="778" t="s">
        <v>533</v>
      </c>
      <c r="B305" s="772" t="s">
        <v>787</v>
      </c>
      <c r="C305" s="958">
        <v>0.15</v>
      </c>
      <c r="D305" s="958">
        <v>0.15</v>
      </c>
      <c r="E305" s="958">
        <v>0.15</v>
      </c>
      <c r="F305" s="959">
        <v>0.14000000000000001</v>
      </c>
    </row>
    <row r="306" spans="1:6" ht="15" thickBot="1">
      <c r="A306" s="778" t="s">
        <v>533</v>
      </c>
      <c r="B306" s="772" t="s">
        <v>350</v>
      </c>
      <c r="C306" s="958">
        <v>0.15</v>
      </c>
      <c r="D306" s="958">
        <v>0.15</v>
      </c>
      <c r="E306" s="958">
        <v>0.15</v>
      </c>
      <c r="F306" s="970"/>
    </row>
    <row r="307" spans="1:6" ht="15" thickBot="1">
      <c r="A307" s="778" t="s">
        <v>533</v>
      </c>
      <c r="B307" s="772" t="s">
        <v>788</v>
      </c>
      <c r="C307" s="958">
        <v>0.15</v>
      </c>
      <c r="D307" s="958">
        <v>0.15</v>
      </c>
      <c r="E307" s="958">
        <v>0.15</v>
      </c>
      <c r="F307" s="959">
        <v>0.14299999999999999</v>
      </c>
    </row>
    <row r="308" spans="1:6" ht="15" thickBot="1">
      <c r="A308" s="778" t="s">
        <v>533</v>
      </c>
      <c r="B308" s="772" t="s">
        <v>370</v>
      </c>
      <c r="C308" s="958">
        <v>0.15</v>
      </c>
      <c r="D308" s="958">
        <v>0.15</v>
      </c>
      <c r="E308" s="958">
        <v>0.15</v>
      </c>
      <c r="F308" s="959">
        <v>0.15</v>
      </c>
    </row>
    <row r="309" spans="1:6" ht="15" thickBot="1">
      <c r="A309" s="778" t="s">
        <v>533</v>
      </c>
      <c r="B309" s="772" t="s">
        <v>380</v>
      </c>
      <c r="C309" s="958">
        <v>0.15</v>
      </c>
      <c r="D309" s="958">
        <v>0.15</v>
      </c>
      <c r="E309" s="958">
        <v>0.15</v>
      </c>
      <c r="F309" s="970"/>
    </row>
    <row r="310" spans="1:6" ht="15" thickBot="1">
      <c r="A310" s="778" t="s">
        <v>533</v>
      </c>
      <c r="B310" s="772" t="s">
        <v>789</v>
      </c>
      <c r="C310" s="958">
        <v>0.15</v>
      </c>
      <c r="D310" s="958">
        <v>0.15</v>
      </c>
      <c r="E310" s="958">
        <v>0.15</v>
      </c>
      <c r="F310" s="959">
        <v>0.13700000000000001</v>
      </c>
    </row>
    <row r="311" spans="1:6" ht="15" thickBot="1">
      <c r="A311" s="778" t="s">
        <v>533</v>
      </c>
      <c r="B311" s="772" t="s">
        <v>790</v>
      </c>
      <c r="C311" s="958">
        <v>0.15</v>
      </c>
      <c r="D311" s="958">
        <v>0.15</v>
      </c>
      <c r="E311" s="958">
        <v>0.15</v>
      </c>
      <c r="F311" s="959">
        <v>0.15</v>
      </c>
    </row>
    <row r="312" spans="1:6" ht="15" thickBot="1">
      <c r="A312" s="778" t="s">
        <v>533</v>
      </c>
      <c r="B312" s="772" t="s">
        <v>406</v>
      </c>
      <c r="C312" s="958">
        <v>0.15</v>
      </c>
      <c r="D312" s="958">
        <v>0.15</v>
      </c>
      <c r="E312" s="958">
        <v>0.15</v>
      </c>
      <c r="F312" s="959">
        <v>0.1</v>
      </c>
    </row>
    <row r="313" spans="1:6" ht="1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5" thickBot="1">
      <c r="A317" s="778" t="s">
        <v>795</v>
      </c>
      <c r="B317" s="779" t="s">
        <v>796</v>
      </c>
      <c r="C317" s="956">
        <v>0.15</v>
      </c>
      <c r="D317" s="956">
        <v>0.15</v>
      </c>
      <c r="E317" s="956">
        <v>0.15</v>
      </c>
      <c r="F317" s="957">
        <v>0.15</v>
      </c>
    </row>
    <row r="318" spans="1:6" ht="15" thickBot="1">
      <c r="A318" s="778" t="s">
        <v>795</v>
      </c>
      <c r="B318" s="772" t="s">
        <v>797</v>
      </c>
      <c r="C318" s="958">
        <v>0.107</v>
      </c>
      <c r="D318" s="958">
        <v>0.11</v>
      </c>
      <c r="E318" s="958">
        <v>0.112</v>
      </c>
      <c r="F318" s="970"/>
    </row>
    <row r="319" spans="1:6" ht="15" thickBot="1">
      <c r="A319" s="778" t="s">
        <v>795</v>
      </c>
      <c r="B319" s="772" t="s">
        <v>798</v>
      </c>
      <c r="C319" s="958">
        <v>0.15</v>
      </c>
      <c r="D319" s="958">
        <v>0.15</v>
      </c>
      <c r="E319" s="958">
        <v>0.15</v>
      </c>
      <c r="F319" s="959">
        <v>0.15</v>
      </c>
    </row>
    <row r="320" spans="1:6" ht="15" thickBot="1">
      <c r="A320" s="778" t="s">
        <v>795</v>
      </c>
      <c r="B320" s="772" t="s">
        <v>222</v>
      </c>
      <c r="C320" s="958">
        <v>0.15</v>
      </c>
      <c r="D320" s="958">
        <v>0.15</v>
      </c>
      <c r="E320" s="958">
        <v>0.15</v>
      </c>
      <c r="F320" s="970"/>
    </row>
    <row r="321" spans="1:6" ht="15" thickBot="1">
      <c r="A321" s="778" t="s">
        <v>795</v>
      </c>
      <c r="B321" s="772" t="s">
        <v>799</v>
      </c>
      <c r="C321" s="958">
        <v>0.15</v>
      </c>
      <c r="D321" s="958">
        <v>0.15</v>
      </c>
      <c r="E321" s="958">
        <v>0.15</v>
      </c>
      <c r="F321" s="970"/>
    </row>
    <row r="322" spans="1:6" ht="15" thickBot="1">
      <c r="A322" s="778" t="s">
        <v>795</v>
      </c>
      <c r="B322" s="772" t="s">
        <v>800</v>
      </c>
      <c r="C322" s="958">
        <v>0.15</v>
      </c>
      <c r="D322" s="958">
        <v>0.15</v>
      </c>
      <c r="E322" s="958">
        <v>0.15</v>
      </c>
      <c r="F322" s="959">
        <v>0.15</v>
      </c>
    </row>
    <row r="323" spans="1:6" ht="15" thickBot="1">
      <c r="A323" s="778" t="s">
        <v>795</v>
      </c>
      <c r="B323" s="772" t="s">
        <v>801</v>
      </c>
      <c r="C323" s="958">
        <v>0.15</v>
      </c>
      <c r="D323" s="958">
        <v>0.15</v>
      </c>
      <c r="E323" s="958">
        <v>0.15</v>
      </c>
      <c r="F323" s="970"/>
    </row>
    <row r="324" spans="1:6" ht="15" thickBot="1">
      <c r="A324" s="778" t="s">
        <v>795</v>
      </c>
      <c r="B324" s="772" t="s">
        <v>802</v>
      </c>
      <c r="C324" s="958">
        <v>0.15</v>
      </c>
      <c r="D324" s="958">
        <v>0.15</v>
      </c>
      <c r="E324" s="958">
        <v>0.15</v>
      </c>
      <c r="F324" s="970"/>
    </row>
    <row r="325" spans="1:6" ht="15" thickBot="1">
      <c r="A325" s="778" t="s">
        <v>795</v>
      </c>
      <c r="B325" s="772" t="s">
        <v>803</v>
      </c>
      <c r="C325" s="958">
        <v>0.15</v>
      </c>
      <c r="D325" s="958">
        <v>0.15</v>
      </c>
      <c r="E325" s="958">
        <v>0.15</v>
      </c>
      <c r="F325" s="959">
        <v>0.14699999999999999</v>
      </c>
    </row>
    <row r="326" spans="1:6" ht="15" thickBot="1">
      <c r="A326" s="778" t="s">
        <v>795</v>
      </c>
      <c r="B326" s="772" t="s">
        <v>289</v>
      </c>
      <c r="C326" s="958">
        <v>0.15</v>
      </c>
      <c r="D326" s="958">
        <v>0.15</v>
      </c>
      <c r="E326" s="958">
        <v>0.15</v>
      </c>
      <c r="F326" s="970"/>
    </row>
    <row r="327" spans="1:6" ht="15" thickBot="1">
      <c r="A327" s="778" t="s">
        <v>795</v>
      </c>
      <c r="B327" s="772" t="s">
        <v>804</v>
      </c>
      <c r="C327" s="958">
        <v>0.15</v>
      </c>
      <c r="D327" s="958">
        <v>0.15</v>
      </c>
      <c r="E327" s="958">
        <v>0.15</v>
      </c>
      <c r="F327" s="959">
        <v>0.15</v>
      </c>
    </row>
    <row r="328" spans="1:6" ht="15" thickBot="1">
      <c r="A328" s="778" t="s">
        <v>795</v>
      </c>
      <c r="B328" s="772" t="s">
        <v>309</v>
      </c>
      <c r="C328" s="958">
        <v>0.15</v>
      </c>
      <c r="D328" s="958">
        <v>0.15</v>
      </c>
      <c r="E328" s="958">
        <v>0.15</v>
      </c>
      <c r="F328" s="959">
        <v>0.14099999999999999</v>
      </c>
    </row>
    <row r="329" spans="1:6" ht="15" thickBot="1">
      <c r="A329" s="778" t="s">
        <v>795</v>
      </c>
      <c r="B329" s="772" t="s">
        <v>319</v>
      </c>
      <c r="C329" s="958">
        <v>0.15</v>
      </c>
      <c r="D329" s="958">
        <v>0.15</v>
      </c>
      <c r="E329" s="958">
        <v>0.15</v>
      </c>
      <c r="F329" s="959">
        <v>0.15</v>
      </c>
    </row>
    <row r="330" spans="1:6" ht="15" thickBot="1">
      <c r="A330" s="778" t="s">
        <v>795</v>
      </c>
      <c r="B330" s="772" t="s">
        <v>330</v>
      </c>
      <c r="C330" s="958">
        <v>0.15</v>
      </c>
      <c r="D330" s="958">
        <v>0.15</v>
      </c>
      <c r="E330" s="958">
        <v>0.15</v>
      </c>
      <c r="F330" s="970"/>
    </row>
    <row r="331" spans="1:6" ht="15" thickBot="1">
      <c r="A331" s="778" t="s">
        <v>795</v>
      </c>
      <c r="B331" s="772" t="s">
        <v>805</v>
      </c>
      <c r="C331" s="958">
        <v>0.15</v>
      </c>
      <c r="D331" s="958">
        <v>0.15</v>
      </c>
      <c r="E331" s="958">
        <v>0.15</v>
      </c>
      <c r="F331" s="959">
        <v>0.15</v>
      </c>
    </row>
    <row r="332" spans="1:6" ht="15" thickBot="1">
      <c r="A332" s="778" t="s">
        <v>795</v>
      </c>
      <c r="B332" s="772" t="s">
        <v>351</v>
      </c>
      <c r="C332" s="958">
        <v>0.15</v>
      </c>
      <c r="D332" s="958">
        <v>0.15</v>
      </c>
      <c r="E332" s="958">
        <v>0.15</v>
      </c>
      <c r="F332" s="959">
        <v>0.15</v>
      </c>
    </row>
    <row r="333" spans="1:6" ht="15" thickBot="1">
      <c r="A333" s="778" t="s">
        <v>795</v>
      </c>
      <c r="B333" s="772" t="s">
        <v>806</v>
      </c>
      <c r="C333" s="958">
        <v>0.15</v>
      </c>
      <c r="D333" s="958">
        <v>0.15</v>
      </c>
      <c r="E333" s="958">
        <v>0.15</v>
      </c>
      <c r="F333" s="959">
        <v>0.14099999999999999</v>
      </c>
    </row>
    <row r="334" spans="1:6" ht="15" thickBot="1">
      <c r="A334" s="778" t="s">
        <v>795</v>
      </c>
      <c r="B334" s="772" t="s">
        <v>371</v>
      </c>
      <c r="C334" s="958">
        <v>0.15</v>
      </c>
      <c r="D334" s="958">
        <v>0.15</v>
      </c>
      <c r="E334" s="958">
        <v>0.15</v>
      </c>
      <c r="F334" s="959">
        <v>0.15</v>
      </c>
    </row>
    <row r="335" spans="1:6" ht="15" thickBot="1">
      <c r="A335" s="778" t="s">
        <v>795</v>
      </c>
      <c r="B335" s="772" t="s">
        <v>381</v>
      </c>
      <c r="C335" s="958">
        <v>0.15</v>
      </c>
      <c r="D335" s="958">
        <v>0.15</v>
      </c>
      <c r="E335" s="958">
        <v>0.15</v>
      </c>
      <c r="F335" s="970"/>
    </row>
    <row r="336" spans="1:6" ht="15" thickBot="1">
      <c r="A336" s="778" t="s">
        <v>795</v>
      </c>
      <c r="B336" s="772" t="s">
        <v>807</v>
      </c>
      <c r="C336" s="958">
        <v>0.15</v>
      </c>
      <c r="D336" s="958">
        <v>0.15</v>
      </c>
      <c r="E336" s="958">
        <v>0.15</v>
      </c>
      <c r="F336" s="959">
        <v>0.11799999999999999</v>
      </c>
    </row>
    <row r="337" spans="1:6" ht="15" thickBot="1">
      <c r="A337" s="788" t="s">
        <v>795</v>
      </c>
      <c r="B337" s="784" t="s">
        <v>399</v>
      </c>
      <c r="C337" s="968"/>
      <c r="D337" s="968"/>
      <c r="E337" s="968"/>
      <c r="F337" s="961">
        <v>0.14299999999999999</v>
      </c>
    </row>
    <row r="338" spans="1:6" ht="15" thickBot="1">
      <c r="A338" s="778" t="s">
        <v>808</v>
      </c>
      <c r="B338" s="779" t="s">
        <v>809</v>
      </c>
      <c r="C338" s="956">
        <v>0.15</v>
      </c>
      <c r="D338" s="956">
        <v>0.15</v>
      </c>
      <c r="E338" s="956">
        <v>0.15</v>
      </c>
      <c r="F338" s="973"/>
    </row>
    <row r="339" spans="1:6" ht="15" thickBot="1">
      <c r="A339" s="778" t="s">
        <v>808</v>
      </c>
      <c r="B339" s="772" t="s">
        <v>810</v>
      </c>
      <c r="C339" s="958">
        <v>0.15</v>
      </c>
      <c r="D339" s="958">
        <v>0.15</v>
      </c>
      <c r="E339" s="958">
        <v>0.15</v>
      </c>
      <c r="F339" s="970"/>
    </row>
    <row r="340" spans="1:6" ht="15" thickBot="1">
      <c r="A340" s="778" t="s">
        <v>808</v>
      </c>
      <c r="B340" s="772" t="s">
        <v>811</v>
      </c>
      <c r="C340" s="958">
        <v>0.15</v>
      </c>
      <c r="D340" s="958">
        <v>0.15</v>
      </c>
      <c r="E340" s="958">
        <v>0.15</v>
      </c>
      <c r="F340" s="970"/>
    </row>
    <row r="341" spans="1:6" ht="15" thickBot="1">
      <c r="A341" s="778" t="s">
        <v>808</v>
      </c>
      <c r="B341" s="772" t="s">
        <v>812</v>
      </c>
      <c r="C341" s="958">
        <v>0.15</v>
      </c>
      <c r="D341" s="958">
        <v>0.15</v>
      </c>
      <c r="E341" s="958">
        <v>0.15</v>
      </c>
      <c r="F341" s="959">
        <v>0.15</v>
      </c>
    </row>
    <row r="342" spans="1:6" ht="15" thickBot="1">
      <c r="A342" s="778" t="s">
        <v>808</v>
      </c>
      <c r="B342" s="772" t="s">
        <v>813</v>
      </c>
      <c r="C342" s="958">
        <v>0.15</v>
      </c>
      <c r="D342" s="958">
        <v>0.15</v>
      </c>
      <c r="E342" s="958">
        <v>0.15</v>
      </c>
      <c r="F342" s="959">
        <v>0.15</v>
      </c>
    </row>
    <row r="343" spans="1:6" ht="15" thickBot="1">
      <c r="A343" s="778" t="s">
        <v>808</v>
      </c>
      <c r="B343" s="772" t="s">
        <v>814</v>
      </c>
      <c r="C343" s="958">
        <v>0.15</v>
      </c>
      <c r="D343" s="958">
        <v>0.15</v>
      </c>
      <c r="E343" s="958">
        <v>0.15</v>
      </c>
      <c r="F343" s="959">
        <v>0.15</v>
      </c>
    </row>
    <row r="344" spans="1:6" ht="1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468" t="s">
        <v>1386</v>
      </c>
      <c r="B1" s="3468"/>
      <c r="C1" s="3468"/>
      <c r="D1" s="3468"/>
    </row>
    <row r="2" spans="1:4" ht="18">
      <c r="A2" s="3469" t="s">
        <v>1370</v>
      </c>
      <c r="B2" s="3469"/>
      <c r="C2" s="3469"/>
      <c r="D2" s="3469"/>
    </row>
    <row r="3" spans="1:4" ht="18.75">
      <c r="A3" s="1644" t="s">
        <v>1371</v>
      </c>
      <c r="B3" s="1644" t="s">
        <v>1372</v>
      </c>
      <c r="C3" s="1644" t="s">
        <v>1373</v>
      </c>
      <c r="D3" s="1644" t="s">
        <v>1374</v>
      </c>
    </row>
    <row r="4" spans="1:4" ht="56.25" customHeight="1">
      <c r="A4" s="1645" t="str">
        <f>项目基本情况!B4</f>
        <v>梁津</v>
      </c>
      <c r="B4" s="1646">
        <f ca="1">项目基本情况!C4</f>
        <v>0</v>
      </c>
      <c r="C4" s="1647"/>
      <c r="D4" s="1648" t="s">
        <v>1375</v>
      </c>
    </row>
    <row r="5" spans="1:4" ht="56.25" customHeight="1">
      <c r="A5" s="1645" t="str">
        <f>项目基本情况!D4</f>
        <v>陈颖</v>
      </c>
      <c r="B5" s="1646">
        <f ca="1">项目基本情况!E4</f>
        <v>1120060040</v>
      </c>
      <c r="C5" s="1649"/>
      <c r="D5" s="1648" t="s">
        <v>1375</v>
      </c>
    </row>
    <row r="6" spans="1:4" ht="18">
      <c r="A6" s="3469" t="s">
        <v>1376</v>
      </c>
      <c r="B6" s="3469"/>
      <c r="C6" s="3469"/>
      <c r="D6" s="3469"/>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470" t="s">
        <v>1379</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2"/>
      <c r="C12" s="3472"/>
      <c r="D12" s="3472"/>
    </row>
    <row r="13" spans="1:4" ht="30" customHeight="1">
      <c r="A13" s="3471" t="str">
        <f>IF(项目基本情况!B8="抵押","3.抵押双方在办理抵押登记手续时，应使用本公司出具的正式《房地产评估报告》，特提醒报告使用者注意。","——")</f>
        <v>——</v>
      </c>
      <c r="B13" s="3472"/>
      <c r="C13" s="3472"/>
      <c r="D13" s="3472"/>
    </row>
    <row r="14" spans="1:4" ht="15.75" customHeight="1">
      <c r="A14" s="3471" t="str">
        <f>IF(项目基本情况!B8="抵押","4.本次评估估价师所知悉的法定优先受偿款情况说明如下：","——")</f>
        <v>——</v>
      </c>
      <c r="B14" s="3472"/>
      <c r="C14" s="3472"/>
      <c r="D14" s="3472"/>
    </row>
    <row r="15" spans="1:4" ht="42" customHeight="1">
      <c r="A15" s="3471" t="str">
        <f>IF(项目基本情况!B8="抵押","（1）"&amp;CONCATENATE(项目基本情况!L20,项目基本情况!L21,项目基本情况!L22),"——")</f>
        <v>——</v>
      </c>
      <c r="B15" s="3471"/>
      <c r="C15" s="3471"/>
      <c r="D15" s="3471"/>
    </row>
    <row r="16" spans="1:4" ht="30" customHeight="1">
      <c r="A16" s="3474" t="s">
        <v>1380</v>
      </c>
      <c r="B16" s="3474"/>
      <c r="C16" s="3474"/>
      <c r="D16" s="3474"/>
    </row>
    <row r="17" spans="1:4" ht="144" customHeight="1">
      <c r="A17" s="3474" t="s">
        <v>1381</v>
      </c>
      <c r="B17" s="3474"/>
      <c r="C17" s="3474"/>
      <c r="D17" s="3474"/>
    </row>
    <row r="18" spans="1:4" ht="15.75" customHeight="1">
      <c r="A18" s="3471" t="str">
        <f>IF(项目基本情况!B8="抵押",'结果表-商业'!K120,"——")</f>
        <v>——</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1382</v>
      </c>
      <c r="B22" s="3476"/>
      <c r="C22" s="3476"/>
      <c r="D22" s="347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IW72"/>
  <sheetViews>
    <sheetView workbookViewId="0">
      <selection activeCell="D13" sqref="D13"/>
    </sheetView>
  </sheetViews>
  <sheetFormatPr defaultColWidth="8.875" defaultRowHeight="14.25"/>
  <cols>
    <col min="1" max="1" width="4.875" style="1362" customWidth="1"/>
    <col min="2" max="2" width="13.125" style="1368" customWidth="1"/>
    <col min="3" max="3" width="15.625" style="1368" customWidth="1"/>
    <col min="4" max="4" width="9.375" style="1368" bestFit="1" customWidth="1"/>
    <col min="5" max="5" width="13.5" style="1368" customWidth="1"/>
    <col min="6" max="6" width="8.875" style="1368"/>
    <col min="7" max="7" width="9.375" style="1368" bestFit="1" customWidth="1"/>
    <col min="8" max="8" width="12.125" style="1368" customWidth="1"/>
    <col min="9" max="9" width="8.875" style="1368"/>
    <col min="10" max="10" width="9.375" style="1368" bestFit="1" customWidth="1"/>
    <col min="11" max="11" width="4" style="1362" customWidth="1"/>
    <col min="12" max="12" width="5.125" style="1368" customWidth="1"/>
    <col min="13" max="13" width="13.625" style="1368" customWidth="1"/>
    <col min="14" max="256" width="8.875" style="1368"/>
    <col min="257" max="257" width="4.875" style="1359" customWidth="1"/>
    <col min="258" max="258" width="13.125" style="1359" customWidth="1"/>
    <col min="259" max="259" width="15.625" style="1359" customWidth="1"/>
    <col min="260" max="260" width="9.375" style="1359" bestFit="1" customWidth="1"/>
    <col min="261" max="261" width="13.5" style="1359" customWidth="1"/>
    <col min="262" max="262" width="8.875" style="1359"/>
    <col min="263" max="263" width="9.375" style="1359" bestFit="1" customWidth="1"/>
    <col min="264" max="265" width="8.875" style="1359"/>
    <col min="266" max="266" width="9.375" style="1359" bestFit="1" customWidth="1"/>
    <col min="267" max="267" width="4" style="1359" customWidth="1"/>
    <col min="268" max="268" width="5.125" style="1359" customWidth="1"/>
    <col min="269" max="269" width="13.625" style="1359" customWidth="1"/>
    <col min="270" max="512" width="8.875" style="1359"/>
    <col min="513" max="513" width="4.875" style="1359" customWidth="1"/>
    <col min="514" max="514" width="13.125" style="1359" customWidth="1"/>
    <col min="515" max="515" width="15.625" style="1359" customWidth="1"/>
    <col min="516" max="516" width="9.375" style="1359" bestFit="1" customWidth="1"/>
    <col min="517" max="517" width="13.5" style="1359" customWidth="1"/>
    <col min="518" max="518" width="8.875" style="1359"/>
    <col min="519" max="519" width="9.375" style="1359" bestFit="1" customWidth="1"/>
    <col min="520" max="521" width="8.875" style="1359"/>
    <col min="522" max="522" width="9.375" style="1359" bestFit="1" customWidth="1"/>
    <col min="523" max="523" width="4" style="1359" customWidth="1"/>
    <col min="524" max="524" width="5.125" style="1359" customWidth="1"/>
    <col min="525" max="525" width="13.625" style="1359" customWidth="1"/>
    <col min="526" max="768" width="8.875" style="1359"/>
    <col min="769" max="769" width="4.875" style="1359" customWidth="1"/>
    <col min="770" max="770" width="13.125" style="1359" customWidth="1"/>
    <col min="771" max="771" width="15.625" style="1359" customWidth="1"/>
    <col min="772" max="772" width="9.375" style="1359" bestFit="1" customWidth="1"/>
    <col min="773" max="773" width="13.5" style="1359" customWidth="1"/>
    <col min="774" max="774" width="8.875" style="1359"/>
    <col min="775" max="775" width="9.375" style="1359" bestFit="1" customWidth="1"/>
    <col min="776" max="777" width="8.875" style="1359"/>
    <col min="778" max="778" width="9.375" style="1359" bestFit="1" customWidth="1"/>
    <col min="779" max="779" width="4" style="1359" customWidth="1"/>
    <col min="780" max="780" width="5.125" style="1359" customWidth="1"/>
    <col min="781" max="781" width="13.625" style="1359" customWidth="1"/>
    <col min="782" max="1024" width="8.875" style="1359"/>
    <col min="1025" max="1025" width="4.875" style="1359" customWidth="1"/>
    <col min="1026" max="1026" width="13.125" style="1359" customWidth="1"/>
    <col min="1027" max="1027" width="15.625" style="1359" customWidth="1"/>
    <col min="1028" max="1028" width="9.375" style="1359" bestFit="1" customWidth="1"/>
    <col min="1029" max="1029" width="13.5" style="1359" customWidth="1"/>
    <col min="1030" max="1030" width="8.875" style="1359"/>
    <col min="1031" max="1031" width="9.375" style="1359" bestFit="1" customWidth="1"/>
    <col min="1032" max="1033" width="8.875" style="1359"/>
    <col min="1034" max="1034" width="9.375" style="1359" bestFit="1" customWidth="1"/>
    <col min="1035" max="1035" width="4" style="1359" customWidth="1"/>
    <col min="1036" max="1036" width="5.125" style="1359" customWidth="1"/>
    <col min="1037" max="1037" width="13.625" style="1359" customWidth="1"/>
    <col min="1038" max="1280" width="8.875" style="1359"/>
    <col min="1281" max="1281" width="4.875" style="1359" customWidth="1"/>
    <col min="1282" max="1282" width="13.125" style="1359" customWidth="1"/>
    <col min="1283" max="1283" width="15.625" style="1359" customWidth="1"/>
    <col min="1284" max="1284" width="9.375" style="1359" bestFit="1" customWidth="1"/>
    <col min="1285" max="1285" width="13.5" style="1359" customWidth="1"/>
    <col min="1286" max="1286" width="8.875" style="1359"/>
    <col min="1287" max="1287" width="9.375" style="1359" bestFit="1" customWidth="1"/>
    <col min="1288" max="1289" width="8.875" style="1359"/>
    <col min="1290" max="1290" width="9.375" style="1359" bestFit="1" customWidth="1"/>
    <col min="1291" max="1291" width="4" style="1359" customWidth="1"/>
    <col min="1292" max="1292" width="5.125" style="1359" customWidth="1"/>
    <col min="1293" max="1293" width="13.625" style="1359" customWidth="1"/>
    <col min="1294" max="1536" width="8.875" style="1359"/>
    <col min="1537" max="1537" width="4.875" style="1359" customWidth="1"/>
    <col min="1538" max="1538" width="13.125" style="1359" customWidth="1"/>
    <col min="1539" max="1539" width="15.625" style="1359" customWidth="1"/>
    <col min="1540" max="1540" width="9.375" style="1359" bestFit="1" customWidth="1"/>
    <col min="1541" max="1541" width="13.5" style="1359" customWidth="1"/>
    <col min="1542" max="1542" width="8.875" style="1359"/>
    <col min="1543" max="1543" width="9.375" style="1359" bestFit="1" customWidth="1"/>
    <col min="1544" max="1545" width="8.875" style="1359"/>
    <col min="1546" max="1546" width="9.375" style="1359" bestFit="1" customWidth="1"/>
    <col min="1547" max="1547" width="4" style="1359" customWidth="1"/>
    <col min="1548" max="1548" width="5.125" style="1359" customWidth="1"/>
    <col min="1549" max="1549" width="13.625" style="1359" customWidth="1"/>
    <col min="1550" max="1792" width="8.875" style="1359"/>
    <col min="1793" max="1793" width="4.875" style="1359" customWidth="1"/>
    <col min="1794" max="1794" width="13.125" style="1359" customWidth="1"/>
    <col min="1795" max="1795" width="15.625" style="1359" customWidth="1"/>
    <col min="1796" max="1796" width="9.375" style="1359" bestFit="1" customWidth="1"/>
    <col min="1797" max="1797" width="13.5" style="1359" customWidth="1"/>
    <col min="1798" max="1798" width="8.875" style="1359"/>
    <col min="1799" max="1799" width="9.375" style="1359" bestFit="1" customWidth="1"/>
    <col min="1800" max="1801" width="8.875" style="1359"/>
    <col min="1802" max="1802" width="9.375" style="1359" bestFit="1" customWidth="1"/>
    <col min="1803" max="1803" width="4" style="1359" customWidth="1"/>
    <col min="1804" max="1804" width="5.125" style="1359" customWidth="1"/>
    <col min="1805" max="1805" width="13.625" style="1359" customWidth="1"/>
    <col min="1806" max="2048" width="8.875" style="1359"/>
    <col min="2049" max="2049" width="4.875" style="1359" customWidth="1"/>
    <col min="2050" max="2050" width="13.125" style="1359" customWidth="1"/>
    <col min="2051" max="2051" width="15.625" style="1359" customWidth="1"/>
    <col min="2052" max="2052" width="9.375" style="1359" bestFit="1" customWidth="1"/>
    <col min="2053" max="2053" width="13.5" style="1359" customWidth="1"/>
    <col min="2054" max="2054" width="8.875" style="1359"/>
    <col min="2055" max="2055" width="9.375" style="1359" bestFit="1" customWidth="1"/>
    <col min="2056" max="2057" width="8.875" style="1359"/>
    <col min="2058" max="2058" width="9.375" style="1359" bestFit="1" customWidth="1"/>
    <col min="2059" max="2059" width="4" style="1359" customWidth="1"/>
    <col min="2060" max="2060" width="5.125" style="1359" customWidth="1"/>
    <col min="2061" max="2061" width="13.625" style="1359" customWidth="1"/>
    <col min="2062" max="2304" width="8.875" style="1359"/>
    <col min="2305" max="2305" width="4.875" style="1359" customWidth="1"/>
    <col min="2306" max="2306" width="13.125" style="1359" customWidth="1"/>
    <col min="2307" max="2307" width="15.625" style="1359" customWidth="1"/>
    <col min="2308" max="2308" width="9.375" style="1359" bestFit="1" customWidth="1"/>
    <col min="2309" max="2309" width="13.5" style="1359" customWidth="1"/>
    <col min="2310" max="2310" width="8.875" style="1359"/>
    <col min="2311" max="2311" width="9.375" style="1359" bestFit="1" customWidth="1"/>
    <col min="2312" max="2313" width="8.875" style="1359"/>
    <col min="2314" max="2314" width="9.375" style="1359" bestFit="1" customWidth="1"/>
    <col min="2315" max="2315" width="4" style="1359" customWidth="1"/>
    <col min="2316" max="2316" width="5.125" style="1359" customWidth="1"/>
    <col min="2317" max="2317" width="13.625" style="1359" customWidth="1"/>
    <col min="2318" max="2560" width="8.875" style="1359"/>
    <col min="2561" max="2561" width="4.875" style="1359" customWidth="1"/>
    <col min="2562" max="2562" width="13.125" style="1359" customWidth="1"/>
    <col min="2563" max="2563" width="15.625" style="1359" customWidth="1"/>
    <col min="2564" max="2564" width="9.375" style="1359" bestFit="1" customWidth="1"/>
    <col min="2565" max="2565" width="13.5" style="1359" customWidth="1"/>
    <col min="2566" max="2566" width="8.875" style="1359"/>
    <col min="2567" max="2567" width="9.375" style="1359" bestFit="1" customWidth="1"/>
    <col min="2568" max="2569" width="8.875" style="1359"/>
    <col min="2570" max="2570" width="9.375" style="1359" bestFit="1" customWidth="1"/>
    <col min="2571" max="2571" width="4" style="1359" customWidth="1"/>
    <col min="2572" max="2572" width="5.125" style="1359" customWidth="1"/>
    <col min="2573" max="2573" width="13.625" style="1359" customWidth="1"/>
    <col min="2574" max="2816" width="8.875" style="1359"/>
    <col min="2817" max="2817" width="4.875" style="1359" customWidth="1"/>
    <col min="2818" max="2818" width="13.125" style="1359" customWidth="1"/>
    <col min="2819" max="2819" width="15.625" style="1359" customWidth="1"/>
    <col min="2820" max="2820" width="9.375" style="1359" bestFit="1" customWidth="1"/>
    <col min="2821" max="2821" width="13.5" style="1359" customWidth="1"/>
    <col min="2822" max="2822" width="8.875" style="1359"/>
    <col min="2823" max="2823" width="9.375" style="1359" bestFit="1" customWidth="1"/>
    <col min="2824" max="2825" width="8.875" style="1359"/>
    <col min="2826" max="2826" width="9.375" style="1359" bestFit="1" customWidth="1"/>
    <col min="2827" max="2827" width="4" style="1359" customWidth="1"/>
    <col min="2828" max="2828" width="5.125" style="1359" customWidth="1"/>
    <col min="2829" max="2829" width="13.625" style="1359" customWidth="1"/>
    <col min="2830" max="3072" width="8.875" style="1359"/>
    <col min="3073" max="3073" width="4.875" style="1359" customWidth="1"/>
    <col min="3074" max="3074" width="13.125" style="1359" customWidth="1"/>
    <col min="3075" max="3075" width="15.625" style="1359" customWidth="1"/>
    <col min="3076" max="3076" width="9.375" style="1359" bestFit="1" customWidth="1"/>
    <col min="3077" max="3077" width="13.5" style="1359" customWidth="1"/>
    <col min="3078" max="3078" width="8.875" style="1359"/>
    <col min="3079" max="3079" width="9.375" style="1359" bestFit="1" customWidth="1"/>
    <col min="3080" max="3081" width="8.875" style="1359"/>
    <col min="3082" max="3082" width="9.375" style="1359" bestFit="1" customWidth="1"/>
    <col min="3083" max="3083" width="4" style="1359" customWidth="1"/>
    <col min="3084" max="3084" width="5.125" style="1359" customWidth="1"/>
    <col min="3085" max="3085" width="13.625" style="1359" customWidth="1"/>
    <col min="3086" max="3328" width="8.875" style="1359"/>
    <col min="3329" max="3329" width="4.875" style="1359" customWidth="1"/>
    <col min="3330" max="3330" width="13.125" style="1359" customWidth="1"/>
    <col min="3331" max="3331" width="15.625" style="1359" customWidth="1"/>
    <col min="3332" max="3332" width="9.375" style="1359" bestFit="1" customWidth="1"/>
    <col min="3333" max="3333" width="13.5" style="1359" customWidth="1"/>
    <col min="3334" max="3334" width="8.875" style="1359"/>
    <col min="3335" max="3335" width="9.375" style="1359" bestFit="1" customWidth="1"/>
    <col min="3336" max="3337" width="8.875" style="1359"/>
    <col min="3338" max="3338" width="9.375" style="1359" bestFit="1" customWidth="1"/>
    <col min="3339" max="3339" width="4" style="1359" customWidth="1"/>
    <col min="3340" max="3340" width="5.125" style="1359" customWidth="1"/>
    <col min="3341" max="3341" width="13.625" style="1359" customWidth="1"/>
    <col min="3342" max="3584" width="8.875" style="1359"/>
    <col min="3585" max="3585" width="4.875" style="1359" customWidth="1"/>
    <col min="3586" max="3586" width="13.125" style="1359" customWidth="1"/>
    <col min="3587" max="3587" width="15.625" style="1359" customWidth="1"/>
    <col min="3588" max="3588" width="9.375" style="1359" bestFit="1" customWidth="1"/>
    <col min="3589" max="3589" width="13.5" style="1359" customWidth="1"/>
    <col min="3590" max="3590" width="8.875" style="1359"/>
    <col min="3591" max="3591" width="9.375" style="1359" bestFit="1" customWidth="1"/>
    <col min="3592" max="3593" width="8.875" style="1359"/>
    <col min="3594" max="3594" width="9.375" style="1359" bestFit="1" customWidth="1"/>
    <col min="3595" max="3595" width="4" style="1359" customWidth="1"/>
    <col min="3596" max="3596" width="5.125" style="1359" customWidth="1"/>
    <col min="3597" max="3597" width="13.625" style="1359" customWidth="1"/>
    <col min="3598" max="3840" width="8.875" style="1359"/>
    <col min="3841" max="3841" width="4.875" style="1359" customWidth="1"/>
    <col min="3842" max="3842" width="13.125" style="1359" customWidth="1"/>
    <col min="3843" max="3843" width="15.625" style="1359" customWidth="1"/>
    <col min="3844" max="3844" width="9.375" style="1359" bestFit="1" customWidth="1"/>
    <col min="3845" max="3845" width="13.5" style="1359" customWidth="1"/>
    <col min="3846" max="3846" width="8.875" style="1359"/>
    <col min="3847" max="3847" width="9.375" style="1359" bestFit="1" customWidth="1"/>
    <col min="3848" max="3849" width="8.875" style="1359"/>
    <col min="3850" max="3850" width="9.375" style="1359" bestFit="1" customWidth="1"/>
    <col min="3851" max="3851" width="4" style="1359" customWidth="1"/>
    <col min="3852" max="3852" width="5.125" style="1359" customWidth="1"/>
    <col min="3853" max="3853" width="13.625" style="1359" customWidth="1"/>
    <col min="3854" max="4096" width="8.875" style="1359"/>
    <col min="4097" max="4097" width="4.875" style="1359" customWidth="1"/>
    <col min="4098" max="4098" width="13.125" style="1359" customWidth="1"/>
    <col min="4099" max="4099" width="15.625" style="1359" customWidth="1"/>
    <col min="4100" max="4100" width="9.375" style="1359" bestFit="1" customWidth="1"/>
    <col min="4101" max="4101" width="13.5" style="1359" customWidth="1"/>
    <col min="4102" max="4102" width="8.875" style="1359"/>
    <col min="4103" max="4103" width="9.375" style="1359" bestFit="1" customWidth="1"/>
    <col min="4104" max="4105" width="8.875" style="1359"/>
    <col min="4106" max="4106" width="9.375" style="1359" bestFit="1" customWidth="1"/>
    <col min="4107" max="4107" width="4" style="1359" customWidth="1"/>
    <col min="4108" max="4108" width="5.125" style="1359" customWidth="1"/>
    <col min="4109" max="4109" width="13.625" style="1359" customWidth="1"/>
    <col min="4110" max="4352" width="8.875" style="1359"/>
    <col min="4353" max="4353" width="4.875" style="1359" customWidth="1"/>
    <col min="4354" max="4354" width="13.125" style="1359" customWidth="1"/>
    <col min="4355" max="4355" width="15.625" style="1359" customWidth="1"/>
    <col min="4356" max="4356" width="9.375" style="1359" bestFit="1" customWidth="1"/>
    <col min="4357" max="4357" width="13.5" style="1359" customWidth="1"/>
    <col min="4358" max="4358" width="8.875" style="1359"/>
    <col min="4359" max="4359" width="9.375" style="1359" bestFit="1" customWidth="1"/>
    <col min="4360" max="4361" width="8.875" style="1359"/>
    <col min="4362" max="4362" width="9.375" style="1359" bestFit="1" customWidth="1"/>
    <col min="4363" max="4363" width="4" style="1359" customWidth="1"/>
    <col min="4364" max="4364" width="5.125" style="1359" customWidth="1"/>
    <col min="4365" max="4365" width="13.625" style="1359" customWidth="1"/>
    <col min="4366" max="4608" width="8.875" style="1359"/>
    <col min="4609" max="4609" width="4.875" style="1359" customWidth="1"/>
    <col min="4610" max="4610" width="13.125" style="1359" customWidth="1"/>
    <col min="4611" max="4611" width="15.625" style="1359" customWidth="1"/>
    <col min="4612" max="4612" width="9.375" style="1359" bestFit="1" customWidth="1"/>
    <col min="4613" max="4613" width="13.5" style="1359" customWidth="1"/>
    <col min="4614" max="4614" width="8.875" style="1359"/>
    <col min="4615" max="4615" width="9.375" style="1359" bestFit="1" customWidth="1"/>
    <col min="4616" max="4617" width="8.875" style="1359"/>
    <col min="4618" max="4618" width="9.375" style="1359" bestFit="1" customWidth="1"/>
    <col min="4619" max="4619" width="4" style="1359" customWidth="1"/>
    <col min="4620" max="4620" width="5.125" style="1359" customWidth="1"/>
    <col min="4621" max="4621" width="13.625" style="1359" customWidth="1"/>
    <col min="4622" max="4864" width="8.875" style="1359"/>
    <col min="4865" max="4865" width="4.875" style="1359" customWidth="1"/>
    <col min="4866" max="4866" width="13.125" style="1359" customWidth="1"/>
    <col min="4867" max="4867" width="15.625" style="1359" customWidth="1"/>
    <col min="4868" max="4868" width="9.375" style="1359" bestFit="1" customWidth="1"/>
    <col min="4869" max="4869" width="13.5" style="1359" customWidth="1"/>
    <col min="4870" max="4870" width="8.875" style="1359"/>
    <col min="4871" max="4871" width="9.375" style="1359" bestFit="1" customWidth="1"/>
    <col min="4872" max="4873" width="8.875" style="1359"/>
    <col min="4874" max="4874" width="9.375" style="1359" bestFit="1" customWidth="1"/>
    <col min="4875" max="4875" width="4" style="1359" customWidth="1"/>
    <col min="4876" max="4876" width="5.125" style="1359" customWidth="1"/>
    <col min="4877" max="4877" width="13.625" style="1359" customWidth="1"/>
    <col min="4878" max="5120" width="8.875" style="1359"/>
    <col min="5121" max="5121" width="4.875" style="1359" customWidth="1"/>
    <col min="5122" max="5122" width="13.125" style="1359" customWidth="1"/>
    <col min="5123" max="5123" width="15.625" style="1359" customWidth="1"/>
    <col min="5124" max="5124" width="9.375" style="1359" bestFit="1" customWidth="1"/>
    <col min="5125" max="5125" width="13.5" style="1359" customWidth="1"/>
    <col min="5126" max="5126" width="8.875" style="1359"/>
    <col min="5127" max="5127" width="9.375" style="1359" bestFit="1" customWidth="1"/>
    <col min="5128" max="5129" width="8.875" style="1359"/>
    <col min="5130" max="5130" width="9.375" style="1359" bestFit="1" customWidth="1"/>
    <col min="5131" max="5131" width="4" style="1359" customWidth="1"/>
    <col min="5132" max="5132" width="5.125" style="1359" customWidth="1"/>
    <col min="5133" max="5133" width="13.625" style="1359" customWidth="1"/>
    <col min="5134" max="5376" width="8.875" style="1359"/>
    <col min="5377" max="5377" width="4.875" style="1359" customWidth="1"/>
    <col min="5378" max="5378" width="13.125" style="1359" customWidth="1"/>
    <col min="5379" max="5379" width="15.625" style="1359" customWidth="1"/>
    <col min="5380" max="5380" width="9.375" style="1359" bestFit="1" customWidth="1"/>
    <col min="5381" max="5381" width="13.5" style="1359" customWidth="1"/>
    <col min="5382" max="5382" width="8.875" style="1359"/>
    <col min="5383" max="5383" width="9.375" style="1359" bestFit="1" customWidth="1"/>
    <col min="5384" max="5385" width="8.875" style="1359"/>
    <col min="5386" max="5386" width="9.375" style="1359" bestFit="1" customWidth="1"/>
    <col min="5387" max="5387" width="4" style="1359" customWidth="1"/>
    <col min="5388" max="5388" width="5.125" style="1359" customWidth="1"/>
    <col min="5389" max="5389" width="13.625" style="1359" customWidth="1"/>
    <col min="5390" max="5632" width="8.875" style="1359"/>
    <col min="5633" max="5633" width="4.875" style="1359" customWidth="1"/>
    <col min="5634" max="5634" width="13.125" style="1359" customWidth="1"/>
    <col min="5635" max="5635" width="15.625" style="1359" customWidth="1"/>
    <col min="5636" max="5636" width="9.375" style="1359" bestFit="1" customWidth="1"/>
    <col min="5637" max="5637" width="13.5" style="1359" customWidth="1"/>
    <col min="5638" max="5638" width="8.875" style="1359"/>
    <col min="5639" max="5639" width="9.375" style="1359" bestFit="1" customWidth="1"/>
    <col min="5640" max="5641" width="8.875" style="1359"/>
    <col min="5642" max="5642" width="9.375" style="1359" bestFit="1" customWidth="1"/>
    <col min="5643" max="5643" width="4" style="1359" customWidth="1"/>
    <col min="5644" max="5644" width="5.125" style="1359" customWidth="1"/>
    <col min="5645" max="5645" width="13.625" style="1359" customWidth="1"/>
    <col min="5646" max="5888" width="8.875" style="1359"/>
    <col min="5889" max="5889" width="4.875" style="1359" customWidth="1"/>
    <col min="5890" max="5890" width="13.125" style="1359" customWidth="1"/>
    <col min="5891" max="5891" width="15.625" style="1359" customWidth="1"/>
    <col min="5892" max="5892" width="9.375" style="1359" bestFit="1" customWidth="1"/>
    <col min="5893" max="5893" width="13.5" style="1359" customWidth="1"/>
    <col min="5894" max="5894" width="8.875" style="1359"/>
    <col min="5895" max="5895" width="9.375" style="1359" bestFit="1" customWidth="1"/>
    <col min="5896" max="5897" width="8.875" style="1359"/>
    <col min="5898" max="5898" width="9.375" style="1359" bestFit="1" customWidth="1"/>
    <col min="5899" max="5899" width="4" style="1359" customWidth="1"/>
    <col min="5900" max="5900" width="5.125" style="1359" customWidth="1"/>
    <col min="5901" max="5901" width="13.625" style="1359" customWidth="1"/>
    <col min="5902" max="6144" width="8.875" style="1359"/>
    <col min="6145" max="6145" width="4.875" style="1359" customWidth="1"/>
    <col min="6146" max="6146" width="13.125" style="1359" customWidth="1"/>
    <col min="6147" max="6147" width="15.625" style="1359" customWidth="1"/>
    <col min="6148" max="6148" width="9.375" style="1359" bestFit="1" customWidth="1"/>
    <col min="6149" max="6149" width="13.5" style="1359" customWidth="1"/>
    <col min="6150" max="6150" width="8.875" style="1359"/>
    <col min="6151" max="6151" width="9.375" style="1359" bestFit="1" customWidth="1"/>
    <col min="6152" max="6153" width="8.875" style="1359"/>
    <col min="6154" max="6154" width="9.375" style="1359" bestFit="1" customWidth="1"/>
    <col min="6155" max="6155" width="4" style="1359" customWidth="1"/>
    <col min="6156" max="6156" width="5.125" style="1359" customWidth="1"/>
    <col min="6157" max="6157" width="13.625" style="1359" customWidth="1"/>
    <col min="6158" max="6400" width="8.875" style="1359"/>
    <col min="6401" max="6401" width="4.875" style="1359" customWidth="1"/>
    <col min="6402" max="6402" width="13.125" style="1359" customWidth="1"/>
    <col min="6403" max="6403" width="15.625" style="1359" customWidth="1"/>
    <col min="6404" max="6404" width="9.375" style="1359" bestFit="1" customWidth="1"/>
    <col min="6405" max="6405" width="13.5" style="1359" customWidth="1"/>
    <col min="6406" max="6406" width="8.875" style="1359"/>
    <col min="6407" max="6407" width="9.375" style="1359" bestFit="1" customWidth="1"/>
    <col min="6408" max="6409" width="8.875" style="1359"/>
    <col min="6410" max="6410" width="9.375" style="1359" bestFit="1" customWidth="1"/>
    <col min="6411" max="6411" width="4" style="1359" customWidth="1"/>
    <col min="6412" max="6412" width="5.125" style="1359" customWidth="1"/>
    <col min="6413" max="6413" width="13.625" style="1359" customWidth="1"/>
    <col min="6414" max="6656" width="8.875" style="1359"/>
    <col min="6657" max="6657" width="4.875" style="1359" customWidth="1"/>
    <col min="6658" max="6658" width="13.125" style="1359" customWidth="1"/>
    <col min="6659" max="6659" width="15.625" style="1359" customWidth="1"/>
    <col min="6660" max="6660" width="9.375" style="1359" bestFit="1" customWidth="1"/>
    <col min="6661" max="6661" width="13.5" style="1359" customWidth="1"/>
    <col min="6662" max="6662" width="8.875" style="1359"/>
    <col min="6663" max="6663" width="9.375" style="1359" bestFit="1" customWidth="1"/>
    <col min="6664" max="6665" width="8.875" style="1359"/>
    <col min="6666" max="6666" width="9.375" style="1359" bestFit="1" customWidth="1"/>
    <col min="6667" max="6667" width="4" style="1359" customWidth="1"/>
    <col min="6668" max="6668" width="5.125" style="1359" customWidth="1"/>
    <col min="6669" max="6669" width="13.625" style="1359" customWidth="1"/>
    <col min="6670" max="6912" width="8.875" style="1359"/>
    <col min="6913" max="6913" width="4.875" style="1359" customWidth="1"/>
    <col min="6914" max="6914" width="13.125" style="1359" customWidth="1"/>
    <col min="6915" max="6915" width="15.625" style="1359" customWidth="1"/>
    <col min="6916" max="6916" width="9.375" style="1359" bestFit="1" customWidth="1"/>
    <col min="6917" max="6917" width="13.5" style="1359" customWidth="1"/>
    <col min="6918" max="6918" width="8.875" style="1359"/>
    <col min="6919" max="6919" width="9.375" style="1359" bestFit="1" customWidth="1"/>
    <col min="6920" max="6921" width="8.875" style="1359"/>
    <col min="6922" max="6922" width="9.375" style="1359" bestFit="1" customWidth="1"/>
    <col min="6923" max="6923" width="4" style="1359" customWidth="1"/>
    <col min="6924" max="6924" width="5.125" style="1359" customWidth="1"/>
    <col min="6925" max="6925" width="13.625" style="1359" customWidth="1"/>
    <col min="6926" max="7168" width="8.875" style="1359"/>
    <col min="7169" max="7169" width="4.875" style="1359" customWidth="1"/>
    <col min="7170" max="7170" width="13.125" style="1359" customWidth="1"/>
    <col min="7171" max="7171" width="15.625" style="1359" customWidth="1"/>
    <col min="7172" max="7172" width="9.375" style="1359" bestFit="1" customWidth="1"/>
    <col min="7173" max="7173" width="13.5" style="1359" customWidth="1"/>
    <col min="7174" max="7174" width="8.875" style="1359"/>
    <col min="7175" max="7175" width="9.375" style="1359" bestFit="1" customWidth="1"/>
    <col min="7176" max="7177" width="8.875" style="1359"/>
    <col min="7178" max="7178" width="9.375" style="1359" bestFit="1" customWidth="1"/>
    <col min="7179" max="7179" width="4" style="1359" customWidth="1"/>
    <col min="7180" max="7180" width="5.125" style="1359" customWidth="1"/>
    <col min="7181" max="7181" width="13.625" style="1359" customWidth="1"/>
    <col min="7182" max="7424" width="8.875" style="1359"/>
    <col min="7425" max="7425" width="4.875" style="1359" customWidth="1"/>
    <col min="7426" max="7426" width="13.125" style="1359" customWidth="1"/>
    <col min="7427" max="7427" width="15.625" style="1359" customWidth="1"/>
    <col min="7428" max="7428" width="9.375" style="1359" bestFit="1" customWidth="1"/>
    <col min="7429" max="7429" width="13.5" style="1359" customWidth="1"/>
    <col min="7430" max="7430" width="8.875" style="1359"/>
    <col min="7431" max="7431" width="9.375" style="1359" bestFit="1" customWidth="1"/>
    <col min="7432" max="7433" width="8.875" style="1359"/>
    <col min="7434" max="7434" width="9.375" style="1359" bestFit="1" customWidth="1"/>
    <col min="7435" max="7435" width="4" style="1359" customWidth="1"/>
    <col min="7436" max="7436" width="5.125" style="1359" customWidth="1"/>
    <col min="7437" max="7437" width="13.625" style="1359" customWidth="1"/>
    <col min="7438" max="7680" width="8.875" style="1359"/>
    <col min="7681" max="7681" width="4.875" style="1359" customWidth="1"/>
    <col min="7682" max="7682" width="13.125" style="1359" customWidth="1"/>
    <col min="7683" max="7683" width="15.625" style="1359" customWidth="1"/>
    <col min="7684" max="7684" width="9.375" style="1359" bestFit="1" customWidth="1"/>
    <col min="7685" max="7685" width="13.5" style="1359" customWidth="1"/>
    <col min="7686" max="7686" width="8.875" style="1359"/>
    <col min="7687" max="7687" width="9.375" style="1359" bestFit="1" customWidth="1"/>
    <col min="7688" max="7689" width="8.875" style="1359"/>
    <col min="7690" max="7690" width="9.375" style="1359" bestFit="1" customWidth="1"/>
    <col min="7691" max="7691" width="4" style="1359" customWidth="1"/>
    <col min="7692" max="7692" width="5.125" style="1359" customWidth="1"/>
    <col min="7693" max="7693" width="13.625" style="1359" customWidth="1"/>
    <col min="7694" max="7936" width="8.875" style="1359"/>
    <col min="7937" max="7937" width="4.875" style="1359" customWidth="1"/>
    <col min="7938" max="7938" width="13.125" style="1359" customWidth="1"/>
    <col min="7939" max="7939" width="15.625" style="1359" customWidth="1"/>
    <col min="7940" max="7940" width="9.375" style="1359" bestFit="1" customWidth="1"/>
    <col min="7941" max="7941" width="13.5" style="1359" customWidth="1"/>
    <col min="7942" max="7942" width="8.875" style="1359"/>
    <col min="7943" max="7943" width="9.375" style="1359" bestFit="1" customWidth="1"/>
    <col min="7944" max="7945" width="8.875" style="1359"/>
    <col min="7946" max="7946" width="9.375" style="1359" bestFit="1" customWidth="1"/>
    <col min="7947" max="7947" width="4" style="1359" customWidth="1"/>
    <col min="7948" max="7948" width="5.125" style="1359" customWidth="1"/>
    <col min="7949" max="7949" width="13.625" style="1359" customWidth="1"/>
    <col min="7950" max="8192" width="8.875" style="1359"/>
    <col min="8193" max="8193" width="4.875" style="1359" customWidth="1"/>
    <col min="8194" max="8194" width="13.125" style="1359" customWidth="1"/>
    <col min="8195" max="8195" width="15.625" style="1359" customWidth="1"/>
    <col min="8196" max="8196" width="9.375" style="1359" bestFit="1" customWidth="1"/>
    <col min="8197" max="8197" width="13.5" style="1359" customWidth="1"/>
    <col min="8198" max="8198" width="8.875" style="1359"/>
    <col min="8199" max="8199" width="9.375" style="1359" bestFit="1" customWidth="1"/>
    <col min="8200" max="8201" width="8.875" style="1359"/>
    <col min="8202" max="8202" width="9.375" style="1359" bestFit="1" customWidth="1"/>
    <col min="8203" max="8203" width="4" style="1359" customWidth="1"/>
    <col min="8204" max="8204" width="5.125" style="1359" customWidth="1"/>
    <col min="8205" max="8205" width="13.625" style="1359" customWidth="1"/>
    <col min="8206" max="8448" width="8.875" style="1359"/>
    <col min="8449" max="8449" width="4.875" style="1359" customWidth="1"/>
    <col min="8450" max="8450" width="13.125" style="1359" customWidth="1"/>
    <col min="8451" max="8451" width="15.625" style="1359" customWidth="1"/>
    <col min="8452" max="8452" width="9.375" style="1359" bestFit="1" customWidth="1"/>
    <col min="8453" max="8453" width="13.5" style="1359" customWidth="1"/>
    <col min="8454" max="8454" width="8.875" style="1359"/>
    <col min="8455" max="8455" width="9.375" style="1359" bestFit="1" customWidth="1"/>
    <col min="8456" max="8457" width="8.875" style="1359"/>
    <col min="8458" max="8458" width="9.375" style="1359" bestFit="1" customWidth="1"/>
    <col min="8459" max="8459" width="4" style="1359" customWidth="1"/>
    <col min="8460" max="8460" width="5.125" style="1359" customWidth="1"/>
    <col min="8461" max="8461" width="13.625" style="1359" customWidth="1"/>
    <col min="8462" max="8704" width="8.875" style="1359"/>
    <col min="8705" max="8705" width="4.875" style="1359" customWidth="1"/>
    <col min="8706" max="8706" width="13.125" style="1359" customWidth="1"/>
    <col min="8707" max="8707" width="15.625" style="1359" customWidth="1"/>
    <col min="8708" max="8708" width="9.375" style="1359" bestFit="1" customWidth="1"/>
    <col min="8709" max="8709" width="13.5" style="1359" customWidth="1"/>
    <col min="8710" max="8710" width="8.875" style="1359"/>
    <col min="8711" max="8711" width="9.375" style="1359" bestFit="1" customWidth="1"/>
    <col min="8712" max="8713" width="8.875" style="1359"/>
    <col min="8714" max="8714" width="9.375" style="1359" bestFit="1" customWidth="1"/>
    <col min="8715" max="8715" width="4" style="1359" customWidth="1"/>
    <col min="8716" max="8716" width="5.125" style="1359" customWidth="1"/>
    <col min="8717" max="8717" width="13.625" style="1359" customWidth="1"/>
    <col min="8718" max="8960" width="8.875" style="1359"/>
    <col min="8961" max="8961" width="4.875" style="1359" customWidth="1"/>
    <col min="8962" max="8962" width="13.125" style="1359" customWidth="1"/>
    <col min="8963" max="8963" width="15.625" style="1359" customWidth="1"/>
    <col min="8964" max="8964" width="9.375" style="1359" bestFit="1" customWidth="1"/>
    <col min="8965" max="8965" width="13.5" style="1359" customWidth="1"/>
    <col min="8966" max="8966" width="8.875" style="1359"/>
    <col min="8967" max="8967" width="9.375" style="1359" bestFit="1" customWidth="1"/>
    <col min="8968" max="8969" width="8.875" style="1359"/>
    <col min="8970" max="8970" width="9.375" style="1359" bestFit="1" customWidth="1"/>
    <col min="8971" max="8971" width="4" style="1359" customWidth="1"/>
    <col min="8972" max="8972" width="5.125" style="1359" customWidth="1"/>
    <col min="8973" max="8973" width="13.625" style="1359" customWidth="1"/>
    <col min="8974" max="9216" width="8.875" style="1359"/>
    <col min="9217" max="9217" width="4.875" style="1359" customWidth="1"/>
    <col min="9218" max="9218" width="13.125" style="1359" customWidth="1"/>
    <col min="9219" max="9219" width="15.625" style="1359" customWidth="1"/>
    <col min="9220" max="9220" width="9.375" style="1359" bestFit="1" customWidth="1"/>
    <col min="9221" max="9221" width="13.5" style="1359" customWidth="1"/>
    <col min="9222" max="9222" width="8.875" style="1359"/>
    <col min="9223" max="9223" width="9.375" style="1359" bestFit="1" customWidth="1"/>
    <col min="9224" max="9225" width="8.875" style="1359"/>
    <col min="9226" max="9226" width="9.375" style="1359" bestFit="1" customWidth="1"/>
    <col min="9227" max="9227" width="4" style="1359" customWidth="1"/>
    <col min="9228" max="9228" width="5.125" style="1359" customWidth="1"/>
    <col min="9229" max="9229" width="13.625" style="1359" customWidth="1"/>
    <col min="9230" max="9472" width="8.875" style="1359"/>
    <col min="9473" max="9473" width="4.875" style="1359" customWidth="1"/>
    <col min="9474" max="9474" width="13.125" style="1359" customWidth="1"/>
    <col min="9475" max="9475" width="15.625" style="1359" customWidth="1"/>
    <col min="9476" max="9476" width="9.375" style="1359" bestFit="1" customWidth="1"/>
    <col min="9477" max="9477" width="13.5" style="1359" customWidth="1"/>
    <col min="9478" max="9478" width="8.875" style="1359"/>
    <col min="9479" max="9479" width="9.375" style="1359" bestFit="1" customWidth="1"/>
    <col min="9480" max="9481" width="8.875" style="1359"/>
    <col min="9482" max="9482" width="9.375" style="1359" bestFit="1" customWidth="1"/>
    <col min="9483" max="9483" width="4" style="1359" customWidth="1"/>
    <col min="9484" max="9484" width="5.125" style="1359" customWidth="1"/>
    <col min="9485" max="9485" width="13.625" style="1359" customWidth="1"/>
    <col min="9486" max="9728" width="8.875" style="1359"/>
    <col min="9729" max="9729" width="4.875" style="1359" customWidth="1"/>
    <col min="9730" max="9730" width="13.125" style="1359" customWidth="1"/>
    <col min="9731" max="9731" width="15.625" style="1359" customWidth="1"/>
    <col min="9732" max="9732" width="9.375" style="1359" bestFit="1" customWidth="1"/>
    <col min="9733" max="9733" width="13.5" style="1359" customWidth="1"/>
    <col min="9734" max="9734" width="8.875" style="1359"/>
    <col min="9735" max="9735" width="9.375" style="1359" bestFit="1" customWidth="1"/>
    <col min="9736" max="9737" width="8.875" style="1359"/>
    <col min="9738" max="9738" width="9.375" style="1359" bestFit="1" customWidth="1"/>
    <col min="9739" max="9739" width="4" style="1359" customWidth="1"/>
    <col min="9740" max="9740" width="5.125" style="1359" customWidth="1"/>
    <col min="9741" max="9741" width="13.625" style="1359" customWidth="1"/>
    <col min="9742" max="9984" width="8.875" style="1359"/>
    <col min="9985" max="9985" width="4.875" style="1359" customWidth="1"/>
    <col min="9986" max="9986" width="13.125" style="1359" customWidth="1"/>
    <col min="9987" max="9987" width="15.625" style="1359" customWidth="1"/>
    <col min="9988" max="9988" width="9.375" style="1359" bestFit="1" customWidth="1"/>
    <col min="9989" max="9989" width="13.5" style="1359" customWidth="1"/>
    <col min="9990" max="9990" width="8.875" style="1359"/>
    <col min="9991" max="9991" width="9.375" style="1359" bestFit="1" customWidth="1"/>
    <col min="9992" max="9993" width="8.875" style="1359"/>
    <col min="9994" max="9994" width="9.375" style="1359" bestFit="1" customWidth="1"/>
    <col min="9995" max="9995" width="4" style="1359" customWidth="1"/>
    <col min="9996" max="9996" width="5.125" style="1359" customWidth="1"/>
    <col min="9997" max="9997" width="13.625" style="1359" customWidth="1"/>
    <col min="9998" max="10240" width="8.875" style="1359"/>
    <col min="10241" max="10241" width="4.875" style="1359" customWidth="1"/>
    <col min="10242" max="10242" width="13.125" style="1359" customWidth="1"/>
    <col min="10243" max="10243" width="15.625" style="1359" customWidth="1"/>
    <col min="10244" max="10244" width="9.375" style="1359" bestFit="1" customWidth="1"/>
    <col min="10245" max="10245" width="13.5" style="1359" customWidth="1"/>
    <col min="10246" max="10246" width="8.875" style="1359"/>
    <col min="10247" max="10247" width="9.375" style="1359" bestFit="1" customWidth="1"/>
    <col min="10248" max="10249" width="8.875" style="1359"/>
    <col min="10250" max="10250" width="9.375" style="1359" bestFit="1" customWidth="1"/>
    <col min="10251" max="10251" width="4" style="1359" customWidth="1"/>
    <col min="10252" max="10252" width="5.125" style="1359" customWidth="1"/>
    <col min="10253" max="10253" width="13.625" style="1359" customWidth="1"/>
    <col min="10254" max="10496" width="8.875" style="1359"/>
    <col min="10497" max="10497" width="4.875" style="1359" customWidth="1"/>
    <col min="10498" max="10498" width="13.125" style="1359" customWidth="1"/>
    <col min="10499" max="10499" width="15.625" style="1359" customWidth="1"/>
    <col min="10500" max="10500" width="9.375" style="1359" bestFit="1" customWidth="1"/>
    <col min="10501" max="10501" width="13.5" style="1359" customWidth="1"/>
    <col min="10502" max="10502" width="8.875" style="1359"/>
    <col min="10503" max="10503" width="9.375" style="1359" bestFit="1" customWidth="1"/>
    <col min="10504" max="10505" width="8.875" style="1359"/>
    <col min="10506" max="10506" width="9.375" style="1359" bestFit="1" customWidth="1"/>
    <col min="10507" max="10507" width="4" style="1359" customWidth="1"/>
    <col min="10508" max="10508" width="5.125" style="1359" customWidth="1"/>
    <col min="10509" max="10509" width="13.625" style="1359" customWidth="1"/>
    <col min="10510" max="10752" width="8.875" style="1359"/>
    <col min="10753" max="10753" width="4.875" style="1359" customWidth="1"/>
    <col min="10754" max="10754" width="13.125" style="1359" customWidth="1"/>
    <col min="10755" max="10755" width="15.625" style="1359" customWidth="1"/>
    <col min="10756" max="10756" width="9.375" style="1359" bestFit="1" customWidth="1"/>
    <col min="10757" max="10757" width="13.5" style="1359" customWidth="1"/>
    <col min="10758" max="10758" width="8.875" style="1359"/>
    <col min="10759" max="10759" width="9.375" style="1359" bestFit="1" customWidth="1"/>
    <col min="10760" max="10761" width="8.875" style="1359"/>
    <col min="10762" max="10762" width="9.375" style="1359" bestFit="1" customWidth="1"/>
    <col min="10763" max="10763" width="4" style="1359" customWidth="1"/>
    <col min="10764" max="10764" width="5.125" style="1359" customWidth="1"/>
    <col min="10765" max="10765" width="13.625" style="1359" customWidth="1"/>
    <col min="10766" max="11008" width="8.875" style="1359"/>
    <col min="11009" max="11009" width="4.875" style="1359" customWidth="1"/>
    <col min="11010" max="11010" width="13.125" style="1359" customWidth="1"/>
    <col min="11011" max="11011" width="15.625" style="1359" customWidth="1"/>
    <col min="11012" max="11012" width="9.375" style="1359" bestFit="1" customWidth="1"/>
    <col min="11013" max="11013" width="13.5" style="1359" customWidth="1"/>
    <col min="11014" max="11014" width="8.875" style="1359"/>
    <col min="11015" max="11015" width="9.375" style="1359" bestFit="1" customWidth="1"/>
    <col min="11016" max="11017" width="8.875" style="1359"/>
    <col min="11018" max="11018" width="9.375" style="1359" bestFit="1" customWidth="1"/>
    <col min="11019" max="11019" width="4" style="1359" customWidth="1"/>
    <col min="11020" max="11020" width="5.125" style="1359" customWidth="1"/>
    <col min="11021" max="11021" width="13.625" style="1359" customWidth="1"/>
    <col min="11022" max="11264" width="8.875" style="1359"/>
    <col min="11265" max="11265" width="4.875" style="1359" customWidth="1"/>
    <col min="11266" max="11266" width="13.125" style="1359" customWidth="1"/>
    <col min="11267" max="11267" width="15.625" style="1359" customWidth="1"/>
    <col min="11268" max="11268" width="9.375" style="1359" bestFit="1" customWidth="1"/>
    <col min="11269" max="11269" width="13.5" style="1359" customWidth="1"/>
    <col min="11270" max="11270" width="8.875" style="1359"/>
    <col min="11271" max="11271" width="9.375" style="1359" bestFit="1" customWidth="1"/>
    <col min="11272" max="11273" width="8.875" style="1359"/>
    <col min="11274" max="11274" width="9.375" style="1359" bestFit="1" customWidth="1"/>
    <col min="11275" max="11275" width="4" style="1359" customWidth="1"/>
    <col min="11276" max="11276" width="5.125" style="1359" customWidth="1"/>
    <col min="11277" max="11277" width="13.625" style="1359" customWidth="1"/>
    <col min="11278" max="11520" width="8.875" style="1359"/>
    <col min="11521" max="11521" width="4.875" style="1359" customWidth="1"/>
    <col min="11522" max="11522" width="13.125" style="1359" customWidth="1"/>
    <col min="11523" max="11523" width="15.625" style="1359" customWidth="1"/>
    <col min="11524" max="11524" width="9.375" style="1359" bestFit="1" customWidth="1"/>
    <col min="11525" max="11525" width="13.5" style="1359" customWidth="1"/>
    <col min="11526" max="11526" width="8.875" style="1359"/>
    <col min="11527" max="11527" width="9.375" style="1359" bestFit="1" customWidth="1"/>
    <col min="11528" max="11529" width="8.875" style="1359"/>
    <col min="11530" max="11530" width="9.375" style="1359" bestFit="1" customWidth="1"/>
    <col min="11531" max="11531" width="4" style="1359" customWidth="1"/>
    <col min="11532" max="11532" width="5.125" style="1359" customWidth="1"/>
    <col min="11533" max="11533" width="13.625" style="1359" customWidth="1"/>
    <col min="11534" max="11776" width="8.875" style="1359"/>
    <col min="11777" max="11777" width="4.875" style="1359" customWidth="1"/>
    <col min="11778" max="11778" width="13.125" style="1359" customWidth="1"/>
    <col min="11779" max="11779" width="15.625" style="1359" customWidth="1"/>
    <col min="11780" max="11780" width="9.375" style="1359" bestFit="1" customWidth="1"/>
    <col min="11781" max="11781" width="13.5" style="1359" customWidth="1"/>
    <col min="11782" max="11782" width="8.875" style="1359"/>
    <col min="11783" max="11783" width="9.375" style="1359" bestFit="1" customWidth="1"/>
    <col min="11784" max="11785" width="8.875" style="1359"/>
    <col min="11786" max="11786" width="9.375" style="1359" bestFit="1" customWidth="1"/>
    <col min="11787" max="11787" width="4" style="1359" customWidth="1"/>
    <col min="11788" max="11788" width="5.125" style="1359" customWidth="1"/>
    <col min="11789" max="11789" width="13.625" style="1359" customWidth="1"/>
    <col min="11790" max="12032" width="8.875" style="1359"/>
    <col min="12033" max="12033" width="4.875" style="1359" customWidth="1"/>
    <col min="12034" max="12034" width="13.125" style="1359" customWidth="1"/>
    <col min="12035" max="12035" width="15.625" style="1359" customWidth="1"/>
    <col min="12036" max="12036" width="9.375" style="1359" bestFit="1" customWidth="1"/>
    <col min="12037" max="12037" width="13.5" style="1359" customWidth="1"/>
    <col min="12038" max="12038" width="8.875" style="1359"/>
    <col min="12039" max="12039" width="9.375" style="1359" bestFit="1" customWidth="1"/>
    <col min="12040" max="12041" width="8.875" style="1359"/>
    <col min="12042" max="12042" width="9.375" style="1359" bestFit="1" customWidth="1"/>
    <col min="12043" max="12043" width="4" style="1359" customWidth="1"/>
    <col min="12044" max="12044" width="5.125" style="1359" customWidth="1"/>
    <col min="12045" max="12045" width="13.625" style="1359" customWidth="1"/>
    <col min="12046" max="12288" width="8.875" style="1359"/>
    <col min="12289" max="12289" width="4.875" style="1359" customWidth="1"/>
    <col min="12290" max="12290" width="13.125" style="1359" customWidth="1"/>
    <col min="12291" max="12291" width="15.625" style="1359" customWidth="1"/>
    <col min="12292" max="12292" width="9.375" style="1359" bestFit="1" customWidth="1"/>
    <col min="12293" max="12293" width="13.5" style="1359" customWidth="1"/>
    <col min="12294" max="12294" width="8.875" style="1359"/>
    <col min="12295" max="12295" width="9.375" style="1359" bestFit="1" customWidth="1"/>
    <col min="12296" max="12297" width="8.875" style="1359"/>
    <col min="12298" max="12298" width="9.375" style="1359" bestFit="1" customWidth="1"/>
    <col min="12299" max="12299" width="4" style="1359" customWidth="1"/>
    <col min="12300" max="12300" width="5.125" style="1359" customWidth="1"/>
    <col min="12301" max="12301" width="13.625" style="1359" customWidth="1"/>
    <col min="12302" max="12544" width="8.875" style="1359"/>
    <col min="12545" max="12545" width="4.875" style="1359" customWidth="1"/>
    <col min="12546" max="12546" width="13.125" style="1359" customWidth="1"/>
    <col min="12547" max="12547" width="15.625" style="1359" customWidth="1"/>
    <col min="12548" max="12548" width="9.375" style="1359" bestFit="1" customWidth="1"/>
    <col min="12549" max="12549" width="13.5" style="1359" customWidth="1"/>
    <col min="12550" max="12550" width="8.875" style="1359"/>
    <col min="12551" max="12551" width="9.375" style="1359" bestFit="1" customWidth="1"/>
    <col min="12552" max="12553" width="8.875" style="1359"/>
    <col min="12554" max="12554" width="9.375" style="1359" bestFit="1" customWidth="1"/>
    <col min="12555" max="12555" width="4" style="1359" customWidth="1"/>
    <col min="12556" max="12556" width="5.125" style="1359" customWidth="1"/>
    <col min="12557" max="12557" width="13.625" style="1359" customWidth="1"/>
    <col min="12558" max="12800" width="8.875" style="1359"/>
    <col min="12801" max="12801" width="4.875" style="1359" customWidth="1"/>
    <col min="12802" max="12802" width="13.125" style="1359" customWidth="1"/>
    <col min="12803" max="12803" width="15.625" style="1359" customWidth="1"/>
    <col min="12804" max="12804" width="9.375" style="1359" bestFit="1" customWidth="1"/>
    <col min="12805" max="12805" width="13.5" style="1359" customWidth="1"/>
    <col min="12806" max="12806" width="8.875" style="1359"/>
    <col min="12807" max="12807" width="9.375" style="1359" bestFit="1" customWidth="1"/>
    <col min="12808" max="12809" width="8.875" style="1359"/>
    <col min="12810" max="12810" width="9.375" style="1359" bestFit="1" customWidth="1"/>
    <col min="12811" max="12811" width="4" style="1359" customWidth="1"/>
    <col min="12812" max="12812" width="5.125" style="1359" customWidth="1"/>
    <col min="12813" max="12813" width="13.625" style="1359" customWidth="1"/>
    <col min="12814" max="13056" width="8.875" style="1359"/>
    <col min="13057" max="13057" width="4.875" style="1359" customWidth="1"/>
    <col min="13058" max="13058" width="13.125" style="1359" customWidth="1"/>
    <col min="13059" max="13059" width="15.625" style="1359" customWidth="1"/>
    <col min="13060" max="13060" width="9.375" style="1359" bestFit="1" customWidth="1"/>
    <col min="13061" max="13061" width="13.5" style="1359" customWidth="1"/>
    <col min="13062" max="13062" width="8.875" style="1359"/>
    <col min="13063" max="13063" width="9.375" style="1359" bestFit="1" customWidth="1"/>
    <col min="13064" max="13065" width="8.875" style="1359"/>
    <col min="13066" max="13066" width="9.375" style="1359" bestFit="1" customWidth="1"/>
    <col min="13067" max="13067" width="4" style="1359" customWidth="1"/>
    <col min="13068" max="13068" width="5.125" style="1359" customWidth="1"/>
    <col min="13069" max="13069" width="13.625" style="1359" customWidth="1"/>
    <col min="13070" max="13312" width="8.875" style="1359"/>
    <col min="13313" max="13313" width="4.875" style="1359" customWidth="1"/>
    <col min="13314" max="13314" width="13.125" style="1359" customWidth="1"/>
    <col min="13315" max="13315" width="15.625" style="1359" customWidth="1"/>
    <col min="13316" max="13316" width="9.375" style="1359" bestFit="1" customWidth="1"/>
    <col min="13317" max="13317" width="13.5" style="1359" customWidth="1"/>
    <col min="13318" max="13318" width="8.875" style="1359"/>
    <col min="13319" max="13319" width="9.375" style="1359" bestFit="1" customWidth="1"/>
    <col min="13320" max="13321" width="8.875" style="1359"/>
    <col min="13322" max="13322" width="9.375" style="1359" bestFit="1" customWidth="1"/>
    <col min="13323" max="13323" width="4" style="1359" customWidth="1"/>
    <col min="13324" max="13324" width="5.125" style="1359" customWidth="1"/>
    <col min="13325" max="13325" width="13.625" style="1359" customWidth="1"/>
    <col min="13326" max="13568" width="8.875" style="1359"/>
    <col min="13569" max="13569" width="4.875" style="1359" customWidth="1"/>
    <col min="13570" max="13570" width="13.125" style="1359" customWidth="1"/>
    <col min="13571" max="13571" width="15.625" style="1359" customWidth="1"/>
    <col min="13572" max="13572" width="9.375" style="1359" bestFit="1" customWidth="1"/>
    <col min="13573" max="13573" width="13.5" style="1359" customWidth="1"/>
    <col min="13574" max="13574" width="8.875" style="1359"/>
    <col min="13575" max="13575" width="9.375" style="1359" bestFit="1" customWidth="1"/>
    <col min="13576" max="13577" width="8.875" style="1359"/>
    <col min="13578" max="13578" width="9.375" style="1359" bestFit="1" customWidth="1"/>
    <col min="13579" max="13579" width="4" style="1359" customWidth="1"/>
    <col min="13580" max="13580" width="5.125" style="1359" customWidth="1"/>
    <col min="13581" max="13581" width="13.625" style="1359" customWidth="1"/>
    <col min="13582" max="13824" width="8.875" style="1359"/>
    <col min="13825" max="13825" width="4.875" style="1359" customWidth="1"/>
    <col min="13826" max="13826" width="13.125" style="1359" customWidth="1"/>
    <col min="13827" max="13827" width="15.625" style="1359" customWidth="1"/>
    <col min="13828" max="13828" width="9.375" style="1359" bestFit="1" customWidth="1"/>
    <col min="13829" max="13829" width="13.5" style="1359" customWidth="1"/>
    <col min="13830" max="13830" width="8.875" style="1359"/>
    <col min="13831" max="13831" width="9.375" style="1359" bestFit="1" customWidth="1"/>
    <col min="13832" max="13833" width="8.875" style="1359"/>
    <col min="13834" max="13834" width="9.375" style="1359" bestFit="1" customWidth="1"/>
    <col min="13835" max="13835" width="4" style="1359" customWidth="1"/>
    <col min="13836" max="13836" width="5.125" style="1359" customWidth="1"/>
    <col min="13837" max="13837" width="13.625" style="1359" customWidth="1"/>
    <col min="13838" max="14080" width="8.875" style="1359"/>
    <col min="14081" max="14081" width="4.875" style="1359" customWidth="1"/>
    <col min="14082" max="14082" width="13.125" style="1359" customWidth="1"/>
    <col min="14083" max="14083" width="15.625" style="1359" customWidth="1"/>
    <col min="14084" max="14084" width="9.375" style="1359" bestFit="1" customWidth="1"/>
    <col min="14085" max="14085" width="13.5" style="1359" customWidth="1"/>
    <col min="14086" max="14086" width="8.875" style="1359"/>
    <col min="14087" max="14087" width="9.375" style="1359" bestFit="1" customWidth="1"/>
    <col min="14088" max="14089" width="8.875" style="1359"/>
    <col min="14090" max="14090" width="9.375" style="1359" bestFit="1" customWidth="1"/>
    <col min="14091" max="14091" width="4" style="1359" customWidth="1"/>
    <col min="14092" max="14092" width="5.125" style="1359" customWidth="1"/>
    <col min="14093" max="14093" width="13.625" style="1359" customWidth="1"/>
    <col min="14094" max="14336" width="8.875" style="1359"/>
    <col min="14337" max="14337" width="4.875" style="1359" customWidth="1"/>
    <col min="14338" max="14338" width="13.125" style="1359" customWidth="1"/>
    <col min="14339" max="14339" width="15.625" style="1359" customWidth="1"/>
    <col min="14340" max="14340" width="9.375" style="1359" bestFit="1" customWidth="1"/>
    <col min="14341" max="14341" width="13.5" style="1359" customWidth="1"/>
    <col min="14342" max="14342" width="8.875" style="1359"/>
    <col min="14343" max="14343" width="9.375" style="1359" bestFit="1" customWidth="1"/>
    <col min="14344" max="14345" width="8.875" style="1359"/>
    <col min="14346" max="14346" width="9.375" style="1359" bestFit="1" customWidth="1"/>
    <col min="14347" max="14347" width="4" style="1359" customWidth="1"/>
    <col min="14348" max="14348" width="5.125" style="1359" customWidth="1"/>
    <col min="14349" max="14349" width="13.625" style="1359" customWidth="1"/>
    <col min="14350" max="14592" width="8.875" style="1359"/>
    <col min="14593" max="14593" width="4.875" style="1359" customWidth="1"/>
    <col min="14594" max="14594" width="13.125" style="1359" customWidth="1"/>
    <col min="14595" max="14595" width="15.625" style="1359" customWidth="1"/>
    <col min="14596" max="14596" width="9.375" style="1359" bestFit="1" customWidth="1"/>
    <col min="14597" max="14597" width="13.5" style="1359" customWidth="1"/>
    <col min="14598" max="14598" width="8.875" style="1359"/>
    <col min="14599" max="14599" width="9.375" style="1359" bestFit="1" customWidth="1"/>
    <col min="14600" max="14601" width="8.875" style="1359"/>
    <col min="14602" max="14602" width="9.375" style="1359" bestFit="1" customWidth="1"/>
    <col min="14603" max="14603" width="4" style="1359" customWidth="1"/>
    <col min="14604" max="14604" width="5.125" style="1359" customWidth="1"/>
    <col min="14605" max="14605" width="13.625" style="1359" customWidth="1"/>
    <col min="14606" max="14848" width="8.875" style="1359"/>
    <col min="14849" max="14849" width="4.875" style="1359" customWidth="1"/>
    <col min="14850" max="14850" width="13.125" style="1359" customWidth="1"/>
    <col min="14851" max="14851" width="15.625" style="1359" customWidth="1"/>
    <col min="14852" max="14852" width="9.375" style="1359" bestFit="1" customWidth="1"/>
    <col min="14853" max="14853" width="13.5" style="1359" customWidth="1"/>
    <col min="14854" max="14854" width="8.875" style="1359"/>
    <col min="14855" max="14855" width="9.375" style="1359" bestFit="1" customWidth="1"/>
    <col min="14856" max="14857" width="8.875" style="1359"/>
    <col min="14858" max="14858" width="9.375" style="1359" bestFit="1" customWidth="1"/>
    <col min="14859" max="14859" width="4" style="1359" customWidth="1"/>
    <col min="14860" max="14860" width="5.125" style="1359" customWidth="1"/>
    <col min="14861" max="14861" width="13.625" style="1359" customWidth="1"/>
    <col min="14862" max="15104" width="8.875" style="1359"/>
    <col min="15105" max="15105" width="4.875" style="1359" customWidth="1"/>
    <col min="15106" max="15106" width="13.125" style="1359" customWidth="1"/>
    <col min="15107" max="15107" width="15.625" style="1359" customWidth="1"/>
    <col min="15108" max="15108" width="9.375" style="1359" bestFit="1" customWidth="1"/>
    <col min="15109" max="15109" width="13.5" style="1359" customWidth="1"/>
    <col min="15110" max="15110" width="8.875" style="1359"/>
    <col min="15111" max="15111" width="9.375" style="1359" bestFit="1" customWidth="1"/>
    <col min="15112" max="15113" width="8.875" style="1359"/>
    <col min="15114" max="15114" width="9.375" style="1359" bestFit="1" customWidth="1"/>
    <col min="15115" max="15115" width="4" style="1359" customWidth="1"/>
    <col min="15116" max="15116" width="5.125" style="1359" customWidth="1"/>
    <col min="15117" max="15117" width="13.625" style="1359" customWidth="1"/>
    <col min="15118" max="15360" width="8.875" style="1359"/>
    <col min="15361" max="15361" width="4.875" style="1359" customWidth="1"/>
    <col min="15362" max="15362" width="13.125" style="1359" customWidth="1"/>
    <col min="15363" max="15363" width="15.625" style="1359" customWidth="1"/>
    <col min="15364" max="15364" width="9.375" style="1359" bestFit="1" customWidth="1"/>
    <col min="15365" max="15365" width="13.5" style="1359" customWidth="1"/>
    <col min="15366" max="15366" width="8.875" style="1359"/>
    <col min="15367" max="15367" width="9.375" style="1359" bestFit="1" customWidth="1"/>
    <col min="15368" max="15369" width="8.875" style="1359"/>
    <col min="15370" max="15370" width="9.375" style="1359" bestFit="1" customWidth="1"/>
    <col min="15371" max="15371" width="4" style="1359" customWidth="1"/>
    <col min="15372" max="15372" width="5.125" style="1359" customWidth="1"/>
    <col min="15373" max="15373" width="13.625" style="1359" customWidth="1"/>
    <col min="15374" max="15616" width="8.875" style="1359"/>
    <col min="15617" max="15617" width="4.875" style="1359" customWidth="1"/>
    <col min="15618" max="15618" width="13.125" style="1359" customWidth="1"/>
    <col min="15619" max="15619" width="15.625" style="1359" customWidth="1"/>
    <col min="15620" max="15620" width="9.375" style="1359" bestFit="1" customWidth="1"/>
    <col min="15621" max="15621" width="13.5" style="1359" customWidth="1"/>
    <col min="15622" max="15622" width="8.875" style="1359"/>
    <col min="15623" max="15623" width="9.375" style="1359" bestFit="1" customWidth="1"/>
    <col min="15624" max="15625" width="8.875" style="1359"/>
    <col min="15626" max="15626" width="9.375" style="1359" bestFit="1" customWidth="1"/>
    <col min="15627" max="15627" width="4" style="1359" customWidth="1"/>
    <col min="15628" max="15628" width="5.125" style="1359" customWidth="1"/>
    <col min="15629" max="15629" width="13.625" style="1359" customWidth="1"/>
    <col min="15630" max="15872" width="8.875" style="1359"/>
    <col min="15873" max="15873" width="4.875" style="1359" customWidth="1"/>
    <col min="15874" max="15874" width="13.125" style="1359" customWidth="1"/>
    <col min="15875" max="15875" width="15.625" style="1359" customWidth="1"/>
    <col min="15876" max="15876" width="9.375" style="1359" bestFit="1" customWidth="1"/>
    <col min="15877" max="15877" width="13.5" style="1359" customWidth="1"/>
    <col min="15878" max="15878" width="8.875" style="1359"/>
    <col min="15879" max="15879" width="9.375" style="1359" bestFit="1" customWidth="1"/>
    <col min="15880" max="15881" width="8.875" style="1359"/>
    <col min="15882" max="15882" width="9.375" style="1359" bestFit="1" customWidth="1"/>
    <col min="15883" max="15883" width="4" style="1359" customWidth="1"/>
    <col min="15884" max="15884" width="5.125" style="1359" customWidth="1"/>
    <col min="15885" max="15885" width="13.625" style="1359" customWidth="1"/>
    <col min="15886" max="16128" width="8.875" style="1359"/>
    <col min="16129" max="16129" width="4.875" style="1359" customWidth="1"/>
    <col min="16130" max="16130" width="13.125" style="1359" customWidth="1"/>
    <col min="16131" max="16131" width="15.625" style="1359" customWidth="1"/>
    <col min="16132" max="16132" width="9.375" style="1359" bestFit="1" customWidth="1"/>
    <col min="16133" max="16133" width="13.5" style="1359" customWidth="1"/>
    <col min="16134" max="16134" width="8.875" style="1359"/>
    <col min="16135" max="16135" width="9.375" style="1359" bestFit="1" customWidth="1"/>
    <col min="16136" max="16137" width="8.875" style="1359"/>
    <col min="16138" max="16138" width="9.375" style="1359" bestFit="1" customWidth="1"/>
    <col min="16139" max="16139" width="4" style="1359" customWidth="1"/>
    <col min="16140" max="16140" width="5.125" style="1359" customWidth="1"/>
    <col min="16141" max="16141" width="13.625" style="1359" customWidth="1"/>
    <col min="16142" max="16384" width="8.875" style="1359"/>
  </cols>
  <sheetData>
    <row r="1" spans="1:257" s="1421" customFormat="1" ht="15" thickBot="1">
      <c r="A1" s="1415"/>
      <c r="B1" s="1422" t="s">
        <v>1027</v>
      </c>
      <c r="C1" s="1416">
        <f>项目基本情况!D3</f>
        <v>44868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7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7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A1:M17"/>
  <sheetViews>
    <sheetView workbookViewId="0">
      <selection activeCell="K25" sqref="K25"/>
    </sheetView>
  </sheetViews>
  <sheetFormatPr defaultColWidth="8.875" defaultRowHeight="14.25"/>
  <sheetData>
    <row r="1" spans="1:13" ht="28.5">
      <c r="A1" s="1468" t="s">
        <v>1097</v>
      </c>
      <c r="E1" s="1462" t="s">
        <v>1101</v>
      </c>
      <c r="F1" s="1463" t="s">
        <v>1105</v>
      </c>
    </row>
    <row r="2" spans="1:13" ht="20.25">
      <c r="A2" s="1469" t="s">
        <v>1098</v>
      </c>
    </row>
    <row r="3" spans="1:13" ht="16.5">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workbookViewId="0">
      <selection activeCell="C5" sqref="C5"/>
    </sheetView>
  </sheetViews>
  <sheetFormatPr defaultColWidth="9" defaultRowHeight="14.25"/>
  <cols>
    <col min="1" max="2" width="13.125" style="1610" customWidth="1"/>
    <col min="3" max="10" width="12.5" style="1610" customWidth="1"/>
    <col min="11" max="16384" width="9" style="1610"/>
  </cols>
  <sheetData>
    <row r="1" spans="1:10" ht="18">
      <c r="A1" s="1643" t="s">
        <v>657</v>
      </c>
      <c r="B1" s="1654"/>
      <c r="C1" s="1654"/>
      <c r="D1" s="1654"/>
      <c r="E1" s="1654"/>
      <c r="F1" s="1654"/>
      <c r="G1" s="1654"/>
      <c r="H1" s="1654"/>
      <c r="I1" s="1654"/>
      <c r="J1" s="1654"/>
    </row>
    <row r="2" spans="1:10" ht="18">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660" customWidth="1"/>
    <col min="2" max="16384" width="14.5" style="1642"/>
  </cols>
  <sheetData>
    <row r="1" spans="1:7" s="1657" customFormat="1" ht="18">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25">
      <c r="A15" s="3482" t="s">
        <v>1393</v>
      </c>
      <c r="B15" s="3477" t="s">
        <v>136</v>
      </c>
      <c r="C15" s="3478"/>
    </row>
    <row r="16" spans="1:7" ht="14.25">
      <c r="A16" s="3483"/>
      <c r="B16" s="3477" t="s">
        <v>69</v>
      </c>
      <c r="C16" s="3478"/>
    </row>
    <row r="17" spans="1:3" ht="14.25">
      <c r="A17" s="3483"/>
      <c r="B17" s="3480" t="s">
        <v>1394</v>
      </c>
      <c r="C17" s="1667" t="s">
        <v>1393</v>
      </c>
    </row>
    <row r="18" spans="1:3" ht="14.25">
      <c r="A18" s="3483"/>
      <c r="B18" s="3480"/>
      <c r="C18" s="1667" t="s">
        <v>1395</v>
      </c>
    </row>
    <row r="19" spans="1:3" ht="14.25">
      <c r="A19" s="3483"/>
      <c r="B19" s="3480"/>
      <c r="C19" s="1667" t="s">
        <v>1396</v>
      </c>
    </row>
    <row r="20" spans="1:3" ht="14.25">
      <c r="A20" s="3484"/>
      <c r="B20" s="3479" t="s">
        <v>1397</v>
      </c>
      <c r="C20" s="3478"/>
    </row>
    <row r="21" spans="1:3" ht="14.25">
      <c r="A21" s="1668" t="s">
        <v>1398</v>
      </c>
      <c r="B21" s="1669"/>
      <c r="C21" s="1670"/>
    </row>
    <row r="22" spans="1:3" ht="14.25">
      <c r="A22" s="3481" t="s">
        <v>1399</v>
      </c>
      <c r="B22" s="3479" t="s">
        <v>1400</v>
      </c>
      <c r="C22" s="3478"/>
    </row>
    <row r="23" spans="1:3" ht="14.25">
      <c r="A23" s="3481"/>
      <c r="B23" s="3479" t="s">
        <v>1401</v>
      </c>
      <c r="C23" s="3478"/>
    </row>
    <row r="24" spans="1:3" ht="14.25">
      <c r="A24" s="3481"/>
      <c r="B24" s="3479" t="s">
        <v>1402</v>
      </c>
      <c r="C24" s="3478"/>
    </row>
    <row r="25" spans="1:3" ht="14.25">
      <c r="A25" s="3481"/>
      <c r="B25" s="3480" t="s">
        <v>1403</v>
      </c>
      <c r="C25" s="1667" t="s">
        <v>1404</v>
      </c>
    </row>
    <row r="26" spans="1:3" ht="14.25">
      <c r="A26" s="3481"/>
      <c r="B26" s="3480"/>
      <c r="C26" s="1667" t="s">
        <v>1405</v>
      </c>
    </row>
    <row r="27" spans="1:3" ht="14.25">
      <c r="A27" s="3481"/>
      <c r="B27" s="3480"/>
      <c r="C27" s="1667" t="s">
        <v>1406</v>
      </c>
    </row>
    <row r="28" spans="1:3" ht="14.25">
      <c r="A28" s="3481"/>
      <c r="B28" s="3480"/>
      <c r="C28" s="1667" t="s">
        <v>1407</v>
      </c>
    </row>
    <row r="29" spans="1:3" ht="14.25">
      <c r="A29" s="3481"/>
      <c r="B29" s="3480"/>
      <c r="C29" s="1667" t="s">
        <v>1408</v>
      </c>
    </row>
    <row r="30" spans="1:3" ht="14.25">
      <c r="A30" s="3481"/>
      <c r="B30" s="3480"/>
      <c r="C30" s="1667" t="s">
        <v>1409</v>
      </c>
    </row>
    <row r="31" spans="1:3" ht="14.25">
      <c r="A31" s="3481"/>
      <c r="B31" s="3480"/>
      <c r="C31" s="1667" t="s">
        <v>1410</v>
      </c>
    </row>
    <row r="32" spans="1:3" ht="14.25">
      <c r="A32" s="3481"/>
      <c r="B32" s="3480"/>
      <c r="C32" s="1667" t="s">
        <v>1411</v>
      </c>
    </row>
    <row r="33" spans="1:3" ht="14.25">
      <c r="A33" s="3481"/>
      <c r="B33" s="3480"/>
      <c r="C33" s="1667" t="s">
        <v>1412</v>
      </c>
    </row>
    <row r="34" spans="1:3">
      <c r="A34" s="1671" t="s">
        <v>76</v>
      </c>
    </row>
    <row r="37" spans="1:3">
      <c r="A37" s="1671" t="s">
        <v>1413</v>
      </c>
    </row>
    <row r="38" spans="1:3" ht="14.25">
      <c r="A38" s="1672" t="s">
        <v>77</v>
      </c>
    </row>
    <row r="39" spans="1:3" ht="14.25">
      <c r="A39" s="1672" t="s">
        <v>78</v>
      </c>
    </row>
    <row r="40" spans="1:3" ht="14.25">
      <c r="A40" s="1672" t="s">
        <v>79</v>
      </c>
    </row>
    <row r="41" spans="1:3" ht="14.25">
      <c r="A41" s="1673" t="s">
        <v>80</v>
      </c>
    </row>
    <row r="42" spans="1:3" ht="14.2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44991</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t="str">
        <f ca="1">IF(C8&lt;B2,"已过期",1419970001)</f>
        <v>已过期</v>
      </c>
      <c r="C8" s="2518">
        <v>44899</v>
      </c>
      <c r="D8" s="2519" t="str">
        <f t="shared" ca="1" si="0"/>
        <v>吴薇（注册号：已过期）</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t="str">
        <f ca="1">IF(C14&lt;B2,"已过期",1119980106)</f>
        <v>已过期</v>
      </c>
      <c r="C14" s="2523">
        <v>44969</v>
      </c>
      <c r="D14" s="2519" t="str">
        <f t="shared" ca="1" si="0"/>
        <v>刘俊财（注册号：已过期）</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485" t="s">
        <v>2660</v>
      </c>
      <c r="B17" s="3485"/>
      <c r="C17" s="3485"/>
      <c r="D17" s="3485"/>
      <c r="E17" s="3485"/>
      <c r="F17" s="3485"/>
      <c r="G17" s="3485"/>
      <c r="H17" s="3485"/>
    </row>
    <row r="18" spans="1:8" ht="24" customHeight="1">
      <c r="A18" s="3486" t="s">
        <v>2661</v>
      </c>
      <c r="B18" s="3486"/>
      <c r="C18" s="3486"/>
      <c r="D18" s="2516"/>
      <c r="E18" s="3487" t="s">
        <v>2662</v>
      </c>
      <c r="F18" s="3486"/>
      <c r="G18" s="3486"/>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租赁台账-今典底稿</vt:lpstr>
      <vt:lpstr>租约表</vt:lpstr>
      <vt:lpstr>租约整理</vt:lpstr>
      <vt:lpstr>报酬率</vt:lpstr>
      <vt:lpstr>总表</vt:lpstr>
      <vt:lpstr>商业标准户型修正</vt:lpstr>
      <vt:lpstr>车位成交案例</vt:lpstr>
      <vt:lpstr>1号楼</vt:lpstr>
      <vt:lpstr>2号楼</vt:lpstr>
      <vt:lpstr>3号楼</vt:lpstr>
      <vt:lpstr>7号楼</vt:lpstr>
      <vt:lpstr>数据-基础表</vt:lpstr>
      <vt:lpstr>抵押物清单（分楼）</vt:lpstr>
      <vt:lpstr>项目基本情况</vt:lpstr>
      <vt:lpstr>数据-汇总表</vt:lpstr>
      <vt:lpstr>数据-取费表</vt:lpstr>
      <vt:lpstr>结果表-商业</vt:lpstr>
      <vt:lpstr>收益法-商业</vt:lpstr>
      <vt:lpstr>比较法-商业</vt:lpstr>
      <vt:lpstr>商业租金</vt:lpstr>
      <vt:lpstr>租金案例</vt:lpstr>
      <vt:lpstr>成本法-商业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系统读取表</vt:lpstr>
      <vt:lpstr>工作表4</vt:lpstr>
      <vt:lpstr>工作表1</vt:lpstr>
      <vt:lpstr>估价对象房地状况</vt:lpstr>
      <vt:lpstr>现场</vt:lpstr>
      <vt:lpstr>定义</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'结果表-商业'!Print_Area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2022-11-18T02:55:42Z</cp:lastPrinted>
  <dcterms:created xsi:type="dcterms:W3CDTF">2015-07-13T07:17:23Z</dcterms:created>
  <dcterms:modified xsi:type="dcterms:W3CDTF">2023-03-06T03:13:47Z</dcterms:modified>
</cp:coreProperties>
</file>