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不动产比较法-住宅" sheetId="21" r:id="rId30"/>
    <sheet name="收益还原法" sheetId="44" state="hidden" r:id="rId31"/>
    <sheet name="住宅案例" sheetId="69"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商业案例" sheetId="70"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 (2)" sheetId="72" r:id="rId44"/>
    <sheet name="车位案例" sheetId="71" r:id="rId45"/>
  </sheets>
  <externalReferences>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66" l="1"/>
  <c r="H15" i="66"/>
  <c r="C15" i="66"/>
  <c r="B15" i="66"/>
  <c r="D15" i="66" l="1"/>
  <c r="G15" i="66" l="1"/>
  <c r="O10" i="12" l="1"/>
  <c r="O9" i="12"/>
  <c r="O8" i="12"/>
  <c r="O11" i="12" s="1"/>
  <c r="Q13" i="3"/>
  <c r="Q73" i="72" l="1"/>
  <c r="Q60" i="72"/>
  <c r="D60" i="72"/>
  <c r="Q59" i="72"/>
  <c r="K59" i="72"/>
  <c r="P75" i="72" s="1"/>
  <c r="F58" i="72"/>
  <c r="Q52" i="72"/>
  <c r="J50" i="72"/>
  <c r="M47" i="72"/>
  <c r="F33" i="72"/>
  <c r="F60" i="72" s="1"/>
  <c r="F31" i="72"/>
  <c r="F23" i="72"/>
  <c r="D24" i="72" s="1"/>
  <c r="D23" i="72"/>
  <c r="D22" i="72"/>
  <c r="F21" i="72"/>
  <c r="F20" i="72"/>
  <c r="M19" i="72"/>
  <c r="F18" i="72"/>
  <c r="M17" i="72"/>
  <c r="F17" i="72"/>
  <c r="F15" i="72"/>
  <c r="J51" i="72" l="1"/>
  <c r="P62" i="72"/>
  <c r="F20" i="6"/>
  <c r="F19" i="6"/>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A9" i="55"/>
  <c r="A8" i="55"/>
  <c r="A6" i="54"/>
  <c r="A8" i="54"/>
  <c r="A7" i="54"/>
  <c r="A27" i="5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A4" i="55"/>
  <c r="B57" i="63" s="1"/>
  <c r="B41" i="63"/>
  <c r="G5" i="54"/>
  <c r="B34" i="63" s="1"/>
  <c r="E5" i="54"/>
  <c r="B32" i="63" s="1"/>
  <c r="R2" i="54"/>
  <c r="B24" i="63" s="1"/>
  <c r="B19" i="63"/>
  <c r="B49" i="50"/>
  <c r="B5" i="63"/>
  <c r="B40" i="50"/>
  <c r="B3" i="63" s="1"/>
  <c r="B67" i="63"/>
  <c r="I19" i="46"/>
  <c r="Q14" i="59"/>
  <c r="AB13" i="59" s="1"/>
  <c r="P14" i="59"/>
  <c r="E14" i="59" s="1"/>
  <c r="O14" i="59"/>
  <c r="N14" i="59"/>
  <c r="B14" i="59" s="1"/>
  <c r="D75" i="59"/>
  <c r="F74" i="59"/>
  <c r="F73" i="59" s="1"/>
  <c r="E74" i="59"/>
  <c r="E73" i="59" s="1"/>
  <c r="E72" i="59" s="1"/>
  <c r="C74" i="59"/>
  <c r="B74" i="59"/>
  <c r="B73" i="59" s="1"/>
  <c r="F72" i="59"/>
  <c r="B72" i="59"/>
  <c r="D71" i="59"/>
  <c r="F70" i="59"/>
  <c r="F69" i="59" s="1"/>
  <c r="E70" i="59"/>
  <c r="E69" i="59" s="1"/>
  <c r="E68" i="59" s="1"/>
  <c r="C70" i="59"/>
  <c r="D70" i="59" s="1"/>
  <c r="B70" i="59"/>
  <c r="B69" i="59" s="1"/>
  <c r="F68" i="59"/>
  <c r="B68" i="59"/>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E54" i="59"/>
  <c r="E53" i="59" s="1"/>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C29" i="59" s="1"/>
  <c r="N27" i="59"/>
  <c r="B28" i="59" s="1"/>
  <c r="B29" i="59" s="1"/>
  <c r="B30" i="59" s="1"/>
  <c r="S30" i="59" s="1"/>
  <c r="D27" i="59"/>
  <c r="Q26" i="59"/>
  <c r="P26" i="59"/>
  <c r="O26" i="59"/>
  <c r="N26" i="59"/>
  <c r="Q25" i="59"/>
  <c r="AB25" i="59"/>
  <c r="P25" i="59"/>
  <c r="O25" i="59"/>
  <c r="Y25" i="59" s="1"/>
  <c r="Z25" i="59" s="1"/>
  <c r="N25" i="59"/>
  <c r="X25" i="59"/>
  <c r="Q24" i="59"/>
  <c r="AB24" i="59" s="1"/>
  <c r="P24" i="59"/>
  <c r="AA24" i="59" s="1"/>
  <c r="O24" i="59"/>
  <c r="N24" i="59"/>
  <c r="X24" i="59" s="1"/>
  <c r="Q23" i="59"/>
  <c r="AB23" i="59" s="1"/>
  <c r="F24" i="59"/>
  <c r="F25" i="59" s="1"/>
  <c r="F26" i="59" s="1"/>
  <c r="V26" i="59" s="1"/>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C20" i="59" s="1"/>
  <c r="N19" i="59"/>
  <c r="B20" i="59" s="1"/>
  <c r="B21" i="59" s="1"/>
  <c r="B22" i="59" s="1"/>
  <c r="S22" i="59" s="1"/>
  <c r="D19" i="59"/>
  <c r="Q18" i="59"/>
  <c r="P18" i="59"/>
  <c r="AA18" i="59" s="1"/>
  <c r="O18" i="59"/>
  <c r="N18" i="59"/>
  <c r="X18" i="59" s="1"/>
  <c r="Q17" i="59"/>
  <c r="P17" i="59"/>
  <c r="AA17" i="59" s="1"/>
  <c r="O17" i="59"/>
  <c r="N17" i="59"/>
  <c r="X17" i="59" s="1"/>
  <c r="Q16" i="59"/>
  <c r="P16" i="59"/>
  <c r="O16" i="59"/>
  <c r="N16" i="59"/>
  <c r="Q15" i="59"/>
  <c r="F16" i="59"/>
  <c r="F17" i="59" s="1"/>
  <c r="F18" i="59" s="1"/>
  <c r="V18" i="59" s="1"/>
  <c r="P15" i="59"/>
  <c r="O15" i="59"/>
  <c r="Y15" i="59" s="1"/>
  <c r="Z15" i="59" s="1"/>
  <c r="N15" i="59"/>
  <c r="D15" i="59"/>
  <c r="E16" i="59"/>
  <c r="S54" i="59"/>
  <c r="AA25" i="59"/>
  <c r="P54" i="59"/>
  <c r="C57" i="59"/>
  <c r="C56" i="59" s="1"/>
  <c r="D56" i="59" s="1"/>
  <c r="D58" i="59"/>
  <c r="E61" i="59"/>
  <c r="E60" i="59" s="1"/>
  <c r="C65" i="59"/>
  <c r="D66" i="59"/>
  <c r="U16" i="4"/>
  <c r="S16" i="4"/>
  <c r="Q16" i="4"/>
  <c r="R16" i="4" s="1"/>
  <c r="O16" i="4"/>
  <c r="M16" i="4"/>
  <c r="L16" i="4" s="1"/>
  <c r="K16" i="4"/>
  <c r="D57"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Q21" i="37"/>
  <c r="Z21" i="37" s="1"/>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6" i="40"/>
  <c r="E96" i="40" s="1"/>
  <c r="F96" i="40" s="1"/>
  <c r="F27" i="40"/>
  <c r="AA27" i="40" s="1"/>
  <c r="Q31" i="39"/>
  <c r="Z31" i="39" s="1"/>
  <c r="D105" i="39"/>
  <c r="E105" i="39" s="1"/>
  <c r="F105" i="39" s="1"/>
  <c r="G105" i="39" s="1"/>
  <c r="G20" i="20"/>
  <c r="C22" i="20"/>
  <c r="S18" i="36"/>
  <c r="S18" i="35"/>
  <c r="S21" i="37"/>
  <c r="S21" i="34"/>
  <c r="S27" i="40"/>
  <c r="C31" i="39"/>
  <c r="B74" i="46"/>
  <c r="E66" i="36"/>
  <c r="H18" i="35"/>
  <c r="J18" i="35"/>
  <c r="H21" i="37"/>
  <c r="J21" i="37"/>
  <c r="E84" i="34"/>
  <c r="F84" i="34" s="1"/>
  <c r="G84" i="34" s="1"/>
  <c r="J21" i="34"/>
  <c r="H21" i="34"/>
  <c r="F21" i="33"/>
  <c r="H21" i="33"/>
  <c r="J21" i="33"/>
  <c r="H21" i="21"/>
  <c r="AB21" i="21" s="1"/>
  <c r="J21" i="21"/>
  <c r="AC21" i="21" s="1"/>
  <c r="H27" i="40"/>
  <c r="F23" i="15"/>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A7" i="1"/>
  <c r="A8" i="1"/>
  <c r="A9" i="1"/>
  <c r="A10" i="1"/>
  <c r="R10" i="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G2" i="46"/>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s="1"/>
  <c r="M8" i="1" s="1"/>
  <c r="O8" i="1" s="1"/>
  <c r="P8" i="1" s="1"/>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F98" i="40" s="1"/>
  <c r="G98" i="40" s="1"/>
  <c r="H98" i="40" s="1"/>
  <c r="I98" i="40" s="1"/>
  <c r="J98" i="40" s="1"/>
  <c r="K98" i="40" s="1"/>
  <c r="L98" i="40" s="1"/>
  <c r="M98" i="40" s="1"/>
  <c r="B97" i="40"/>
  <c r="D94" i="40"/>
  <c r="D92" i="40"/>
  <c r="D90" i="40"/>
  <c r="H21" i="40"/>
  <c r="AB21" i="40" s="1"/>
  <c r="D88" i="40"/>
  <c r="E88" i="40" s="1"/>
  <c r="D86" i="40"/>
  <c r="E86" i="40" s="1"/>
  <c r="J17" i="40"/>
  <c r="W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F33" i="39" s="1"/>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s="1"/>
  <c r="D68" i="36"/>
  <c r="E68" i="36" s="1"/>
  <c r="D64" i="36"/>
  <c r="E64" i="36" s="1"/>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s="1"/>
  <c r="C7"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J12" i="21"/>
  <c r="W12" i="21" s="1"/>
  <c r="H12" i="21"/>
  <c r="U12" i="21"/>
  <c r="J26" i="21"/>
  <c r="W26" i="21"/>
  <c r="F26" i="21"/>
  <c r="AA26" i="21"/>
  <c r="AB41" i="21"/>
  <c r="S41" i="21"/>
  <c r="W41" i="21"/>
  <c r="S10" i="39"/>
  <c r="U30" i="37"/>
  <c r="F39" i="37"/>
  <c r="S39" i="37" s="1"/>
  <c r="W39" i="37"/>
  <c r="F29" i="36"/>
  <c r="AA29" i="36" s="1"/>
  <c r="F16" i="36"/>
  <c r="AA16" i="36" s="1"/>
  <c r="U22" i="36"/>
  <c r="W23" i="36"/>
  <c r="W22" i="36"/>
  <c r="U26" i="36"/>
  <c r="AC31" i="36"/>
  <c r="AC27" i="35"/>
  <c r="U31" i="35"/>
  <c r="W36" i="35"/>
  <c r="S31" i="35"/>
  <c r="W31" i="35"/>
  <c r="U34" i="35"/>
  <c r="F36" i="34"/>
  <c r="S36" i="34" s="1"/>
  <c r="W9" i="34"/>
  <c r="S34" i="34"/>
  <c r="W39" i="34"/>
  <c r="H39" i="33"/>
  <c r="AB39" i="33" s="1"/>
  <c r="F26" i="33"/>
  <c r="AA26" i="33" s="1"/>
  <c r="U33" i="33"/>
  <c r="W38" i="33"/>
  <c r="S40" i="33"/>
  <c r="S33" i="33"/>
  <c r="W33" i="33"/>
  <c r="U38" i="33"/>
  <c r="S8" i="21"/>
  <c r="W8" i="21"/>
  <c r="H39" i="37"/>
  <c r="AB39" i="37"/>
  <c r="S10" i="40"/>
  <c r="W10" i="40"/>
  <c r="S11" i="40"/>
  <c r="U11" i="40"/>
  <c r="S36" i="40"/>
  <c r="U36" i="40"/>
  <c r="S40" i="39"/>
  <c r="S36" i="39"/>
  <c r="F11" i="21"/>
  <c r="S11" i="21" s="1"/>
  <c r="AC40" i="21"/>
  <c r="C29" i="39"/>
  <c r="U36" i="39"/>
  <c r="S42" i="39"/>
  <c r="H32" i="33"/>
  <c r="AB32" i="33" s="1"/>
  <c r="H11" i="21"/>
  <c r="U11" i="21" s="1"/>
  <c r="J11" i="21"/>
  <c r="W11" i="21" s="1"/>
  <c r="F100" i="40"/>
  <c r="F86" i="40"/>
  <c r="AA12" i="33"/>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c r="S38" i="33"/>
  <c r="E113" i="33"/>
  <c r="F36" i="33"/>
  <c r="S36" i="33"/>
  <c r="F19" i="33"/>
  <c r="S19" i="33"/>
  <c r="J19" i="33"/>
  <c r="S10" i="21"/>
  <c r="W40" i="33"/>
  <c r="F125" i="21"/>
  <c r="G125" i="21" s="1"/>
  <c r="G86" i="40"/>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BL13" i="3" s="1"/>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AB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J37" i="37"/>
  <c r="AC37" i="37" s="1"/>
  <c r="H37" i="37"/>
  <c r="U37" i="37" s="1"/>
  <c r="H40" i="37"/>
  <c r="U40" i="37" s="1"/>
  <c r="J40" i="37"/>
  <c r="W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AB28" i="36"/>
  <c r="AB31" i="21"/>
  <c r="S46" i="21"/>
  <c r="AC30" i="21"/>
  <c r="W30" i="21"/>
  <c r="AB30" i="21"/>
  <c r="AA28" i="21"/>
  <c r="W14" i="21"/>
  <c r="AC14" i="21"/>
  <c r="W42" i="21"/>
  <c r="S46" i="33"/>
  <c r="U36" i="37"/>
  <c r="AC13" i="36"/>
  <c r="AB45" i="33"/>
  <c r="AB31" i="33"/>
  <c r="AB44" i="21"/>
  <c r="G529" i="3"/>
  <c r="G521" i="3"/>
  <c r="G517" i="3"/>
  <c r="G513" i="3"/>
  <c r="G508" i="3"/>
  <c r="G493" i="3"/>
  <c r="G485" i="3"/>
  <c r="G17" i="3"/>
  <c r="G565" i="3"/>
  <c r="G561" i="3"/>
  <c r="G557" i="3"/>
  <c r="G549" i="3"/>
  <c r="G545" i="3"/>
  <c r="G539" i="3"/>
  <c r="BL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s="1"/>
  <c r="BA559" i="3"/>
  <c r="AZ559" i="3" s="1"/>
  <c r="BA557" i="3"/>
  <c r="AZ557" i="3"/>
  <c r="BA555" i="3"/>
  <c r="AZ555" i="3"/>
  <c r="BA551" i="3"/>
  <c r="AZ551" i="3"/>
  <c r="BA545" i="3"/>
  <c r="BA543" i="3"/>
  <c r="AZ543" i="3" s="1"/>
  <c r="BA521" i="3"/>
  <c r="BA505" i="3"/>
  <c r="BA501" i="3"/>
  <c r="BA493" i="3"/>
  <c r="AZ493" i="3" s="1"/>
  <c r="BA487" i="3"/>
  <c r="BA572" i="3"/>
  <c r="BA566" i="3"/>
  <c r="BA562" i="3"/>
  <c r="BA560" i="3"/>
  <c r="BA558" i="3"/>
  <c r="AZ558" i="3" s="1"/>
  <c r="BA556" i="3"/>
  <c r="BA554" i="3"/>
  <c r="BA550" i="3"/>
  <c r="BA546" i="3"/>
  <c r="BA544" i="3"/>
  <c r="BA536" i="3"/>
  <c r="BA528" i="3"/>
  <c r="BA524" i="3"/>
  <c r="BA520" i="3"/>
  <c r="BA516" i="3"/>
  <c r="BA512" i="3"/>
  <c r="BA508" i="3"/>
  <c r="BA502" i="3"/>
  <c r="BA492" i="3"/>
  <c r="BA488" i="3"/>
  <c r="BA484" i="3"/>
  <c r="AZ545" i="3"/>
  <c r="G566" i="3"/>
  <c r="G562" i="3"/>
  <c r="G560" i="3"/>
  <c r="G558" i="3"/>
  <c r="G556" i="3"/>
  <c r="G554" i="3"/>
  <c r="G550" i="3"/>
  <c r="G546" i="3"/>
  <c r="BL543" i="3"/>
  <c r="AC542" i="3"/>
  <c r="G542" i="3" s="1"/>
  <c r="BQ542" i="3"/>
  <c r="BQ568" i="3"/>
  <c r="BQ566" i="3"/>
  <c r="BL566" i="3" s="1"/>
  <c r="AZ566" i="3" s="1"/>
  <c r="BQ564" i="3"/>
  <c r="BL564" i="3" s="1"/>
  <c r="BQ562" i="3"/>
  <c r="BL562" i="3" s="1"/>
  <c r="BQ560" i="3"/>
  <c r="BL560" i="3" s="1"/>
  <c r="AZ560" i="3" s="1"/>
  <c r="BQ558" i="3"/>
  <c r="BL558" i="3" s="1"/>
  <c r="BQ556" i="3"/>
  <c r="BL556" i="3" s="1"/>
  <c r="AZ556" i="3" s="1"/>
  <c r="BQ554" i="3"/>
  <c r="BQ552" i="3"/>
  <c r="BQ550" i="3"/>
  <c r="BL550" i="3" s="1"/>
  <c r="AZ550" i="3" s="1"/>
  <c r="BQ548" i="3"/>
  <c r="BL548" i="3" s="1"/>
  <c r="BQ546" i="3"/>
  <c r="BL546" i="3"/>
  <c r="AZ546" i="3" s="1"/>
  <c r="BQ544" i="3"/>
  <c r="BL544" i="3"/>
  <c r="G544" i="3"/>
  <c r="G538" i="3"/>
  <c r="G534" i="3"/>
  <c r="G530" i="3"/>
  <c r="G526" i="3"/>
  <c r="G522" i="3"/>
  <c r="BQ540" i="3"/>
  <c r="BQ538" i="3"/>
  <c r="BL538" i="3" s="1"/>
  <c r="BQ536" i="3"/>
  <c r="BQ534" i="3"/>
  <c r="BL534" i="3" s="1"/>
  <c r="BQ532" i="3"/>
  <c r="BL532" i="3" s="1"/>
  <c r="BQ530" i="3"/>
  <c r="BQ528" i="3"/>
  <c r="BQ526" i="3"/>
  <c r="BL526" i="3" s="1"/>
  <c r="BQ524" i="3"/>
  <c r="BL524" i="3" s="1"/>
  <c r="AZ524" i="3" s="1"/>
  <c r="BQ522" i="3"/>
  <c r="BQ520" i="3"/>
  <c r="BL520" i="3" s="1"/>
  <c r="BQ518" i="3"/>
  <c r="BQ516" i="3"/>
  <c r="BL516" i="3"/>
  <c r="BQ514" i="3"/>
  <c r="BL514" i="3"/>
  <c r="BQ512" i="3"/>
  <c r="BQ510" i="3"/>
  <c r="BQ508" i="3"/>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Q486" i="3"/>
  <c r="BL486" i="3" s="1"/>
  <c r="BQ484" i="3"/>
  <c r="BL484" i="3"/>
  <c r="AZ484" i="3" s="1"/>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G79" i="37"/>
  <c r="J23" i="37"/>
  <c r="W23" i="37"/>
  <c r="F17" i="37"/>
  <c r="AA17" i="37" s="1"/>
  <c r="AB43" i="33"/>
  <c r="D3" i="21"/>
  <c r="AC12" i="35"/>
  <c r="W23" i="35"/>
  <c r="AC23" i="37"/>
  <c r="U39" i="37"/>
  <c r="AC8" i="37"/>
  <c r="AC36" i="34"/>
  <c r="AB8" i="34"/>
  <c r="AA13" i="33"/>
  <c r="AC45" i="33"/>
  <c r="S39" i="33"/>
  <c r="F43" i="33"/>
  <c r="AA43" i="33" s="1"/>
  <c r="AA23" i="37"/>
  <c r="AB44" i="33"/>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U40" i="39"/>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13" i="3"/>
  <c r="AZ217" i="3"/>
  <c r="AZ229" i="3"/>
  <c r="AZ233"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85" i="3"/>
  <c r="AZ394" i="3"/>
  <c r="AZ410" i="3"/>
  <c r="AZ422" i="3"/>
  <c r="AZ434" i="3"/>
  <c r="AZ438" i="3"/>
  <c r="AZ450" i="3"/>
  <c r="AZ455" i="3"/>
  <c r="AZ467" i="3"/>
  <c r="AZ475" i="3"/>
  <c r="AZ479" i="3"/>
  <c r="H7" i="48"/>
  <c r="H113" i="46"/>
  <c r="F33" i="46"/>
  <c r="F37" i="46"/>
  <c r="H16" i="48"/>
  <c r="H9" i="48"/>
  <c r="H8" i="48"/>
  <c r="C12" i="46"/>
  <c r="AB16" i="35"/>
  <c r="AB15" i="37"/>
  <c r="AA13" i="40"/>
  <c r="E78" i="40"/>
  <c r="F78" i="40" s="1"/>
  <c r="G78" i="40" s="1"/>
  <c r="H78" i="40" s="1"/>
  <c r="I78" i="40" s="1"/>
  <c r="J78" i="40" s="1"/>
  <c r="K78" i="40" s="1"/>
  <c r="L78" i="40" s="1"/>
  <c r="M78" i="40" s="1"/>
  <c r="BH5" i="3"/>
  <c r="P16" i="4"/>
  <c r="D3" i="35"/>
  <c r="G4" i="4"/>
  <c r="J16" i="35"/>
  <c r="W16" i="35" s="1"/>
  <c r="AC26" i="36"/>
  <c r="W25" i="35"/>
  <c r="AZ354" i="3"/>
  <c r="AA36" i="35"/>
  <c r="H11" i="37"/>
  <c r="AB11" i="37" s="1"/>
  <c r="W37" i="37"/>
  <c r="AA30" i="33"/>
  <c r="AA36" i="37"/>
  <c r="U32" i="33"/>
  <c r="AB17" i="37"/>
  <c r="AZ516" i="3"/>
  <c r="AC29" i="33"/>
  <c r="AA45" i="33"/>
  <c r="AC11" i="36"/>
  <c r="AB45" i="34"/>
  <c r="AB35" i="35"/>
  <c r="W44" i="33"/>
  <c r="AC30" i="33"/>
  <c r="W30" i="33"/>
  <c r="AC29" i="37"/>
  <c r="W32" i="36"/>
  <c r="AC32" i="36"/>
  <c r="U28" i="33"/>
  <c r="J33" i="34"/>
  <c r="AC33" i="34" s="1"/>
  <c r="AB36" i="34"/>
  <c r="J40" i="34"/>
  <c r="W40" i="34" s="1"/>
  <c r="F16" i="35"/>
  <c r="AA16" i="35" s="1"/>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S33" i="21"/>
  <c r="J32" i="21"/>
  <c r="AC32" i="21" s="1"/>
  <c r="AC5" i="3"/>
  <c r="F17" i="21"/>
  <c r="S17" i="21" s="1"/>
  <c r="H17" i="21"/>
  <c r="AB17" i="21" s="1"/>
  <c r="J17" i="21"/>
  <c r="AC17" i="21" s="1"/>
  <c r="F40" i="21"/>
  <c r="S40" i="21" s="1"/>
  <c r="H40" i="21"/>
  <c r="AB40" i="21" s="1"/>
  <c r="AA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H32" i="37"/>
  <c r="AB32" i="37" s="1"/>
  <c r="F19" i="39"/>
  <c r="S19" i="39" s="1"/>
  <c r="H19" i="39"/>
  <c r="AB19" i="39" s="1"/>
  <c r="J19" i="39"/>
  <c r="W19" i="39" s="1"/>
  <c r="F43" i="39"/>
  <c r="AA43" i="39" s="1"/>
  <c r="H43" i="39"/>
  <c r="U43" i="39" s="1"/>
  <c r="J43" i="39"/>
  <c r="W43" i="39" s="1"/>
  <c r="F99" i="37"/>
  <c r="AC27" i="37"/>
  <c r="S45" i="34"/>
  <c r="AC40" i="37"/>
  <c r="W27" i="33"/>
  <c r="AA44" i="34"/>
  <c r="U29" i="35"/>
  <c r="AC19" i="33"/>
  <c r="W19" i="33"/>
  <c r="U43" i="34"/>
  <c r="AB43" i="34"/>
  <c r="S35" i="37"/>
  <c r="AB10" i="35"/>
  <c r="AB34" i="21"/>
  <c r="BA571" i="3"/>
  <c r="BL570" i="3"/>
  <c r="BE5" i="3"/>
  <c r="F42" i="21"/>
  <c r="AA42" i="21" s="1"/>
  <c r="AB40" i="33"/>
  <c r="U40" i="33"/>
  <c r="S35" i="34"/>
  <c r="H27" i="34"/>
  <c r="AB27" i="34" s="1"/>
  <c r="AB8" i="35"/>
  <c r="U8" i="35"/>
  <c r="S9" i="35"/>
  <c r="J14" i="35"/>
  <c r="AC14" i="35" s="1"/>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27" i="36"/>
  <c r="AB27" i="36"/>
  <c r="AA31" i="36"/>
  <c r="AC25" i="37"/>
  <c r="AC26" i="37"/>
  <c r="W26" i="37"/>
  <c r="AB29" i="37"/>
  <c r="AA30" i="37"/>
  <c r="AC30" i="37"/>
  <c r="AC31" i="37"/>
  <c r="W31" i="37"/>
  <c r="AB14" i="37"/>
  <c r="F17" i="39"/>
  <c r="AA17" i="39" s="1"/>
  <c r="H17" i="39"/>
  <c r="U17" i="39" s="1"/>
  <c r="J17" i="39"/>
  <c r="W17" i="39" s="1"/>
  <c r="F21" i="39"/>
  <c r="S21" i="39" s="1"/>
  <c r="H21" i="39"/>
  <c r="U21" i="39" s="1"/>
  <c r="J21" i="39"/>
  <c r="W21"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A568" i="3"/>
  <c r="BL567" i="3"/>
  <c r="BL565" i="3"/>
  <c r="AZ565" i="3" s="1"/>
  <c r="BA564" i="3"/>
  <c r="AZ564" i="3" s="1"/>
  <c r="BL549" i="3"/>
  <c r="BA549" i="3"/>
  <c r="BA548" i="3"/>
  <c r="AZ548" i="3" s="1"/>
  <c r="BL547" i="3"/>
  <c r="BA547" i="3"/>
  <c r="BL539" i="3"/>
  <c r="BA539" i="3"/>
  <c r="AZ539" i="3" s="1"/>
  <c r="BA538" i="3"/>
  <c r="BL537" i="3"/>
  <c r="AZ537" i="3" s="1"/>
  <c r="BA537" i="3"/>
  <c r="BL536" i="3"/>
  <c r="BA535" i="3"/>
  <c r="AZ535" i="3" s="1"/>
  <c r="BA534" i="3"/>
  <c r="BA533" i="3"/>
  <c r="BL531" i="3"/>
  <c r="BL530" i="3"/>
  <c r="BA530" i="3"/>
  <c r="BL529" i="3"/>
  <c r="BA529" i="3"/>
  <c r="BL528" i="3"/>
  <c r="BA527" i="3"/>
  <c r="AZ527" i="3" s="1"/>
  <c r="BA526" i="3"/>
  <c r="BA525" i="3"/>
  <c r="AZ525" i="3" s="1"/>
  <c r="BL523" i="3"/>
  <c r="BA523" i="3"/>
  <c r="AZ523" i="3" s="1"/>
  <c r="BL522" i="3"/>
  <c r="BA522" i="3"/>
  <c r="BL521" i="3"/>
  <c r="BA519" i="3"/>
  <c r="BL518" i="3"/>
  <c r="BA517" i="3"/>
  <c r="BL515" i="3"/>
  <c r="BA515" i="3"/>
  <c r="BA514" i="3"/>
  <c r="AZ514" i="3" s="1"/>
  <c r="BL513" i="3"/>
  <c r="BA513" i="3"/>
  <c r="AZ513" i="3" s="1"/>
  <c r="BL512" i="3"/>
  <c r="AZ512" i="3" s="1"/>
  <c r="BA511" i="3"/>
  <c r="AZ511" i="3" s="1"/>
  <c r="BA507" i="3"/>
  <c r="BL506" i="3"/>
  <c r="BA504" i="3"/>
  <c r="BA503" i="3"/>
  <c r="AZ503" i="3"/>
  <c r="BA500" i="3"/>
  <c r="BA499" i="3"/>
  <c r="BL498" i="3"/>
  <c r="BL497" i="3"/>
  <c r="BL496" i="3"/>
  <c r="BA495" i="3"/>
  <c r="AZ495" i="3" s="1"/>
  <c r="BL494" i="3"/>
  <c r="BA494" i="3"/>
  <c r="G494" i="3"/>
  <c r="BA491" i="3"/>
  <c r="AZ491" i="3"/>
  <c r="BL490" i="3"/>
  <c r="BA490" i="3"/>
  <c r="AZ490" i="3" s="1"/>
  <c r="BL489" i="3"/>
  <c r="BA486" i="3"/>
  <c r="AZ486" i="3" s="1"/>
  <c r="BA485" i="3"/>
  <c r="AZ485" i="3"/>
  <c r="BA483" i="3"/>
  <c r="AZ483" i="3"/>
  <c r="BA482" i="3"/>
  <c r="AZ482" i="3"/>
  <c r="BJ5" i="3"/>
  <c r="BL19" i="3"/>
  <c r="BA18" i="3"/>
  <c r="F114" i="34"/>
  <c r="G114" i="34" s="1"/>
  <c r="H114" i="34" s="1"/>
  <c r="I114" i="34" s="1"/>
  <c r="J114" i="34" s="1"/>
  <c r="K114" i="34" s="1"/>
  <c r="L114" i="34" s="1"/>
  <c r="M114" i="34" s="1"/>
  <c r="H38" i="34"/>
  <c r="U38" i="34" s="1"/>
  <c r="H30" i="40"/>
  <c r="AB30" i="40" s="1"/>
  <c r="G100" i="40"/>
  <c r="J30" i="40"/>
  <c r="AC30" i="40" s="1"/>
  <c r="F38" i="40"/>
  <c r="AA38" i="40" s="1"/>
  <c r="AA36" i="34"/>
  <c r="AC12" i="21"/>
  <c r="AB33" i="21"/>
  <c r="AB10" i="21"/>
  <c r="AB8" i="21"/>
  <c r="AB8" i="33"/>
  <c r="U8" i="33"/>
  <c r="E106" i="33"/>
  <c r="H34" i="33"/>
  <c r="U34" i="33" s="1"/>
  <c r="F34" i="33"/>
  <c r="S34" i="33" s="1"/>
  <c r="E121" i="33"/>
  <c r="F41" i="33"/>
  <c r="S41" i="33"/>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14" i="39"/>
  <c r="AA14" i="39"/>
  <c r="H14" i="39"/>
  <c r="AB14" i="39"/>
  <c r="J14" i="39"/>
  <c r="AC14" i="39"/>
  <c r="F16" i="39"/>
  <c r="AA16" i="39" s="1"/>
  <c r="H16" i="39"/>
  <c r="U16" i="39" s="1"/>
  <c r="J16" i="39"/>
  <c r="AC16" i="39" s="1"/>
  <c r="E97" i="39"/>
  <c r="F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34" i="40"/>
  <c r="U34" i="40"/>
  <c r="AZ399" i="3"/>
  <c r="AZ403" i="3"/>
  <c r="AZ415" i="3"/>
  <c r="AZ423" i="3"/>
  <c r="AZ454" i="3"/>
  <c r="B41" i="1"/>
  <c r="F72" i="9" s="1"/>
  <c r="J42" i="40"/>
  <c r="AC42" i="40"/>
  <c r="J34" i="40"/>
  <c r="AC34" i="40"/>
  <c r="H16" i="40"/>
  <c r="AB16" i="40"/>
  <c r="H14" i="40"/>
  <c r="U14" i="40"/>
  <c r="F32" i="40"/>
  <c r="AA32" i="40"/>
  <c r="AZ401" i="3"/>
  <c r="AZ436" i="3"/>
  <c r="AZ449" i="3"/>
  <c r="AZ452" i="3"/>
  <c r="M1" i="46"/>
  <c r="M6" i="46"/>
  <c r="M10" i="46"/>
  <c r="N2" i="46"/>
  <c r="N5" i="46"/>
  <c r="F58" i="46"/>
  <c r="H61" i="46" s="1"/>
  <c r="F47" i="46"/>
  <c r="H49" i="46" s="1"/>
  <c r="N7" i="46"/>
  <c r="AZ456" i="3"/>
  <c r="AZ458" i="3"/>
  <c r="AZ477" i="3"/>
  <c r="AZ212" i="3"/>
  <c r="AZ215" i="3"/>
  <c r="AZ228" i="3"/>
  <c r="AZ231" i="3"/>
  <c r="AZ244" i="3"/>
  <c r="AZ247" i="3"/>
  <c r="AZ260" i="3"/>
  <c r="AZ263" i="3"/>
  <c r="AZ276" i="3"/>
  <c r="AZ281" i="3"/>
  <c r="AZ121" i="3"/>
  <c r="AZ137" i="3"/>
  <c r="AZ152" i="3"/>
  <c r="M7" i="46"/>
  <c r="M11" i="46"/>
  <c r="N3" i="46"/>
  <c r="N6" i="46"/>
  <c r="N10" i="46"/>
  <c r="F69" i="46" s="1"/>
  <c r="H71" i="46" s="1"/>
  <c r="AZ164" i="3"/>
  <c r="AZ177" i="3"/>
  <c r="AZ32" i="3"/>
  <c r="AZ48" i="3"/>
  <c r="AZ63" i="3"/>
  <c r="AZ79" i="3"/>
  <c r="AZ99" i="3"/>
  <c r="J13" i="40"/>
  <c r="W13" i="40"/>
  <c r="AB14" i="40"/>
  <c r="F27" i="43"/>
  <c r="W35" i="40"/>
  <c r="AB32" i="40"/>
  <c r="S47" i="39"/>
  <c r="U37" i="34"/>
  <c r="W41" i="40"/>
  <c r="J23" i="40"/>
  <c r="AC23" i="40" s="1"/>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515" i="3"/>
  <c r="AZ530" i="3"/>
  <c r="AZ547" i="3"/>
  <c r="AZ549" i="3"/>
  <c r="AB37" i="39"/>
  <c r="AA29" i="35"/>
  <c r="AB21" i="39"/>
  <c r="AA11" i="36"/>
  <c r="AA14" i="35"/>
  <c r="S14" i="35"/>
  <c r="G99" i="37"/>
  <c r="F33" i="37"/>
  <c r="AA33" i="37" s="1"/>
  <c r="U19" i="39"/>
  <c r="AC30" i="34"/>
  <c r="W12" i="34"/>
  <c r="AC13" i="33"/>
  <c r="U17" i="34"/>
  <c r="AA11" i="34"/>
  <c r="H15" i="33"/>
  <c r="U15" i="33" s="1"/>
  <c r="AA11" i="33"/>
  <c r="AA40" i="21"/>
  <c r="U16" i="40"/>
  <c r="W34" i="40"/>
  <c r="AB34" i="40"/>
  <c r="AC16" i="40"/>
  <c r="H25" i="40"/>
  <c r="AB25" i="40" s="1"/>
  <c r="F94" i="40"/>
  <c r="G94" i="40" s="1"/>
  <c r="W15" i="39"/>
  <c r="J37" i="34"/>
  <c r="AC37" i="34" s="1"/>
  <c r="J36" i="33"/>
  <c r="W36" i="33" s="1"/>
  <c r="S41" i="40"/>
  <c r="U27" i="39"/>
  <c r="H23" i="39"/>
  <c r="AB23" i="39" s="1"/>
  <c r="J23" i="39"/>
  <c r="W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11" i="36"/>
  <c r="W14" i="35"/>
  <c r="F27" i="34"/>
  <c r="S27" i="34" s="1"/>
  <c r="F32" i="37"/>
  <c r="S32" i="37" s="1"/>
  <c r="U11" i="35"/>
  <c r="S46" i="34"/>
  <c r="U14" i="34"/>
  <c r="U12" i="34"/>
  <c r="G80" i="34"/>
  <c r="F17" i="34"/>
  <c r="AA17" i="34"/>
  <c r="J17" i="34"/>
  <c r="AC17" i="34"/>
  <c r="H11" i="34"/>
  <c r="AB11" i="34"/>
  <c r="J35" i="33"/>
  <c r="W35" i="33"/>
  <c r="AC15" i="33"/>
  <c r="H11" i="33"/>
  <c r="U11" i="33" s="1"/>
  <c r="H10" i="33"/>
  <c r="U10" i="33" s="1"/>
  <c r="I66" i="33"/>
  <c r="J10" i="33"/>
  <c r="AC10" i="33" s="1"/>
  <c r="U40" i="21"/>
  <c r="AC13" i="40"/>
  <c r="J11" i="34"/>
  <c r="W11" i="34" s="1"/>
  <c r="S17" i="34"/>
  <c r="AC36" i="33"/>
  <c r="F25" i="40"/>
  <c r="AA25" i="40" s="1"/>
  <c r="J11" i="33"/>
  <c r="W11" i="33" s="1"/>
  <c r="H33" i="37"/>
  <c r="AB33" i="37" s="1"/>
  <c r="W15" i="34"/>
  <c r="AC15" i="34"/>
  <c r="AB20" i="35"/>
  <c r="D73" i="9"/>
  <c r="N73" i="9" s="1"/>
  <c r="B11" i="1"/>
  <c r="E11" i="1"/>
  <c r="K11" i="1"/>
  <c r="M11" i="1" s="1"/>
  <c r="B9" i="1"/>
  <c r="E9" i="1" s="1"/>
  <c r="K9" i="1"/>
  <c r="B7" i="1"/>
  <c r="E7" i="1" s="1"/>
  <c r="K7" i="1"/>
  <c r="M7" i="1" s="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AA27" i="36"/>
  <c r="S29" i="36"/>
  <c r="AC33" i="35"/>
  <c r="U22" i="35"/>
  <c r="AC9" i="35"/>
  <c r="S8" i="35"/>
  <c r="U33" i="35"/>
  <c r="AA20" i="35"/>
  <c r="W20" i="35"/>
  <c r="S16" i="35"/>
  <c r="AC10" i="35"/>
  <c r="U9" i="35"/>
  <c r="W13" i="35"/>
  <c r="AC18" i="35"/>
  <c r="W18" i="35"/>
  <c r="U18" i="35"/>
  <c r="AB18" i="35"/>
  <c r="S30" i="35"/>
  <c r="AA35" i="35"/>
  <c r="AB30" i="35"/>
  <c r="S27" i="35"/>
  <c r="S28" i="35"/>
  <c r="J26" i="35"/>
  <c r="AC26" i="35" s="1"/>
  <c r="H26" i="35"/>
  <c r="AB26" i="35" s="1"/>
  <c r="AB9" i="37"/>
  <c r="AA9" i="37"/>
  <c r="S17" i="37"/>
  <c r="AB37" i="37"/>
  <c r="S33" i="37"/>
  <c r="U32" i="37"/>
  <c r="J33" i="37"/>
  <c r="W33" i="37" s="1"/>
  <c r="H99" i="37"/>
  <c r="I99" i="37" s="1"/>
  <c r="J99" i="37" s="1"/>
  <c r="K99" i="37" s="1"/>
  <c r="L99" i="37" s="1"/>
  <c r="M99" i="37" s="1"/>
  <c r="S29" i="37"/>
  <c r="J19" i="37"/>
  <c r="AC19" i="37" s="1"/>
  <c r="G75" i="37"/>
  <c r="F19" i="37"/>
  <c r="AA19" i="37" s="1"/>
  <c r="H19" i="37"/>
  <c r="U19" i="37" s="1"/>
  <c r="J17" i="37"/>
  <c r="S15" i="37"/>
  <c r="AC10" i="37"/>
  <c r="AC21" i="37"/>
  <c r="W21" i="37"/>
  <c r="AC11" i="37"/>
  <c r="AC9" i="37"/>
  <c r="W32" i="37"/>
  <c r="U35" i="37"/>
  <c r="U8" i="37"/>
  <c r="AB21" i="37"/>
  <c r="U21" i="37"/>
  <c r="S37" i="37"/>
  <c r="AA11" i="37"/>
  <c r="S10" i="37"/>
  <c r="W46" i="34"/>
  <c r="AA40" i="34"/>
  <c r="U30" i="34"/>
  <c r="AB33" i="34"/>
  <c r="AC35" i="34"/>
  <c r="AC32" i="34"/>
  <c r="U44" i="34"/>
  <c r="U34" i="34"/>
  <c r="U28" i="34"/>
  <c r="J25" i="34"/>
  <c r="AC25" i="34" s="1"/>
  <c r="H25" i="34"/>
  <c r="F25" i="34"/>
  <c r="S25" i="34" s="1"/>
  <c r="J23" i="34"/>
  <c r="F86" i="34"/>
  <c r="G86" i="34" s="1"/>
  <c r="F23" i="34"/>
  <c r="S23" i="34" s="1"/>
  <c r="H23" i="34"/>
  <c r="W17" i="34"/>
  <c r="AC11" i="34"/>
  <c r="U11" i="34"/>
  <c r="W10" i="34"/>
  <c r="U10" i="34"/>
  <c r="AC40" i="34"/>
  <c r="W19" i="34"/>
  <c r="AC21" i="34"/>
  <c r="W21" i="34"/>
  <c r="U15" i="34"/>
  <c r="AB21" i="34"/>
  <c r="U21" i="34"/>
  <c r="U19" i="34"/>
  <c r="S13" i="34"/>
  <c r="S9" i="34"/>
  <c r="S10" i="34"/>
  <c r="U39" i="33"/>
  <c r="S35" i="33"/>
  <c r="AC12" i="33"/>
  <c r="AB11" i="33"/>
  <c r="AB41" i="33"/>
  <c r="AC35" i="33"/>
  <c r="W31" i="33"/>
  <c r="U46" i="33"/>
  <c r="W39" i="33"/>
  <c r="U35" i="33"/>
  <c r="W26" i="33"/>
  <c r="H25" i="33"/>
  <c r="AB25" i="33" s="1"/>
  <c r="J25" i="33"/>
  <c r="W25" i="33" s="1"/>
  <c r="F87" i="33"/>
  <c r="G87" i="33" s="1"/>
  <c r="H87" i="33" s="1"/>
  <c r="I87" i="33" s="1"/>
  <c r="J87" i="33" s="1"/>
  <c r="K87" i="33" s="1"/>
  <c r="L87" i="33" s="1"/>
  <c r="M87" i="33" s="1"/>
  <c r="F25" i="33"/>
  <c r="S25" i="33" s="1"/>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B32" i="21"/>
  <c r="W28" i="21"/>
  <c r="AC26" i="21"/>
  <c r="J23" i="21"/>
  <c r="W23" i="21" s="1"/>
  <c r="F23" i="21"/>
  <c r="S23" i="21" s="1"/>
  <c r="H23" i="21"/>
  <c r="AB23" i="21" s="1"/>
  <c r="F15" i="21"/>
  <c r="S15" i="21" s="1"/>
  <c r="J15" i="21"/>
  <c r="AC15" i="21" s="1"/>
  <c r="H15" i="21"/>
  <c r="AB15" i="21" s="1"/>
  <c r="AB11" i="21"/>
  <c r="AA11" i="21"/>
  <c r="W21" i="21"/>
  <c r="W44" i="21"/>
  <c r="W10" i="21"/>
  <c r="AC38" i="21"/>
  <c r="U21" i="21"/>
  <c r="AB29" i="21"/>
  <c r="AA30" i="21"/>
  <c r="AA31" i="21"/>
  <c r="U33" i="40"/>
  <c r="U15" i="40"/>
  <c r="S14" i="40"/>
  <c r="S15"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S25" i="40"/>
  <c r="F88" i="40"/>
  <c r="G88" i="40" s="1"/>
  <c r="F19" i="40"/>
  <c r="S19" i="40" s="1"/>
  <c r="H19" i="40"/>
  <c r="J19" i="40"/>
  <c r="AC19" i="40" s="1"/>
  <c r="AC17" i="40"/>
  <c r="F17" i="40"/>
  <c r="AA17" i="40"/>
  <c r="H17" i="40"/>
  <c r="AB17" i="40"/>
  <c r="W21" i="40"/>
  <c r="U10" i="40"/>
  <c r="U27" i="40"/>
  <c r="AB27" i="40"/>
  <c r="AC44" i="39"/>
  <c r="S11" i="39"/>
  <c r="AB45" i="39"/>
  <c r="AC21" i="39"/>
  <c r="S14" i="39"/>
  <c r="AB15" i="39"/>
  <c r="U11" i="39"/>
  <c r="S38" i="39"/>
  <c r="S22" i="31"/>
  <c r="R22" i="31" s="1"/>
  <c r="B21" i="31" s="1"/>
  <c r="D96" i="9"/>
  <c r="M18" i="15"/>
  <c r="BA16" i="3"/>
  <c r="BA17" i="3"/>
  <c r="AZ17" i="3" s="1"/>
  <c r="F3" i="35"/>
  <c r="K1" i="43"/>
  <c r="K1" i="12"/>
  <c r="G1" i="44"/>
  <c r="AZ15" i="3"/>
  <c r="BK5" i="3"/>
  <c r="BP5" i="3"/>
  <c r="BL18" i="3"/>
  <c r="BC5" i="3"/>
  <c r="BD5" i="3"/>
  <c r="BS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U13" i="37"/>
  <c r="C24" i="9"/>
  <c r="C25" i="9"/>
  <c r="G9" i="1"/>
  <c r="G8" i="1"/>
  <c r="I20" i="46"/>
  <c r="B46" i="50"/>
  <c r="B4" i="63" s="1"/>
  <c r="C46" i="36"/>
  <c r="C48" i="35"/>
  <c r="D48" i="35"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G66" i="36" s="1"/>
  <c r="H18" i="36"/>
  <c r="U18" i="36" s="1"/>
  <c r="U16" i="36"/>
  <c r="AA34" i="36"/>
  <c r="U23" i="36"/>
  <c r="AC27" i="36"/>
  <c r="W28" i="36"/>
  <c r="AA32" i="36"/>
  <c r="AA22" i="36"/>
  <c r="AA13" i="36"/>
  <c r="W8" i="36"/>
  <c r="U24" i="35"/>
  <c r="S24" i="35"/>
  <c r="AA33" i="35"/>
  <c r="U32" i="35"/>
  <c r="W34" i="35"/>
  <c r="W35" i="37"/>
  <c r="U33" i="37"/>
  <c r="AA13" i="37"/>
  <c r="W38" i="37"/>
  <c r="S28" i="37"/>
  <c r="U38" i="37"/>
  <c r="AA31" i="34"/>
  <c r="W47" i="34"/>
  <c r="AB47" i="34"/>
  <c r="AC13" i="34"/>
  <c r="AA29" i="34"/>
  <c r="S19" i="34"/>
  <c r="S8" i="34"/>
  <c r="AA19" i="33"/>
  <c r="AC25" i="33"/>
  <c r="AB42" i="33"/>
  <c r="AB14" i="33"/>
  <c r="S26" i="33"/>
  <c r="AB12" i="33"/>
  <c r="S15" i="33"/>
  <c r="S39" i="21"/>
  <c r="AB45" i="21"/>
  <c r="AA25" i="21"/>
  <c r="AA29" i="21"/>
  <c r="W31" i="21"/>
  <c r="AA15" i="21"/>
  <c r="W29" i="21"/>
  <c r="G96" i="40"/>
  <c r="J27" i="40"/>
  <c r="W27" i="40" s="1"/>
  <c r="W37" i="40"/>
  <c r="S17" i="40"/>
  <c r="W30" i="40"/>
  <c r="S34" i="40"/>
  <c r="U17" i="40"/>
  <c r="U38" i="40"/>
  <c r="S42" i="40"/>
  <c r="S45" i="39"/>
  <c r="W42" i="39"/>
  <c r="W36" i="39"/>
  <c r="AC37" i="39"/>
  <c r="U14" i="39"/>
  <c r="W16" i="39"/>
  <c r="S15" i="39"/>
  <c r="AA46" i="39"/>
  <c r="W10" i="39"/>
  <c r="W11" i="39"/>
  <c r="U42" i="39"/>
  <c r="S32" i="40"/>
  <c r="C27" i="39"/>
  <c r="C17" i="40"/>
  <c r="C19" i="40"/>
  <c r="C17" i="39"/>
  <c r="C21" i="39"/>
  <c r="C23" i="40"/>
  <c r="B48" i="46"/>
  <c r="B51" i="46"/>
  <c r="B55" i="46"/>
  <c r="B62" i="46"/>
  <c r="B66" i="46"/>
  <c r="B53" i="46"/>
  <c r="D24" i="15"/>
  <c r="AB20" i="36"/>
  <c r="AC14" i="36"/>
  <c r="U14" i="36"/>
  <c r="AB14" i="36"/>
  <c r="AB18" i="36"/>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U15" i="21"/>
  <c r="AB39" i="40"/>
  <c r="U39" i="40"/>
  <c r="AC39" i="40"/>
  <c r="AA39" i="40"/>
  <c r="S39" i="40"/>
  <c r="U37" i="40"/>
  <c r="AB37" i="40"/>
  <c r="AA37" i="40"/>
  <c r="U29" i="40"/>
  <c r="AB29" i="40"/>
  <c r="AC29" i="40"/>
  <c r="AA29" i="40"/>
  <c r="W19" i="40"/>
  <c r="AA19" i="40"/>
  <c r="AB19" i="40"/>
  <c r="U19" i="40"/>
  <c r="AC27" i="40"/>
  <c r="B20" i="31"/>
  <c r="AT6" i="3"/>
  <c r="A9" i="64"/>
  <c r="A9" i="51"/>
  <c r="B9" i="63" s="1"/>
  <c r="J18" i="36"/>
  <c r="AC18" i="36" s="1"/>
  <c r="AE6" i="1"/>
  <c r="AG6" i="1"/>
  <c r="L20" i="6"/>
  <c r="S9" i="1"/>
  <c r="R9" i="1"/>
  <c r="C45" i="9"/>
  <c r="N76" i="9"/>
  <c r="C46" i="9"/>
  <c r="B9" i="67"/>
  <c r="F40" i="15"/>
  <c r="M29" i="44"/>
  <c r="F16" i="15"/>
  <c r="E14" i="67"/>
  <c r="M28" i="15"/>
  <c r="F42" i="15"/>
  <c r="E12" i="67"/>
  <c r="C19" i="44"/>
  <c r="F10" i="67"/>
  <c r="F18" i="44"/>
  <c r="F45" i="44"/>
  <c r="E10" i="67"/>
  <c r="F9" i="67"/>
  <c r="F28" i="44"/>
  <c r="B12" i="67"/>
  <c r="J17" i="44"/>
  <c r="M26" i="15"/>
  <c r="M27" i="72"/>
  <c r="E13" i="67"/>
  <c r="M27" i="15"/>
  <c r="F37" i="15"/>
  <c r="F7" i="72"/>
  <c r="J36" i="15"/>
  <c r="M29" i="72"/>
  <c r="M23" i="15"/>
  <c r="B10" i="67"/>
  <c r="F8" i="67"/>
  <c r="F11" i="67"/>
  <c r="F12" i="67"/>
  <c r="M30" i="44"/>
  <c r="F9" i="44"/>
  <c r="N6" i="65"/>
  <c r="F40" i="44"/>
  <c r="F13" i="67"/>
  <c r="M22" i="15"/>
  <c r="J15" i="15"/>
  <c r="E8" i="67"/>
  <c r="N4" i="65"/>
  <c r="N7" i="65"/>
  <c r="F11" i="44"/>
  <c r="F46" i="44"/>
  <c r="F43" i="15"/>
  <c r="F26" i="15"/>
  <c r="F14" i="67"/>
  <c r="F10" i="44"/>
  <c r="B8" i="67"/>
  <c r="E9" i="67"/>
  <c r="E11" i="67"/>
  <c r="F43" i="72"/>
  <c r="L47" i="15"/>
  <c r="B11" i="67"/>
  <c r="B14" i="67"/>
  <c r="F8" i="15"/>
  <c r="F39" i="44"/>
  <c r="N3" i="65"/>
  <c r="B13" i="67"/>
  <c r="M9" i="15"/>
  <c r="M25" i="44"/>
  <c r="N5" i="65"/>
  <c r="AA12" i="21" l="1"/>
  <c r="S12" i="21"/>
  <c r="U27" i="33"/>
  <c r="AB27" i="33"/>
  <c r="AZ534" i="3"/>
  <c r="AZ500" i="3"/>
  <c r="AZ492" i="3"/>
  <c r="AZ536" i="3"/>
  <c r="AZ562" i="3"/>
  <c r="AZ572" i="3"/>
  <c r="BL572" i="3"/>
  <c r="BL571" i="3"/>
  <c r="BA570" i="3"/>
  <c r="AZ570" i="3" s="1"/>
  <c r="AZ16" i="3"/>
  <c r="W23" i="40"/>
  <c r="AB23" i="40"/>
  <c r="AB42" i="40"/>
  <c r="U41" i="40"/>
  <c r="AB25" i="39"/>
  <c r="AZ18" i="3"/>
  <c r="AZ494" i="3"/>
  <c r="AZ522" i="3"/>
  <c r="AZ526" i="3"/>
  <c r="AZ529" i="3"/>
  <c r="AZ571" i="3"/>
  <c r="AZ352" i="3"/>
  <c r="AZ344" i="3"/>
  <c r="AZ304" i="3"/>
  <c r="AZ300" i="3"/>
  <c r="AZ339" i="3"/>
  <c r="AZ331" i="3"/>
  <c r="AZ323" i="3"/>
  <c r="AZ343" i="3"/>
  <c r="AZ327" i="3"/>
  <c r="AZ322" i="3"/>
  <c r="AZ528" i="3"/>
  <c r="AZ544" i="3"/>
  <c r="AZ521" i="3"/>
  <c r="AZ569" i="3"/>
  <c r="U30" i="33"/>
  <c r="AA38" i="37"/>
  <c r="G571" i="3"/>
  <c r="BO5" i="3"/>
  <c r="F29" i="6" s="1"/>
  <c r="F30" i="6" s="1"/>
  <c r="BF5" i="3"/>
  <c r="J35" i="21"/>
  <c r="BA567" i="3"/>
  <c r="AZ567" i="3" s="1"/>
  <c r="BL563" i="3"/>
  <c r="BA563" i="3"/>
  <c r="BL554" i="3"/>
  <c r="AZ554" i="3" s="1"/>
  <c r="BL553" i="3"/>
  <c r="BA553" i="3"/>
  <c r="BL552" i="3"/>
  <c r="BA552" i="3"/>
  <c r="BL542" i="3"/>
  <c r="BA542" i="3"/>
  <c r="BA541" i="3"/>
  <c r="AZ541" i="3" s="1"/>
  <c r="BA532" i="3"/>
  <c r="AZ532" i="3" s="1"/>
  <c r="BL508" i="3"/>
  <c r="AZ508" i="3" s="1"/>
  <c r="BL507" i="3"/>
  <c r="AZ507" i="3" s="1"/>
  <c r="BA506" i="3"/>
  <c r="AZ506" i="3" s="1"/>
  <c r="BL505" i="3"/>
  <c r="AZ505" i="3" s="1"/>
  <c r="BA496" i="3"/>
  <c r="AZ496" i="3" s="1"/>
  <c r="BA489" i="3"/>
  <c r="AZ489" i="3" s="1"/>
  <c r="BL488" i="3"/>
  <c r="AZ488" i="3" s="1"/>
  <c r="BL487" i="3"/>
  <c r="AZ487" i="3" s="1"/>
  <c r="BL481" i="3"/>
  <c r="BA481" i="3"/>
  <c r="BR5" i="3"/>
  <c r="BA20" i="3"/>
  <c r="AZ20" i="3" s="1"/>
  <c r="BA19" i="3"/>
  <c r="AZ19" i="3" s="1"/>
  <c r="F34" i="15"/>
  <c r="F61" i="15" s="1"/>
  <c r="M20" i="72"/>
  <c r="F34" i="72"/>
  <c r="F61" i="72" s="1"/>
  <c r="F25" i="37"/>
  <c r="H26" i="37"/>
  <c r="F29" i="39"/>
  <c r="AA29" i="39" s="1"/>
  <c r="G569" i="3"/>
  <c r="BL568" i="3"/>
  <c r="AZ568" i="3" s="1"/>
  <c r="G567" i="3"/>
  <c r="G563" i="3"/>
  <c r="G552" i="3"/>
  <c r="G541" i="3"/>
  <c r="BL540" i="3"/>
  <c r="BA540" i="3"/>
  <c r="G535" i="3"/>
  <c r="BL533" i="3"/>
  <c r="AZ533" i="3" s="1"/>
  <c r="G532" i="3"/>
  <c r="BA531" i="3"/>
  <c r="AZ531" i="3" s="1"/>
  <c r="G528" i="3"/>
  <c r="G520" i="3"/>
  <c r="BL519" i="3"/>
  <c r="AZ519" i="3" s="1"/>
  <c r="BA518" i="3"/>
  <c r="AZ518" i="3" s="1"/>
  <c r="G518" i="3"/>
  <c r="BL517" i="3"/>
  <c r="AZ517" i="3" s="1"/>
  <c r="G511" i="3"/>
  <c r="BL510" i="3"/>
  <c r="BA510" i="3"/>
  <c r="G510" i="3"/>
  <c r="BL509" i="3"/>
  <c r="BA509" i="3"/>
  <c r="G505" i="3"/>
  <c r="BL504" i="3"/>
  <c r="AZ504" i="3" s="1"/>
  <c r="G500" i="3"/>
  <c r="BL499" i="3"/>
  <c r="AZ499" i="3" s="1"/>
  <c r="G499" i="3"/>
  <c r="BA498" i="3"/>
  <c r="AZ498" i="3" s="1"/>
  <c r="BA497" i="3"/>
  <c r="AZ497" i="3" s="1"/>
  <c r="G487" i="3"/>
  <c r="G19" i="3"/>
  <c r="C92" i="9"/>
  <c r="AZ405" i="3"/>
  <c r="B85" i="46"/>
  <c r="C27" i="40"/>
  <c r="D28" i="59"/>
  <c r="BA389" i="3"/>
  <c r="AZ389" i="3" s="1"/>
  <c r="BA390" i="3"/>
  <c r="AZ390" i="3" s="1"/>
  <c r="BA391" i="3"/>
  <c r="AZ391" i="3" s="1"/>
  <c r="G394" i="3"/>
  <c r="G395" i="3"/>
  <c r="BL395" i="3"/>
  <c r="AZ395" i="3" s="1"/>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D65" i="59"/>
  <c r="C64" i="59"/>
  <c r="D64" i="59" s="1"/>
  <c r="X16" i="59"/>
  <c r="X11" i="59"/>
  <c r="X13" i="59"/>
  <c r="AA16" i="59"/>
  <c r="AA3" i="59"/>
  <c r="AA14" i="59"/>
  <c r="AA12" i="59"/>
  <c r="D20" i="59"/>
  <c r="C21" i="59"/>
  <c r="D40" i="59"/>
  <c r="C41" i="59"/>
  <c r="D48" i="59"/>
  <c r="C49" i="59"/>
  <c r="O54" i="59"/>
  <c r="C53" i="59"/>
  <c r="D54" i="59"/>
  <c r="T54" i="59"/>
  <c r="V54" i="59"/>
  <c r="Q54" i="59"/>
  <c r="U58" i="59"/>
  <c r="E57" i="59"/>
  <c r="E56" i="59" s="1"/>
  <c r="T62" i="59"/>
  <c r="C61" i="59"/>
  <c r="D62" i="59"/>
  <c r="U66" i="59"/>
  <c r="E65" i="59"/>
  <c r="E64" i="59" s="1"/>
  <c r="AB11" i="59"/>
  <c r="AB14" i="59"/>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BA291" i="3"/>
  <c r="AZ291" i="3" s="1"/>
  <c r="BA292" i="3"/>
  <c r="AZ292"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AZ198" i="3"/>
  <c r="G179" i="3"/>
  <c r="BA180" i="3"/>
  <c r="AZ180" i="3" s="1"/>
  <c r="BA181" i="3"/>
  <c r="AZ181" i="3" s="1"/>
  <c r="BL182" i="3"/>
  <c r="AZ182" i="3" s="1"/>
  <c r="G185" i="3"/>
  <c r="BL187" i="3"/>
  <c r="AZ187" i="3" s="1"/>
  <c r="BA189" i="3"/>
  <c r="AZ189" i="3" s="1"/>
  <c r="BL190" i="3"/>
  <c r="AZ190" i="3" s="1"/>
  <c r="G193" i="3"/>
  <c r="BL195" i="3"/>
  <c r="AZ195" i="3" s="1"/>
  <c r="BA197" i="3"/>
  <c r="AZ197" i="3" s="1"/>
  <c r="BL198" i="3"/>
  <c r="G201" i="3"/>
  <c r="G203" i="3"/>
  <c r="G204" i="3"/>
  <c r="BL204" i="3"/>
  <c r="AZ204" i="3" s="1"/>
  <c r="BA21" i="3"/>
  <c r="AZ21" i="3" s="1"/>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13" i="1"/>
  <c r="E13" i="1" s="1"/>
  <c r="K13" i="1"/>
  <c r="M13" i="1" s="1"/>
  <c r="D22" i="15"/>
  <c r="D23" i="15"/>
  <c r="B65" i="46"/>
  <c r="B54" i="46"/>
  <c r="D74" i="59"/>
  <c r="C73" i="59"/>
  <c r="BL107" i="3"/>
  <c r="AZ107" i="3" s="1"/>
  <c r="BA108" i="3"/>
  <c r="AZ108" i="3" s="1"/>
  <c r="BL110" i="3"/>
  <c r="AZ110" i="3" s="1"/>
  <c r="BA111" i="3"/>
  <c r="AZ111" i="3" s="1"/>
  <c r="BA112" i="3"/>
  <c r="AZ112" i="3" s="1"/>
  <c r="I10" i="57"/>
  <c r="E17" i="59"/>
  <c r="E18" i="59" s="1"/>
  <c r="U18" i="59" s="1"/>
  <c r="X15" i="59"/>
  <c r="AA19" i="59"/>
  <c r="Y23" i="59"/>
  <c r="Z23" i="59" s="1"/>
  <c r="B37" i="59"/>
  <c r="B38" i="59" s="1"/>
  <c r="S38" i="59" s="1"/>
  <c r="E37" i="59"/>
  <c r="E38" i="59" s="1"/>
  <c r="U38" i="59" s="1"/>
  <c r="L76" i="9"/>
  <c r="P75" i="15"/>
  <c r="F34" i="44"/>
  <c r="F32" i="72"/>
  <c r="F59" i="72" s="1"/>
  <c r="F28" i="72"/>
  <c r="C28" i="72" s="1"/>
  <c r="M18" i="72"/>
  <c r="W45" i="39"/>
  <c r="U47" i="39"/>
  <c r="AC47" i="39"/>
  <c r="AB44" i="39"/>
  <c r="S43" i="39"/>
  <c r="AC43" i="39"/>
  <c r="U41" i="39"/>
  <c r="AA44" i="39"/>
  <c r="S41" i="39"/>
  <c r="W41" i="39"/>
  <c r="W40" i="39"/>
  <c r="W34" i="39"/>
  <c r="AB33" i="39"/>
  <c r="W33" i="39"/>
  <c r="H31" i="39"/>
  <c r="J31" i="39"/>
  <c r="AC31" i="39" s="1"/>
  <c r="F31" i="39"/>
  <c r="AA31" i="39" s="1"/>
  <c r="W31" i="39"/>
  <c r="S31" i="39"/>
  <c r="J29" i="39"/>
  <c r="H29" i="39"/>
  <c r="U29" i="39" s="1"/>
  <c r="S27" i="39"/>
  <c r="W27" i="39"/>
  <c r="W25" i="39"/>
  <c r="S25" i="39"/>
  <c r="AA23" i="39"/>
  <c r="S23" i="39"/>
  <c r="AC23" i="39"/>
  <c r="U23" i="39"/>
  <c r="AA19" i="39"/>
  <c r="AC19" i="39"/>
  <c r="AB17" i="39"/>
  <c r="H83" i="39"/>
  <c r="I83" i="39" s="1"/>
  <c r="J13" i="39"/>
  <c r="AC13" i="39" s="1"/>
  <c r="S34" i="39"/>
  <c r="U34" i="39"/>
  <c r="D18" i="9"/>
  <c r="M44" i="9" s="1"/>
  <c r="M43" i="9"/>
  <c r="AA43" i="21"/>
  <c r="AA38" i="21"/>
  <c r="H113" i="21"/>
  <c r="F37" i="21"/>
  <c r="J37" i="21"/>
  <c r="H37" i="21"/>
  <c r="AC36" i="21"/>
  <c r="AA36" i="21"/>
  <c r="AB36" i="21"/>
  <c r="S32" i="21"/>
  <c r="S42" i="21"/>
  <c r="U42" i="21"/>
  <c r="AA23" i="21"/>
  <c r="AC23" i="21"/>
  <c r="F81" i="21"/>
  <c r="G81" i="21" s="1"/>
  <c r="H19" i="21"/>
  <c r="AB19" i="21" s="1"/>
  <c r="F19" i="21"/>
  <c r="AA19" i="21" s="1"/>
  <c r="J19" i="21"/>
  <c r="W19" i="21" s="1"/>
  <c r="W17" i="21"/>
  <c r="AA17" i="21"/>
  <c r="U17" i="21"/>
  <c r="W15" i="21"/>
  <c r="AA9" i="21"/>
  <c r="F70" i="72"/>
  <c r="F49" i="72"/>
  <c r="M7" i="72"/>
  <c r="M9" i="1"/>
  <c r="F68" i="72"/>
  <c r="I4" i="6"/>
  <c r="G3" i="46" s="1"/>
  <c r="Y11" i="46" s="1"/>
  <c r="Y13" i="46" s="1"/>
  <c r="H16" i="1"/>
  <c r="BQ5" i="3"/>
  <c r="F28" i="6" s="1"/>
  <c r="BA13" i="3"/>
  <c r="BN5" i="3"/>
  <c r="G29" i="6" s="1"/>
  <c r="A18" i="64"/>
  <c r="B74" i="63" s="1"/>
  <c r="C53" i="10"/>
  <c r="A25" i="64" s="1"/>
  <c r="A18" i="51"/>
  <c r="B14" i="63" s="1"/>
  <c r="K5" i="54"/>
  <c r="B38" i="63" s="1"/>
  <c r="L5" i="54"/>
  <c r="B39" i="63" s="1"/>
  <c r="T41" i="4"/>
  <c r="A17" i="64" s="1"/>
  <c r="A11" i="55"/>
  <c r="B62" i="63" s="1"/>
  <c r="N16" i="4"/>
  <c r="K17" i="4" s="1"/>
  <c r="A22" i="51" s="1"/>
  <c r="B16" i="63" s="1"/>
  <c r="D70" i="39"/>
  <c r="C72" i="39"/>
  <c r="C7" i="21"/>
  <c r="C58" i="21" s="1"/>
  <c r="C7" i="33"/>
  <c r="C58" i="33" s="1"/>
  <c r="C7" i="34"/>
  <c r="C59" i="34" s="1"/>
  <c r="D59" i="34" s="1"/>
  <c r="C9" i="40"/>
  <c r="C65" i="40" s="1"/>
  <c r="C67" i="40" s="1"/>
  <c r="G10" i="1"/>
  <c r="N67" i="9"/>
  <c r="D38" i="4"/>
  <c r="C39" i="4" s="1"/>
  <c r="AA28" i="33"/>
  <c r="S28" i="33"/>
  <c r="AA33" i="39"/>
  <c r="S33" i="39"/>
  <c r="AZ540" i="3"/>
  <c r="AZ510" i="3"/>
  <c r="AZ509" i="3"/>
  <c r="K33" i="9"/>
  <c r="K34" i="9" s="1"/>
  <c r="I14" i="66"/>
  <c r="B8" i="66" s="1"/>
  <c r="W18" i="36"/>
  <c r="O41" i="9"/>
  <c r="R8" i="54" s="1"/>
  <c r="B54" i="63" s="1"/>
  <c r="H14" i="66"/>
  <c r="B7" i="66" s="1"/>
  <c r="O40" i="9"/>
  <c r="AZ538" i="3"/>
  <c r="AZ520" i="3"/>
  <c r="BL5" i="3"/>
  <c r="AC33" i="36"/>
  <c r="W33" i="36"/>
  <c r="AC12" i="37"/>
  <c r="W12" i="37"/>
  <c r="S40" i="37"/>
  <c r="AA40" i="37"/>
  <c r="AZ563" i="3"/>
  <c r="AZ553" i="3"/>
  <c r="AZ552" i="3"/>
  <c r="AZ542" i="3"/>
  <c r="AZ481" i="3"/>
  <c r="U23" i="37"/>
  <c r="H5" i="3"/>
  <c r="AZ392" i="3"/>
  <c r="AZ397" i="3"/>
  <c r="AZ408" i="3"/>
  <c r="AZ413" i="3"/>
  <c r="AZ424" i="3"/>
  <c r="AZ437" i="3"/>
  <c r="AZ451" i="3"/>
  <c r="AZ457" i="3"/>
  <c r="AA20" i="36"/>
  <c r="S14" i="36"/>
  <c r="B64" i="46"/>
  <c r="B59" i="46"/>
  <c r="C19" i="39"/>
  <c r="AC46" i="39"/>
  <c r="AB43" i="39"/>
  <c r="S40" i="40"/>
  <c r="AC27" i="21"/>
  <c r="S27" i="21"/>
  <c r="U27" i="21"/>
  <c r="W25" i="21"/>
  <c r="AB25" i="21"/>
  <c r="S43" i="33"/>
  <c r="S47" i="34"/>
  <c r="AB13" i="34"/>
  <c r="AB29" i="34"/>
  <c r="AB35" i="34"/>
  <c r="S26" i="37"/>
  <c r="W13" i="37"/>
  <c r="AB28" i="37"/>
  <c r="W36" i="37"/>
  <c r="AC15" i="37"/>
  <c r="AC33" i="37"/>
  <c r="S32" i="35"/>
  <c r="W22" i="35"/>
  <c r="W32" i="35"/>
  <c r="AC30" i="35"/>
  <c r="W29" i="36"/>
  <c r="U10" i="36"/>
  <c r="U13" i="36"/>
  <c r="S25" i="36"/>
  <c r="D65" i="40"/>
  <c r="S13" i="21"/>
  <c r="S14" i="37"/>
  <c r="F28" i="15"/>
  <c r="M20" i="15"/>
  <c r="AB38" i="39"/>
  <c r="AC17" i="39"/>
  <c r="S29" i="39"/>
  <c r="AC38" i="39"/>
  <c r="AA21" i="39"/>
  <c r="AA23" i="40"/>
  <c r="S30" i="40"/>
  <c r="U35" i="40"/>
  <c r="U25" i="40"/>
  <c r="AB13" i="40"/>
  <c r="S35" i="40"/>
  <c r="W33" i="40"/>
  <c r="AC19" i="21"/>
  <c r="W13" i="21"/>
  <c r="AC11" i="21"/>
  <c r="AC46" i="21"/>
  <c r="U25" i="33"/>
  <c r="AB26" i="33"/>
  <c r="AB34" i="33"/>
  <c r="W43" i="33"/>
  <c r="S29" i="33"/>
  <c r="U36" i="33"/>
  <c r="W34" i="33"/>
  <c r="U37" i="33"/>
  <c r="AA41" i="34"/>
  <c r="AB41" i="34"/>
  <c r="U27" i="34"/>
  <c r="W29" i="34"/>
  <c r="W44" i="34"/>
  <c r="W37" i="34"/>
  <c r="AA27" i="34"/>
  <c r="AA33" i="34"/>
  <c r="AA30" i="34"/>
  <c r="AA12" i="34"/>
  <c r="S32" i="34"/>
  <c r="W33" i="34"/>
  <c r="AC45" i="34"/>
  <c r="AB25" i="37"/>
  <c r="AA32" i="37"/>
  <c r="AA31" i="37"/>
  <c r="W28" i="37"/>
  <c r="F26" i="35"/>
  <c r="AB14" i="35"/>
  <c r="S23" i="35"/>
  <c r="AA13" i="35"/>
  <c r="S16" i="36"/>
  <c r="U25" i="36"/>
  <c r="F30" i="44"/>
  <c r="C30" i="44" s="1"/>
  <c r="M20" i="44"/>
  <c r="F70" i="9"/>
  <c r="M22" i="44"/>
  <c r="AC16" i="35"/>
  <c r="U11" i="37"/>
  <c r="S32" i="33"/>
  <c r="AB13" i="33"/>
  <c r="AC14" i="34"/>
  <c r="U32" i="34"/>
  <c r="S17" i="39"/>
  <c r="AB46" i="39"/>
  <c r="AA34" i="33"/>
  <c r="W32" i="40"/>
  <c r="W32" i="33"/>
  <c r="U29" i="33"/>
  <c r="AA14" i="34"/>
  <c r="U46" i="34"/>
  <c r="U39" i="39"/>
  <c r="S33" i="40"/>
  <c r="AC14" i="40"/>
  <c r="F71" i="9"/>
  <c r="F66" i="9"/>
  <c r="P72" i="9" s="1"/>
  <c r="J40" i="40"/>
  <c r="H40" i="40"/>
  <c r="S34" i="21"/>
  <c r="S35" i="21"/>
  <c r="F36" i="44"/>
  <c r="BB5" i="3"/>
  <c r="F33" i="36"/>
  <c r="H33" i="36"/>
  <c r="U38" i="21"/>
  <c r="AC34" i="37"/>
  <c r="S14" i="21"/>
  <c r="AC45" i="21"/>
  <c r="U31" i="34"/>
  <c r="U25" i="35"/>
  <c r="G13" i="3"/>
  <c r="U39" i="21"/>
  <c r="S24" i="36"/>
  <c r="S25" i="35"/>
  <c r="AC14" i="37"/>
  <c r="AC10" i="36"/>
  <c r="S42" i="33"/>
  <c r="S37" i="34"/>
  <c r="U43" i="21"/>
  <c r="AB10" i="37"/>
  <c r="F12" i="37"/>
  <c r="H12" i="37"/>
  <c r="S10" i="35"/>
  <c r="AC33" i="21"/>
  <c r="AC37" i="33"/>
  <c r="S27" i="37"/>
  <c r="AC41" i="34"/>
  <c r="S19" i="21"/>
  <c r="U28" i="21"/>
  <c r="S45" i="21"/>
  <c r="AA27" i="33"/>
  <c r="W31" i="34"/>
  <c r="AB14" i="21"/>
  <c r="U46" i="21"/>
  <c r="AB13" i="21"/>
  <c r="AB40" i="37"/>
  <c r="W46" i="33"/>
  <c r="W35" i="35"/>
  <c r="J28" i="33"/>
  <c r="S22" i="35"/>
  <c r="AB30" i="36"/>
  <c r="U9" i="34"/>
  <c r="U29" i="36"/>
  <c r="U9" i="21"/>
  <c r="C23" i="39"/>
  <c r="AB27" i="35"/>
  <c r="W24" i="35"/>
  <c r="S34" i="35"/>
  <c r="J9" i="21"/>
  <c r="BT5" i="3"/>
  <c r="G28" i="6" s="1"/>
  <c r="BI5" i="3"/>
  <c r="BG5" i="3"/>
  <c r="J9" i="33"/>
  <c r="H9" i="33"/>
  <c r="F9" i="33"/>
  <c r="J9" i="36"/>
  <c r="H9" i="36"/>
  <c r="F9" i="36"/>
  <c r="J24" i="36"/>
  <c r="H24" i="36"/>
  <c r="G540" i="3"/>
  <c r="G516" i="3"/>
  <c r="G504" i="3"/>
  <c r="G496" i="3"/>
  <c r="A30" i="51"/>
  <c r="B22" i="63" s="1"/>
  <c r="A30" i="64"/>
  <c r="AZ470" i="3"/>
  <c r="AZ473" i="3"/>
  <c r="AZ318" i="3"/>
  <c r="AZ334" i="3"/>
  <c r="AZ350" i="3"/>
  <c r="AZ206" i="3"/>
  <c r="AZ210" i="3"/>
  <c r="AZ222" i="3"/>
  <c r="AZ226" i="3"/>
  <c r="AZ238" i="3"/>
  <c r="AZ242" i="3"/>
  <c r="AZ254" i="3"/>
  <c r="AZ258" i="3"/>
  <c r="AZ269" i="3"/>
  <c r="AZ272" i="3"/>
  <c r="AZ285" i="3"/>
  <c r="AZ288" i="3"/>
  <c r="I21" i="57"/>
  <c r="D1" i="57" s="1"/>
  <c r="E10" i="57" s="1"/>
  <c r="AZ293" i="3"/>
  <c r="AZ125" i="3"/>
  <c r="AZ141" i="3"/>
  <c r="AZ144" i="3"/>
  <c r="AZ155" i="3"/>
  <c r="AZ168" i="3"/>
  <c r="AZ171" i="3"/>
  <c r="AZ186" i="3"/>
  <c r="AZ194" i="3"/>
  <c r="AZ22" i="3"/>
  <c r="AZ33" i="3"/>
  <c r="AZ38" i="3"/>
  <c r="AZ49" i="3"/>
  <c r="AZ54" i="3"/>
  <c r="AZ64" i="3"/>
  <c r="AZ69" i="3"/>
  <c r="AZ80" i="3"/>
  <c r="AZ89" i="3"/>
  <c r="AZ100" i="3"/>
  <c r="AZ105" i="3"/>
  <c r="C30" i="59"/>
  <c r="D29" i="59"/>
  <c r="C33" i="59"/>
  <c r="D33" i="59" s="1"/>
  <c r="D32" i="59"/>
  <c r="D44" i="59"/>
  <c r="C45" i="59"/>
  <c r="P53" i="59"/>
  <c r="E52" i="59"/>
  <c r="D36" i="59"/>
  <c r="C37" i="59"/>
  <c r="Q52" i="59"/>
  <c r="Q51" i="59"/>
  <c r="Y10" i="59"/>
  <c r="Z10" i="59" s="1"/>
  <c r="AB10" i="59"/>
  <c r="F5" i="59"/>
  <c r="V6" i="59"/>
  <c r="AA8" i="59"/>
  <c r="AB8" i="59"/>
  <c r="Y7" i="59"/>
  <c r="Z7" i="59" s="1"/>
  <c r="AB7" i="59"/>
  <c r="S21" i="21"/>
  <c r="C69" i="59"/>
  <c r="U54" i="59"/>
  <c r="Q53" i="59"/>
  <c r="AB12" i="59"/>
  <c r="AB3" i="59"/>
  <c r="Y3" i="59"/>
  <c r="Z3" i="59" s="1"/>
  <c r="Y14" i="59"/>
  <c r="Z14" i="59"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X21" i="59"/>
  <c r="AA21" i="59"/>
  <c r="X22" i="59"/>
  <c r="AA22" i="59"/>
  <c r="B24" i="59"/>
  <c r="B25" i="59" s="1"/>
  <c r="B26" i="59" s="1"/>
  <c r="S26" i="59" s="1"/>
  <c r="C24" i="59"/>
  <c r="AA23" i="59"/>
  <c r="Y24" i="59"/>
  <c r="Z24" i="59" s="1"/>
  <c r="B53" i="59"/>
  <c r="S14" i="59"/>
  <c r="B13" i="59"/>
  <c r="B12" i="59" s="1"/>
  <c r="U14" i="59"/>
  <c r="E13" i="59"/>
  <c r="E12" i="59" s="1"/>
  <c r="B21" i="63"/>
  <c r="E5" i="59"/>
  <c r="U6" i="59"/>
  <c r="X9" i="59"/>
  <c r="Y8" i="59"/>
  <c r="Z8" i="59" s="1"/>
  <c r="AB9" i="59"/>
  <c r="X7" i="59"/>
  <c r="AA7" i="59"/>
  <c r="AB5" i="59"/>
  <c r="A28" i="64"/>
  <c r="C10" i="59"/>
  <c r="V10" i="59"/>
  <c r="K76" i="9"/>
  <c r="K77" i="9" s="1"/>
  <c r="K79" i="9" s="1"/>
  <c r="K81" i="9" s="1"/>
  <c r="C14" i="59"/>
  <c r="AA10" i="59"/>
  <c r="X10" i="59"/>
  <c r="Y9" i="59"/>
  <c r="Z9" i="59" s="1"/>
  <c r="AA9" i="59"/>
  <c r="X8" i="59"/>
  <c r="X6" i="59"/>
  <c r="AA6" i="59"/>
  <c r="AA5" i="59"/>
  <c r="F14" i="59"/>
  <c r="Y6" i="59"/>
  <c r="Z6" i="59" s="1"/>
  <c r="AB6" i="59"/>
  <c r="X5" i="59"/>
  <c r="Y5" i="59"/>
  <c r="Z5" i="59" s="1"/>
  <c r="E14" i="52"/>
  <c r="C25" i="12"/>
  <c r="C15" i="43"/>
  <c r="C27" i="43"/>
  <c r="C31" i="43"/>
  <c r="C28" i="15"/>
  <c r="C15" i="12"/>
  <c r="H1" i="65"/>
  <c r="Q16" i="1"/>
  <c r="F33" i="12" s="1"/>
  <c r="H51" i="46"/>
  <c r="X7" i="46"/>
  <c r="E17" i="46"/>
  <c r="N17" i="46"/>
  <c r="O17" i="46"/>
  <c r="M17" i="46"/>
  <c r="L17" i="46"/>
  <c r="H22" i="46"/>
  <c r="J22" i="46"/>
  <c r="D101" i="46"/>
  <c r="D106" i="46" s="1"/>
  <c r="O7" i="1"/>
  <c r="P7" i="1" s="1"/>
  <c r="O11" i="1"/>
  <c r="P11" i="1" s="1"/>
  <c r="O13" i="1"/>
  <c r="P13" i="1" s="1"/>
  <c r="O9" i="1"/>
  <c r="P9" i="1" s="1"/>
  <c r="E15" i="6"/>
  <c r="E12" i="6"/>
  <c r="E11" i="6"/>
  <c r="O12" i="1"/>
  <c r="P12" i="1" s="1"/>
  <c r="AP7" i="1"/>
  <c r="AP16" i="1" s="1"/>
  <c r="F22" i="11" s="1"/>
  <c r="G13" i="1"/>
  <c r="E52" i="37"/>
  <c r="D46" i="36"/>
  <c r="E48" i="35"/>
  <c r="G6" i="1"/>
  <c r="G16" i="1" s="1"/>
  <c r="H70" i="46"/>
  <c r="H73" i="46"/>
  <c r="H50" i="46"/>
  <c r="H48" i="46"/>
  <c r="F35" i="46"/>
  <c r="I17" i="46"/>
  <c r="G17" i="46" s="1"/>
  <c r="C16" i="46" s="1"/>
  <c r="H63" i="46"/>
  <c r="I101" i="46"/>
  <c r="I102" i="46" s="1"/>
  <c r="M101" i="46"/>
  <c r="M107" i="46" s="1"/>
  <c r="N101" i="46"/>
  <c r="N105" i="46" s="1"/>
  <c r="AC11" i="46"/>
  <c r="AC13" i="46" s="1"/>
  <c r="AD11" i="46"/>
  <c r="AJ11" i="46"/>
  <c r="H64" i="46"/>
  <c r="H66" i="46"/>
  <c r="D100" i="46"/>
  <c r="H62" i="46"/>
  <c r="AF12" i="46"/>
  <c r="K100" i="46"/>
  <c r="AB12" i="46"/>
  <c r="AJ12"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B6" i="52"/>
  <c r="E7" i="52"/>
  <c r="E6" i="52"/>
  <c r="C4" i="4" s="1"/>
  <c r="B20" i="55" s="1"/>
  <c r="B70" i="63" s="1"/>
  <c r="E4" i="52"/>
  <c r="B7" i="52"/>
  <c r="E5" i="52"/>
  <c r="P21" i="46"/>
  <c r="B7" i="59"/>
  <c r="B6" i="59" s="1"/>
  <c r="S6" i="59" s="1"/>
  <c r="P22" i="46"/>
  <c r="P23" i="46"/>
  <c r="P25" i="46"/>
  <c r="B73" i="39" s="1"/>
  <c r="P24" i="46"/>
  <c r="B68" i="40" s="1"/>
  <c r="E22" i="52"/>
  <c r="E4" i="4" s="1"/>
  <c r="B21" i="55" s="1"/>
  <c r="B72" i="63" s="1"/>
  <c r="B22" i="52"/>
  <c r="B10" i="52"/>
  <c r="B11" i="52"/>
  <c r="B4" i="52"/>
  <c r="E9" i="52"/>
  <c r="F67" i="15"/>
  <c r="C4" i="65"/>
  <c r="B39" i="1" s="1"/>
  <c r="Q72" i="15"/>
  <c r="F64" i="15"/>
  <c r="C27" i="15"/>
  <c r="F50" i="15"/>
  <c r="L59" i="15"/>
  <c r="C29" i="44"/>
  <c r="F70" i="15"/>
  <c r="M9" i="44"/>
  <c r="E17" i="52"/>
  <c r="E11" i="52"/>
  <c r="E15" i="52"/>
  <c r="E13" i="52"/>
  <c r="B14" i="52"/>
  <c r="E8" i="52"/>
  <c r="E16" i="52"/>
  <c r="B5" i="52"/>
  <c r="B9" i="52"/>
  <c r="B16" i="52"/>
  <c r="B8" i="52"/>
  <c r="B13" i="52"/>
  <c r="E10" i="52"/>
  <c r="E21" i="52"/>
  <c r="M17" i="15"/>
  <c r="F58" i="15"/>
  <c r="F31" i="15"/>
  <c r="F33" i="44"/>
  <c r="M9" i="72"/>
  <c r="M6" i="15"/>
  <c r="M22" i="72"/>
  <c r="F8" i="72"/>
  <c r="J36" i="72"/>
  <c r="F6" i="15"/>
  <c r="L47" i="72"/>
  <c r="F13" i="72"/>
  <c r="I5" i="65"/>
  <c r="M23" i="72"/>
  <c r="F43" i="44"/>
  <c r="M28" i="44"/>
  <c r="F38" i="44"/>
  <c r="M24" i="72"/>
  <c r="J6" i="65"/>
  <c r="F9" i="72"/>
  <c r="M26" i="44"/>
  <c r="J15" i="72"/>
  <c r="M31" i="44"/>
  <c r="M29" i="15"/>
  <c r="J7" i="65"/>
  <c r="I6" i="65"/>
  <c r="M8" i="15"/>
  <c r="F8" i="44"/>
  <c r="L48" i="15"/>
  <c r="L49" i="44"/>
  <c r="M26" i="72"/>
  <c r="M28" i="72"/>
  <c r="F38" i="72"/>
  <c r="F37" i="72"/>
  <c r="F16" i="72"/>
  <c r="M10" i="44"/>
  <c r="F36" i="72"/>
  <c r="F37" i="44"/>
  <c r="I7" i="65"/>
  <c r="L48" i="44"/>
  <c r="J4" i="65"/>
  <c r="I4" i="65"/>
  <c r="F6" i="72"/>
  <c r="C16" i="15"/>
  <c r="M6" i="72"/>
  <c r="F13" i="15"/>
  <c r="F38" i="15"/>
  <c r="F36" i="15"/>
  <c r="F9" i="15"/>
  <c r="F7" i="15"/>
  <c r="M23" i="44"/>
  <c r="M24" i="15"/>
  <c r="J5" i="65"/>
  <c r="I3" i="65"/>
  <c r="F26" i="72"/>
  <c r="F42" i="72"/>
  <c r="F40" i="72"/>
  <c r="M8" i="72"/>
  <c r="M8" i="44"/>
  <c r="L48" i="72"/>
  <c r="C18" i="44"/>
  <c r="M24" i="44"/>
  <c r="F15" i="44"/>
  <c r="J3" i="65"/>
  <c r="M11" i="44"/>
  <c r="C27" i="72" l="1"/>
  <c r="F67" i="72"/>
  <c r="J53" i="72"/>
  <c r="I54" i="72"/>
  <c r="L56" i="72"/>
  <c r="J57" i="72"/>
  <c r="J55" i="72" s="1"/>
  <c r="J58" i="72" s="1"/>
  <c r="Q51" i="72" s="1"/>
  <c r="F64" i="72"/>
  <c r="F63" i="72"/>
  <c r="Q72" i="72"/>
  <c r="L59" i="72"/>
  <c r="L58" i="72"/>
  <c r="F65" i="15"/>
  <c r="I54" i="15"/>
  <c r="J53" i="15"/>
  <c r="F1" i="15" s="1"/>
  <c r="L58" i="15"/>
  <c r="Q61" i="15" s="1"/>
  <c r="J57" i="15"/>
  <c r="J55" i="15" s="1"/>
  <c r="J58" i="15" s="1"/>
  <c r="Q51" i="15" s="1"/>
  <c r="L56" i="15"/>
  <c r="C6" i="72"/>
  <c r="F65" i="72"/>
  <c r="F50" i="72"/>
  <c r="C48" i="72" s="1"/>
  <c r="C6" i="15"/>
  <c r="F49" i="15"/>
  <c r="C48" i="15" s="1"/>
  <c r="M7" i="15"/>
  <c r="J6" i="15" s="1"/>
  <c r="F63" i="15"/>
  <c r="D73" i="59"/>
  <c r="C72" i="59"/>
  <c r="D72" i="59" s="1"/>
  <c r="AB26" i="37"/>
  <c r="U26" i="37"/>
  <c r="W35" i="21"/>
  <c r="AC35" i="21"/>
  <c r="E29" i="6"/>
  <c r="J6" i="72"/>
  <c r="D61" i="59"/>
  <c r="C60" i="59"/>
  <c r="D60" i="59" s="1"/>
  <c r="O53" i="59"/>
  <c r="C52" i="59"/>
  <c r="D53" i="59"/>
  <c r="C50" i="59"/>
  <c r="D49" i="59"/>
  <c r="C42" i="59"/>
  <c r="D41" i="59"/>
  <c r="C22" i="59"/>
  <c r="D21" i="59"/>
  <c r="AA25" i="37"/>
  <c r="S25" i="37"/>
  <c r="U31" i="39"/>
  <c r="AB31" i="39"/>
  <c r="AB29" i="39"/>
  <c r="AC29" i="39"/>
  <c r="W29" i="39"/>
  <c r="W13" i="39"/>
  <c r="J83" i="39"/>
  <c r="K83" i="39" s="1"/>
  <c r="L83" i="39" s="1"/>
  <c r="M83" i="39" s="1"/>
  <c r="H13" i="39"/>
  <c r="F13" i="39"/>
  <c r="U37" i="21"/>
  <c r="AB37" i="21"/>
  <c r="S37" i="21"/>
  <c r="AA37" i="21"/>
  <c r="W37" i="21"/>
  <c r="AC37" i="21"/>
  <c r="U19" i="21"/>
  <c r="F101" i="46"/>
  <c r="F106" i="46" s="1"/>
  <c r="H101" i="46"/>
  <c r="H102" i="46" s="1"/>
  <c r="F103" i="46"/>
  <c r="G22" i="46"/>
  <c r="M19" i="44"/>
  <c r="F11" i="72"/>
  <c r="M11" i="72"/>
  <c r="J10" i="72" s="1"/>
  <c r="J5" i="72" s="1"/>
  <c r="AH13" i="46"/>
  <c r="I106" i="46"/>
  <c r="H103" i="46"/>
  <c r="E14" i="6"/>
  <c r="F109" i="46"/>
  <c r="E8" i="6"/>
  <c r="E5" i="6"/>
  <c r="E10" i="6"/>
  <c r="E13" i="6"/>
  <c r="E65" i="39" s="1"/>
  <c r="AZ13" i="3"/>
  <c r="BA5" i="3"/>
  <c r="AZ5" i="3"/>
  <c r="E3" i="6" s="1"/>
  <c r="M109" i="46"/>
  <c r="M103" i="46"/>
  <c r="A17" i="51"/>
  <c r="B13" i="63" s="1"/>
  <c r="A25" i="51"/>
  <c r="B18" i="63" s="1"/>
  <c r="A3" i="55"/>
  <c r="B56" i="63" s="1"/>
  <c r="D58" i="33"/>
  <c r="D58" i="21"/>
  <c r="E58" i="21" s="1"/>
  <c r="F58" i="21" s="1"/>
  <c r="G58" i="21" s="1"/>
  <c r="H58" i="21" s="1"/>
  <c r="I58" i="21" s="1"/>
  <c r="J58" i="21" s="1"/>
  <c r="K58" i="21" s="1"/>
  <c r="L58" i="21" s="1"/>
  <c r="M58" i="21" s="1"/>
  <c r="N58" i="21" s="1"/>
  <c r="O58" i="21" s="1"/>
  <c r="H7" i="21"/>
  <c r="J7" i="21"/>
  <c r="E70" i="39"/>
  <c r="D72" i="39"/>
  <c r="C8" i="44"/>
  <c r="Q73" i="44"/>
  <c r="J54" i="44"/>
  <c r="F1" i="44" s="1"/>
  <c r="J58" i="44"/>
  <c r="J56" i="44" s="1"/>
  <c r="J59" i="44" s="1"/>
  <c r="Q52" i="44" s="1"/>
  <c r="J61" i="44"/>
  <c r="Q50" i="44" s="1"/>
  <c r="J60" i="44"/>
  <c r="I55" i="44"/>
  <c r="L57" i="44"/>
  <c r="C36" i="44"/>
  <c r="L60" i="44"/>
  <c r="Q76" i="44" s="1"/>
  <c r="L59" i="44"/>
  <c r="Q62" i="44" s="1"/>
  <c r="J22" i="44"/>
  <c r="G30" i="6"/>
  <c r="G31" i="6" s="1"/>
  <c r="E28" i="6"/>
  <c r="J8" i="44"/>
  <c r="F105" i="46"/>
  <c r="F104" i="46"/>
  <c r="F107" i="46"/>
  <c r="C34" i="12"/>
  <c r="D33" i="12" s="1"/>
  <c r="F13" i="59"/>
  <c r="F12" i="59" s="1"/>
  <c r="V14" i="59"/>
  <c r="C9" i="59"/>
  <c r="T10" i="59"/>
  <c r="D10" i="59"/>
  <c r="C25" i="59"/>
  <c r="D24" i="59"/>
  <c r="C17" i="59"/>
  <c r="D16" i="59"/>
  <c r="D69" i="59"/>
  <c r="C68" i="59"/>
  <c r="D68" i="59" s="1"/>
  <c r="T30" i="59"/>
  <c r="D30" i="59"/>
  <c r="U24" i="36"/>
  <c r="AB24" i="36"/>
  <c r="AA9" i="36"/>
  <c r="S9" i="36"/>
  <c r="AC9" i="36"/>
  <c r="W9" i="36"/>
  <c r="AB9" i="33"/>
  <c r="U9" i="33"/>
  <c r="AB12" i="37"/>
  <c r="U12" i="37"/>
  <c r="AB33" i="36"/>
  <c r="U33" i="36"/>
  <c r="U40" i="40"/>
  <c r="AB40" i="40"/>
  <c r="S26" i="35"/>
  <c r="AA26" i="35"/>
  <c r="E65" i="40"/>
  <c r="D67" i="40"/>
  <c r="R7" i="54"/>
  <c r="B52" i="63" s="1"/>
  <c r="K31" i="9"/>
  <c r="K32" i="9" s="1"/>
  <c r="D14" i="59"/>
  <c r="T14" i="59"/>
  <c r="C13" i="59"/>
  <c r="N53" i="59"/>
  <c r="B52" i="59"/>
  <c r="C38" i="59"/>
  <c r="D37" i="59"/>
  <c r="P51" i="59"/>
  <c r="P52" i="59"/>
  <c r="D45" i="59"/>
  <c r="C46" i="59"/>
  <c r="W24" i="36"/>
  <c r="AC24" i="36"/>
  <c r="AB9" i="36"/>
  <c r="U9" i="36"/>
  <c r="S9" i="33"/>
  <c r="AA9" i="33"/>
  <c r="W9" i="33"/>
  <c r="AC9" i="33"/>
  <c r="W9" i="21"/>
  <c r="AC9" i="21"/>
  <c r="W28" i="33"/>
  <c r="AC28" i="33"/>
  <c r="S12" i="37"/>
  <c r="AA12" i="37"/>
  <c r="G5" i="3"/>
  <c r="B3" i="3" s="1"/>
  <c r="S33" i="36"/>
  <c r="AA33" i="36"/>
  <c r="W40" i="40"/>
  <c r="AC40" i="40"/>
  <c r="B5" i="59"/>
  <c r="D107" i="46"/>
  <c r="M106" i="46"/>
  <c r="M104" i="46"/>
  <c r="J1" i="65"/>
  <c r="I1" i="65"/>
  <c r="E20" i="46"/>
  <c r="P28" i="46" s="1"/>
  <c r="M102" i="46"/>
  <c r="M105" i="46"/>
  <c r="C5" i="46"/>
  <c r="H105" i="46"/>
  <c r="D103" i="46"/>
  <c r="D102" i="46"/>
  <c r="H104" i="46"/>
  <c r="F18" i="11"/>
  <c r="C18" i="11" s="1"/>
  <c r="F24" i="43"/>
  <c r="C26" i="43" s="1"/>
  <c r="D24" i="43" s="1"/>
  <c r="D22" i="46"/>
  <c r="D5" i="46"/>
  <c r="D105" i="46"/>
  <c r="D109" i="46"/>
  <c r="D104" i="46"/>
  <c r="AJ13" i="46"/>
  <c r="I109" i="46"/>
  <c r="E60" i="40"/>
  <c r="E61" i="40"/>
  <c r="E66" i="39"/>
  <c r="E63" i="39"/>
  <c r="E58" i="40"/>
  <c r="E64" i="39"/>
  <c r="E59" i="40"/>
  <c r="E67" i="39"/>
  <c r="E62" i="40"/>
  <c r="K14" i="1"/>
  <c r="E30" i="6"/>
  <c r="F48" i="35"/>
  <c r="E46" i="36"/>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4" i="15"/>
  <c r="F13" i="44"/>
  <c r="C12" i="44" s="1"/>
  <c r="M11" i="15"/>
  <c r="J10" i="15" s="1"/>
  <c r="J5" i="15" s="1"/>
  <c r="F11" i="15"/>
  <c r="M13" i="44"/>
  <c r="J12" i="44" s="1"/>
  <c r="Q75" i="15"/>
  <c r="Q62" i="15"/>
  <c r="AE7" i="1"/>
  <c r="C16" i="72"/>
  <c r="E2" i="65"/>
  <c r="E3" i="65"/>
  <c r="Q53" i="15" l="1"/>
  <c r="T22" i="59"/>
  <c r="D22" i="59"/>
  <c r="T42" i="59"/>
  <c r="D42" i="59"/>
  <c r="T50" i="59"/>
  <c r="D50" i="59"/>
  <c r="O52" i="59"/>
  <c r="D52" i="59"/>
  <c r="O51" i="59"/>
  <c r="Q75" i="72"/>
  <c r="Q62" i="72"/>
  <c r="F7" i="21"/>
  <c r="S7" i="21" s="1"/>
  <c r="F102" i="46"/>
  <c r="K15" i="1"/>
  <c r="L19" i="6"/>
  <c r="L27" i="6" s="1"/>
  <c r="Q61" i="72"/>
  <c r="Q74" i="72"/>
  <c r="Q53" i="72"/>
  <c r="F1" i="72"/>
  <c r="S13" i="39"/>
  <c r="AA13" i="39"/>
  <c r="AB13" i="39"/>
  <c r="U13" i="39"/>
  <c r="H106" i="46"/>
  <c r="H109" i="46"/>
  <c r="H107" i="46"/>
  <c r="J26" i="72"/>
  <c r="J29" i="72" s="1"/>
  <c r="J24" i="72"/>
  <c r="J18" i="72"/>
  <c r="C10" i="72"/>
  <c r="C5" i="72" s="1"/>
  <c r="C52" i="72"/>
  <c r="C47" i="72" s="1"/>
  <c r="Q54" i="44"/>
  <c r="E16" i="6"/>
  <c r="O28" i="46"/>
  <c r="G20" i="46" s="1"/>
  <c r="D21" i="12"/>
  <c r="C21" i="12" s="1"/>
  <c r="D12" i="11"/>
  <c r="C12" i="11" s="1"/>
  <c r="E53" i="40"/>
  <c r="E58" i="39"/>
  <c r="F27" i="6"/>
  <c r="F31" i="6" s="1"/>
  <c r="Q75" i="44"/>
  <c r="C7" i="44"/>
  <c r="C34" i="44" s="1"/>
  <c r="AC7" i="21"/>
  <c r="V48" i="21" s="1"/>
  <c r="I48" i="21" s="1"/>
  <c r="W7" i="21"/>
  <c r="AA7" i="21"/>
  <c r="R48" i="21" s="1"/>
  <c r="F70" i="39"/>
  <c r="E72" i="39"/>
  <c r="AB7" i="21"/>
  <c r="T48" i="21" s="1"/>
  <c r="G48" i="21" s="1"/>
  <c r="U7" i="21"/>
  <c r="E58" i="33"/>
  <c r="J7" i="44"/>
  <c r="J28" i="44" s="1"/>
  <c r="J31" i="44" s="1"/>
  <c r="Q63" i="44"/>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89" i="3"/>
  <c r="E428"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E357" i="3"/>
  <c r="E178" i="3"/>
  <c r="E141" i="3"/>
  <c r="E119" i="3"/>
  <c r="E179" i="3"/>
  <c r="E168" i="3"/>
  <c r="E48" i="3"/>
  <c r="E34" i="3"/>
  <c r="E97" i="3"/>
  <c r="E444" i="3"/>
  <c r="E438" i="3"/>
  <c r="E407" i="3"/>
  <c r="AE6" i="3"/>
  <c r="E383" i="3"/>
  <c r="E455" i="3"/>
  <c r="E550" i="3"/>
  <c r="E289" i="3"/>
  <c r="E247" i="3"/>
  <c r="E363" i="3"/>
  <c r="E113" i="3"/>
  <c r="E79" i="3"/>
  <c r="E85" i="3"/>
  <c r="E425" i="3"/>
  <c r="E401" i="3"/>
  <c r="E257" i="3"/>
  <c r="E245" i="3"/>
  <c r="E272" i="3"/>
  <c r="E139" i="3"/>
  <c r="E166" i="3"/>
  <c r="E52" i="3"/>
  <c r="E102" i="3"/>
  <c r="E445" i="3"/>
  <c r="E451" i="3"/>
  <c r="E25" i="3"/>
  <c r="E556" i="3"/>
  <c r="E204" i="3"/>
  <c r="E258" i="3"/>
  <c r="E291" i="3"/>
  <c r="E207" i="3"/>
  <c r="E305" i="3"/>
  <c r="E479" i="3"/>
  <c r="E449" i="3"/>
  <c r="E73" i="3"/>
  <c r="E43" i="3"/>
  <c r="E365" i="3"/>
  <c r="E196" i="3"/>
  <c r="E126" i="3"/>
  <c r="E276" i="3"/>
  <c r="E248" i="3"/>
  <c r="E259" i="3"/>
  <c r="E211" i="3"/>
  <c r="E370" i="3"/>
  <c r="E336" i="3"/>
  <c r="AR6" i="3"/>
  <c r="E416" i="3"/>
  <c r="E466" i="3"/>
  <c r="E477" i="3"/>
  <c r="E65" i="3"/>
  <c r="E96" i="3"/>
  <c r="E51" i="3"/>
  <c r="E513" i="3"/>
  <c r="E160" i="3"/>
  <c r="E198" i="3"/>
  <c r="E134" i="3"/>
  <c r="E345" i="3"/>
  <c r="E242" i="3"/>
  <c r="E281" i="3"/>
  <c r="AI6" i="3"/>
  <c r="E72" i="3"/>
  <c r="E133" i="3"/>
  <c r="E290" i="3"/>
  <c r="E239" i="3"/>
  <c r="E440" i="3"/>
  <c r="E87" i="3"/>
  <c r="E234" i="3"/>
  <c r="E331" i="3"/>
  <c r="E458" i="3"/>
  <c r="E40" i="3"/>
  <c r="E362" i="3"/>
  <c r="E29" i="3"/>
  <c r="E559" i="3"/>
  <c r="E176" i="3"/>
  <c r="E150" i="3"/>
  <c r="E256" i="3"/>
  <c r="E228" i="3"/>
  <c r="E314" i="3"/>
  <c r="E324" i="3"/>
  <c r="E525" i="3"/>
  <c r="E502" i="3"/>
  <c r="E319" i="3"/>
  <c r="E334" i="3"/>
  <c r="K6" i="3"/>
  <c r="E456" i="3"/>
  <c r="E325" i="3"/>
  <c r="E353" i="3"/>
  <c r="E286" i="3"/>
  <c r="E396" i="3"/>
  <c r="E50" i="3"/>
  <c r="E183" i="3"/>
  <c r="E216" i="3"/>
  <c r="E236" i="3"/>
  <c r="E320" i="3"/>
  <c r="E392" i="3"/>
  <c r="E474" i="3"/>
  <c r="E45" i="3"/>
  <c r="E373" i="3"/>
  <c r="E284" i="3"/>
  <c r="E251" i="3"/>
  <c r="E354" i="3"/>
  <c r="E42" i="3"/>
  <c r="E56" i="3"/>
  <c r="T6" i="3"/>
  <c r="E531" i="3"/>
  <c r="E181" i="3"/>
  <c r="E122" i="3"/>
  <c r="E144" i="3"/>
  <c r="E495" i="3"/>
  <c r="E269" i="3"/>
  <c r="E208" i="3"/>
  <c r="E219" i="3"/>
  <c r="E338" i="3"/>
  <c r="E485" i="3"/>
  <c r="E335" i="3"/>
  <c r="E330" i="3"/>
  <c r="E340" i="3"/>
  <c r="E566" i="3"/>
  <c r="E350" i="3"/>
  <c r="E515" i="3"/>
  <c r="E521" i="3"/>
  <c r="E130" i="3"/>
  <c r="E273" i="3"/>
  <c r="E352" i="3"/>
  <c r="E461" i="3"/>
  <c r="E563" i="3"/>
  <c r="E138" i="3"/>
  <c r="E254" i="3"/>
  <c r="E112" i="3"/>
  <c r="E341" i="3"/>
  <c r="E268" i="3"/>
  <c r="E252" i="3"/>
  <c r="E316" i="3"/>
  <c r="E346" i="3"/>
  <c r="E318" i="3"/>
  <c r="E565" i="3"/>
  <c r="E380" i="3"/>
  <c r="E557" i="3"/>
  <c r="E503" i="3"/>
  <c r="E561" i="3"/>
  <c r="E283" i="3"/>
  <c r="E535" i="3"/>
  <c r="E443" i="3"/>
  <c r="E265" i="3"/>
  <c r="E381" i="3"/>
  <c r="E49" i="3"/>
  <c r="AM6" i="3"/>
  <c r="E78" i="3"/>
  <c r="E337" i="3"/>
  <c r="E390" i="3"/>
  <c r="E158" i="3"/>
  <c r="E296" i="3"/>
  <c r="E472" i="3"/>
  <c r="E187" i="3"/>
  <c r="E253" i="3"/>
  <c r="E225" i="3"/>
  <c r="E537" i="3"/>
  <c r="E199" i="3"/>
  <c r="E125" i="3"/>
  <c r="E64" i="3"/>
  <c r="AH6" i="3"/>
  <c r="E140" i="3"/>
  <c r="P6" i="3"/>
  <c r="E343" i="3"/>
  <c r="E490" i="3"/>
  <c r="E142" i="3"/>
  <c r="AP6" i="3"/>
  <c r="E23" i="3"/>
  <c r="E156" i="3"/>
  <c r="E194" i="3"/>
  <c r="E427" i="3"/>
  <c r="E193" i="3"/>
  <c r="E278" i="3"/>
  <c r="E104" i="3"/>
  <c r="E94" i="3"/>
  <c r="E534" i="3"/>
  <c r="E376" i="3"/>
  <c r="E387" i="3"/>
  <c r="E294" i="3"/>
  <c r="R6" i="3"/>
  <c r="E21" i="3"/>
  <c r="E54" i="3"/>
  <c r="E423" i="3"/>
  <c r="E452" i="3"/>
  <c r="E435" i="3"/>
  <c r="E213" i="3"/>
  <c r="E84"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53" i="3"/>
  <c r="E61" i="3"/>
  <c r="E120" i="3"/>
  <c r="E191" i="3"/>
  <c r="E555" i="3"/>
  <c r="E355" i="3"/>
  <c r="E499" i="3"/>
  <c r="E558" i="3"/>
  <c r="E403" i="3"/>
  <c r="E217" i="3"/>
  <c r="E177" i="3"/>
  <c r="E307" i="3"/>
  <c r="E90" i="3"/>
  <c r="E153" i="3"/>
  <c r="E339" i="3"/>
  <c r="E14" i="3"/>
  <c r="E118" i="3"/>
  <c r="E378" i="3"/>
  <c r="E364" i="3"/>
  <c r="E342" i="3"/>
  <c r="E368" i="3"/>
  <c r="E510" i="3"/>
  <c r="E406" i="3"/>
  <c r="E488" i="3"/>
  <c r="E71" i="3"/>
  <c r="E240" i="3"/>
  <c r="E382" i="3"/>
  <c r="E326" i="3"/>
  <c r="E35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58" i="3"/>
  <c r="AQ6" i="3"/>
  <c r="E197" i="3"/>
  <c r="E162" i="3"/>
  <c r="E285" i="3"/>
  <c r="E235" i="3"/>
  <c r="E229" i="3"/>
  <c r="E433" i="3"/>
  <c r="E529" i="3"/>
  <c r="E300" i="3"/>
  <c r="E379" i="3"/>
  <c r="E530" i="3"/>
  <c r="E538" i="3"/>
  <c r="E173" i="3"/>
  <c r="E436" i="3"/>
  <c r="E260" i="3"/>
  <c r="E432" i="3"/>
  <c r="E210" i="3"/>
  <c r="E106" i="3"/>
  <c r="E169" i="3"/>
  <c r="E226" i="3"/>
  <c r="E163" i="3"/>
  <c r="E351" i="3"/>
  <c r="AL6" i="3"/>
  <c r="E522" i="3"/>
  <c r="E572" i="3"/>
  <c r="E227" i="3"/>
  <c r="E244" i="3"/>
  <c r="E137" i="3"/>
  <c r="E301" i="3"/>
  <c r="E484" i="3"/>
  <c r="E481" i="3"/>
  <c r="E494" i="3"/>
  <c r="E366" i="3"/>
  <c r="E332" i="3"/>
  <c r="E175" i="3"/>
  <c r="E167" i="3"/>
  <c r="E297" i="3"/>
  <c r="E506" i="3"/>
  <c r="Y6" i="3"/>
  <c r="Q6" i="3"/>
  <c r="AS6" i="3"/>
  <c r="AF6" i="3"/>
  <c r="E569" i="3"/>
  <c r="E527" i="3"/>
  <c r="E518" i="3"/>
  <c r="E136" i="3"/>
  <c r="E344" i="3"/>
  <c r="E304" i="3"/>
  <c r="E526" i="3"/>
  <c r="E546" i="3"/>
  <c r="E562" i="3"/>
  <c r="E539" i="3"/>
  <c r="E568" i="3"/>
  <c r="E497" i="3"/>
  <c r="E15"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23" i="3"/>
  <c r="E360" i="3"/>
  <c r="E308" i="3"/>
  <c r="E171" i="3"/>
  <c r="E155" i="3"/>
  <c r="E483" i="3"/>
  <c r="E542" i="3"/>
  <c r="U6" i="3"/>
  <c r="O6" i="3"/>
  <c r="AJ6" i="3"/>
  <c r="E541" i="3"/>
  <c r="E532" i="3"/>
  <c r="E519" i="3"/>
  <c r="E500" i="3"/>
  <c r="E491" i="3"/>
  <c r="E128" i="3"/>
  <c r="E328" i="3"/>
  <c r="E544" i="3"/>
  <c r="E554" i="3"/>
  <c r="E549" i="3"/>
  <c r="E571" i="3"/>
  <c r="J6" i="3"/>
  <c r="E553" i="3"/>
  <c r="E489"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04" i="3"/>
  <c r="T38" i="59"/>
  <c r="D38" i="59"/>
  <c r="E516" i="3"/>
  <c r="C8" i="59"/>
  <c r="D9" i="59"/>
  <c r="AY6" i="3"/>
  <c r="E13" i="3"/>
  <c r="E540" i="3"/>
  <c r="T46" i="59"/>
  <c r="D46" i="59"/>
  <c r="N51" i="59"/>
  <c r="N52" i="59"/>
  <c r="D13" i="59"/>
  <c r="C12" i="59"/>
  <c r="D12" i="59" s="1"/>
  <c r="F65" i="40"/>
  <c r="E67" i="40"/>
  <c r="E496" i="3"/>
  <c r="C18" i="59"/>
  <c r="D17" i="59"/>
  <c r="C26" i="59"/>
  <c r="D25" i="59"/>
  <c r="D16" i="43"/>
  <c r="C16" i="43" s="1"/>
  <c r="E6" i="6"/>
  <c r="D16" i="12"/>
  <c r="D45" i="9"/>
  <c r="L38" i="9"/>
  <c r="B14" i="66" s="1"/>
  <c r="B1" i="66" s="1"/>
  <c r="D46" i="9"/>
  <c r="D10" i="11"/>
  <c r="C21" i="4"/>
  <c r="O5" i="54" s="1"/>
  <c r="B45" i="63" s="1"/>
  <c r="M28" i="46"/>
  <c r="N28" i="46"/>
  <c r="B40" i="1"/>
  <c r="F21" i="43" s="1"/>
  <c r="C23" i="43" s="1"/>
  <c r="D21" i="43" s="1"/>
  <c r="F17" i="11"/>
  <c r="C17" i="11" s="1"/>
  <c r="C19" i="11" s="1"/>
  <c r="C20" i="11" s="1"/>
  <c r="C21" i="11" s="1"/>
  <c r="C22" i="11" s="1"/>
  <c r="C23" i="11" s="1"/>
  <c r="B2" i="11" s="1"/>
  <c r="E41" i="46"/>
  <c r="C41" i="46" s="1"/>
  <c r="C20" i="46"/>
  <c r="S5" i="46"/>
  <c r="S2" i="46"/>
  <c r="S3" i="46"/>
  <c r="S7" i="46"/>
  <c r="S6" i="46"/>
  <c r="S4" i="46"/>
  <c r="K16" i="1"/>
  <c r="M14" i="1"/>
  <c r="G52" i="37"/>
  <c r="H7" i="34"/>
  <c r="J7" i="34"/>
  <c r="AA12" i="40"/>
  <c r="S12" i="40"/>
  <c r="S12" i="39"/>
  <c r="AA12" i="39"/>
  <c r="W12" i="40"/>
  <c r="AC12" i="40"/>
  <c r="G48" i="35"/>
  <c r="AC12" i="39"/>
  <c r="W12" i="39"/>
  <c r="AB12" i="40"/>
  <c r="U12" i="40"/>
  <c r="U12" i="39"/>
  <c r="AB12" i="39"/>
  <c r="F46" i="36"/>
  <c r="G46" i="36" s="1"/>
  <c r="H46" i="36" s="1"/>
  <c r="I46" i="36" s="1"/>
  <c r="J46" i="36" s="1"/>
  <c r="K46" i="36" s="1"/>
  <c r="L46" i="36" s="1"/>
  <c r="M46" i="36" s="1"/>
  <c r="N46" i="36" s="1"/>
  <c r="O46" i="36" s="1"/>
  <c r="F7" i="34"/>
  <c r="C115" i="46"/>
  <c r="D113" i="46" s="1"/>
  <c r="C52" i="15"/>
  <c r="C47" i="15" s="1"/>
  <c r="C10" i="15"/>
  <c r="C5" i="15" s="1"/>
  <c r="J26" i="15"/>
  <c r="J24" i="15"/>
  <c r="J18" i="15"/>
  <c r="F41" i="15"/>
  <c r="F68" i="15" l="1"/>
  <c r="J29" i="15"/>
  <c r="C40" i="44"/>
  <c r="J26" i="44"/>
  <c r="F24" i="15"/>
  <c r="C24" i="15" s="1"/>
  <c r="F24" i="72"/>
  <c r="C59" i="72"/>
  <c r="C65" i="72"/>
  <c r="C38" i="72"/>
  <c r="C32" i="72"/>
  <c r="J20" i="44"/>
  <c r="H6" i="3"/>
  <c r="AC6" i="3"/>
  <c r="E27" i="6"/>
  <c r="F58" i="33"/>
  <c r="G52" i="21"/>
  <c r="H52" i="21" s="1"/>
  <c r="G53" i="21"/>
  <c r="H53" i="21" s="1"/>
  <c r="G70" i="39"/>
  <c r="F72" i="39"/>
  <c r="E48" i="21"/>
  <c r="E52" i="21" s="1"/>
  <c r="F52" i="21" s="1"/>
  <c r="R49" i="21"/>
  <c r="I53" i="21"/>
  <c r="J53" i="21" s="1"/>
  <c r="I52" i="21"/>
  <c r="J52" i="21" s="1"/>
  <c r="F7" i="36"/>
  <c r="AA7" i="36" s="1"/>
  <c r="R36" i="36" s="1"/>
  <c r="C7" i="66"/>
  <c r="C8" i="66"/>
  <c r="D19" i="12"/>
  <c r="C19" i="12" s="1"/>
  <c r="C16" i="12"/>
  <c r="D22" i="12"/>
  <c r="C22" i="12" s="1"/>
  <c r="C20" i="12" s="1"/>
  <c r="D13" i="11"/>
  <c r="C13" i="11" s="1"/>
  <c r="F67" i="40"/>
  <c r="G65" i="40"/>
  <c r="T26" i="59"/>
  <c r="D26" i="59"/>
  <c r="T18" i="59"/>
  <c r="D18"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8" i="59"/>
  <c r="C7" i="59"/>
  <c r="F26" i="12"/>
  <c r="F26" i="44"/>
  <c r="C26" i="44" s="1"/>
  <c r="M16" i="1"/>
  <c r="O14" i="1"/>
  <c r="O16" i="1" s="1"/>
  <c r="S7" i="36"/>
  <c r="H48" i="35"/>
  <c r="W7" i="34"/>
  <c r="AC7" i="34"/>
  <c r="V49" i="34" s="1"/>
  <c r="I49" i="34" s="1"/>
  <c r="S7" i="34"/>
  <c r="AA7" i="34"/>
  <c r="R49" i="34" s="1"/>
  <c r="H7" i="36"/>
  <c r="AB7" i="34"/>
  <c r="T49" i="34" s="1"/>
  <c r="G49" i="34" s="1"/>
  <c r="U7" i="34"/>
  <c r="H52" i="37"/>
  <c r="J7" i="36"/>
  <c r="C32" i="15"/>
  <c r="C38" i="15"/>
  <c r="B5" i="11"/>
  <c r="B3" i="11"/>
  <c r="B4" i="11"/>
  <c r="C59" i="15"/>
  <c r="C65" i="15"/>
  <c r="C27" i="12"/>
  <c r="D26" i="12" s="1"/>
  <c r="C32" i="12" s="1"/>
  <c r="D30" i="12" s="1"/>
  <c r="Q49" i="44"/>
  <c r="Q55" i="44" s="1"/>
  <c r="Q67" i="44"/>
  <c r="Q58" i="44"/>
  <c r="L52" i="44"/>
  <c r="L58" i="44" l="1"/>
  <c r="L61" i="44" s="1"/>
  <c r="L47" i="44" s="1"/>
  <c r="Q69" i="44"/>
  <c r="C24" i="72"/>
  <c r="K19" i="6"/>
  <c r="S6" i="1" s="1"/>
  <c r="K24" i="6"/>
  <c r="M24" i="6" s="1"/>
  <c r="I24" i="6" s="1"/>
  <c r="S24" i="6" s="1"/>
  <c r="K25" i="6"/>
  <c r="M25" i="6" s="1"/>
  <c r="I25" i="6" s="1"/>
  <c r="S25" i="6" s="1"/>
  <c r="E31" i="6"/>
  <c r="K21" i="6"/>
  <c r="K22" i="6"/>
  <c r="M22" i="6" s="1"/>
  <c r="I22" i="6" s="1"/>
  <c r="S22" i="6" s="1"/>
  <c r="K23" i="6"/>
  <c r="M23" i="6" s="1"/>
  <c r="I23" i="6" s="1"/>
  <c r="S23" i="6" s="1"/>
  <c r="K26" i="6"/>
  <c r="M26" i="6" s="1"/>
  <c r="I26" i="6" s="1"/>
  <c r="S26" i="6" s="1"/>
  <c r="K20" i="6"/>
  <c r="E6" i="3"/>
  <c r="G72" i="39"/>
  <c r="H70" i="39"/>
  <c r="C49" i="21"/>
  <c r="B3" i="21" s="1"/>
  <c r="C48" i="21"/>
  <c r="E53" i="21"/>
  <c r="F53" i="21" s="1"/>
  <c r="G58" i="33"/>
  <c r="C6" i="59"/>
  <c r="D7" i="59"/>
  <c r="P14" i="1"/>
  <c r="P16" i="1" s="1"/>
  <c r="C13" i="12" s="1"/>
  <c r="C14" i="12" s="1"/>
  <c r="G67" i="40"/>
  <c r="H65" i="40"/>
  <c r="C22" i="4"/>
  <c r="D21" i="6"/>
  <c r="D10" i="6"/>
  <c r="D6" i="6"/>
  <c r="D14" i="6"/>
  <c r="D20" i="6"/>
  <c r="F45" i="9"/>
  <c r="E68" i="39"/>
  <c r="D24" i="6"/>
  <c r="D22" i="6"/>
  <c r="D12" i="6"/>
  <c r="D5" i="6"/>
  <c r="H26" i="6"/>
  <c r="F46" i="9"/>
  <c r="E63" i="40"/>
  <c r="D19" i="6"/>
  <c r="D25" i="6"/>
  <c r="D13" i="6"/>
  <c r="H24" i="6"/>
  <c r="D23" i="6"/>
  <c r="D28" i="6"/>
  <c r="D8" i="6"/>
  <c r="E45" i="9"/>
  <c r="K38" i="9"/>
  <c r="C14" i="66" s="1"/>
  <c r="B2" i="66" s="1"/>
  <c r="D26" i="6"/>
  <c r="D11" i="6"/>
  <c r="D9" i="6"/>
  <c r="D29" i="6"/>
  <c r="D15" i="6"/>
  <c r="E46" i="9"/>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B2" i="21" l="1"/>
  <c r="N8" i="12"/>
  <c r="Q68" i="44"/>
  <c r="Q77" i="44" s="1"/>
  <c r="Q59" i="44"/>
  <c r="Q64" i="44" s="1"/>
  <c r="M20" i="6"/>
  <c r="I20" i="6" s="1"/>
  <c r="S20" i="6" s="1"/>
  <c r="S7" i="1"/>
  <c r="M21" i="6"/>
  <c r="I21" i="6" s="1"/>
  <c r="S21" i="6" s="1"/>
  <c r="S8" i="1"/>
  <c r="H22" i="6"/>
  <c r="R22" i="6" s="1"/>
  <c r="D30" i="6"/>
  <c r="H25" i="6"/>
  <c r="R25" i="6" s="1"/>
  <c r="H23" i="6"/>
  <c r="R23" i="6" s="1"/>
  <c r="C17" i="12"/>
  <c r="C18" i="12" s="1"/>
  <c r="C23" i="12" s="1"/>
  <c r="K27" i="6"/>
  <c r="M19" i="6"/>
  <c r="R26" i="6"/>
  <c r="D16" i="6"/>
  <c r="D27" i="6"/>
  <c r="H58" i="33"/>
  <c r="I70" i="39"/>
  <c r="H72" i="39"/>
  <c r="D7" i="66"/>
  <c r="D8" i="66"/>
  <c r="R24" i="6"/>
  <c r="A20" i="51"/>
  <c r="B15" i="63" s="1"/>
  <c r="A6" i="51"/>
  <c r="B7" i="63" s="1"/>
  <c r="A20" i="64"/>
  <c r="N5" i="54"/>
  <c r="B43" i="63" s="1"/>
  <c r="A6" i="64"/>
  <c r="H67" i="40"/>
  <c r="I65" i="40"/>
  <c r="T6" i="59"/>
  <c r="D6" i="59"/>
  <c r="C5" i="59"/>
  <c r="D5" i="59" s="1"/>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17" i="72"/>
  <c r="C17" i="15"/>
  <c r="S16" i="1" l="1"/>
  <c r="T6" i="1" s="1"/>
  <c r="N10" i="12"/>
  <c r="P10" i="12" s="1"/>
  <c r="P8" i="12"/>
  <c r="P11" i="12" s="1"/>
  <c r="N9" i="12"/>
  <c r="P9" i="12" s="1"/>
  <c r="M20" i="46"/>
  <c r="C19" i="46" s="1"/>
  <c r="C36" i="46" s="1"/>
  <c r="H20" i="6"/>
  <c r="R20" i="6" s="1"/>
  <c r="R7" i="1" s="1"/>
  <c r="H21" i="6"/>
  <c r="R21" i="6" s="1"/>
  <c r="R8" i="1" s="1"/>
  <c r="T7" i="1"/>
  <c r="T10" i="1"/>
  <c r="T9" i="1"/>
  <c r="D31" i="6"/>
  <c r="I6" i="6" s="1"/>
  <c r="M27" i="6"/>
  <c r="I19" i="6"/>
  <c r="J70" i="39"/>
  <c r="I72" i="39"/>
  <c r="I58" i="33"/>
  <c r="C34" i="46"/>
  <c r="C37" i="46"/>
  <c r="T4" i="46"/>
  <c r="V4" i="46" s="1"/>
  <c r="T7" i="46"/>
  <c r="V7" i="46" s="1"/>
  <c r="T2" i="46"/>
  <c r="V2" i="46" s="1"/>
  <c r="T5" i="46"/>
  <c r="V5" i="46" s="1"/>
  <c r="T9" i="46"/>
  <c r="V9" i="46" s="1"/>
  <c r="C29" i="46"/>
  <c r="T11" i="46"/>
  <c r="V11" i="46" s="1"/>
  <c r="C35" i="46"/>
  <c r="T14" i="46"/>
  <c r="V14" i="46" s="1"/>
  <c r="T10" i="46"/>
  <c r="V10" i="46" s="1"/>
  <c r="I67" i="40"/>
  <c r="J65" i="40"/>
  <c r="C18" i="43"/>
  <c r="C19" i="43" s="1"/>
  <c r="C25" i="43" s="1"/>
  <c r="C24" i="43" s="1"/>
  <c r="K48" i="35"/>
  <c r="L48" i="35" s="1"/>
  <c r="M48" i="35" s="1"/>
  <c r="N48" i="35" s="1"/>
  <c r="O48" i="35" s="1"/>
  <c r="K52" i="37"/>
  <c r="F35" i="72"/>
  <c r="M21" i="15"/>
  <c r="C16" i="44"/>
  <c r="M21" i="72"/>
  <c r="C14" i="15"/>
  <c r="F35" i="15"/>
  <c r="C34" i="72" l="1"/>
  <c r="F62" i="72"/>
  <c r="C61" i="72" s="1"/>
  <c r="J20" i="72"/>
  <c r="C34" i="15"/>
  <c r="F62" i="15"/>
  <c r="C61" i="15" s="1"/>
  <c r="J20" i="15"/>
  <c r="C10" i="12"/>
  <c r="N14" i="12"/>
  <c r="C8" i="12" s="1"/>
  <c r="J7" i="35"/>
  <c r="W7" i="35" s="1"/>
  <c r="T12" i="46"/>
  <c r="V12" i="46" s="1"/>
  <c r="T16" i="46"/>
  <c r="V16" i="46" s="1"/>
  <c r="T3" i="46"/>
  <c r="V3" i="46" s="1"/>
  <c r="T8" i="46"/>
  <c r="V8" i="46" s="1"/>
  <c r="T15" i="46"/>
  <c r="V15" i="46" s="1"/>
  <c r="C38" i="46"/>
  <c r="E38" i="46" s="1"/>
  <c r="T6" i="46"/>
  <c r="V6" i="46" s="1"/>
  <c r="T13" i="46"/>
  <c r="V13" i="46" s="1"/>
  <c r="C39" i="46"/>
  <c r="C33" i="46"/>
  <c r="G33" i="46" s="1"/>
  <c r="I33" i="46" s="1"/>
  <c r="T12" i="1"/>
  <c r="T13" i="1"/>
  <c r="T11" i="1"/>
  <c r="T8" i="1"/>
  <c r="I5" i="6"/>
  <c r="C20" i="44"/>
  <c r="C17" i="44"/>
  <c r="C18" i="15"/>
  <c r="C15" i="15"/>
  <c r="T16" i="1"/>
  <c r="S19" i="6"/>
  <c r="S27" i="6" s="1"/>
  <c r="I27" i="6"/>
  <c r="H19" i="6"/>
  <c r="J58" i="33"/>
  <c r="J72" i="39"/>
  <c r="K70" i="39"/>
  <c r="G38" i="46"/>
  <c r="I38" i="46" s="1"/>
  <c r="G39" i="46"/>
  <c r="I39" i="46" s="1"/>
  <c r="E39" i="46"/>
  <c r="E33" i="46"/>
  <c r="E36" i="46"/>
  <c r="G36" i="46"/>
  <c r="I36" i="46" s="1"/>
  <c r="K65" i="40"/>
  <c r="J67" i="40"/>
  <c r="E35" i="46"/>
  <c r="G35" i="46"/>
  <c r="I35" i="46" s="1"/>
  <c r="E29" i="46"/>
  <c r="C30" i="46"/>
  <c r="E30" i="46" s="1"/>
  <c r="G37" i="46"/>
  <c r="I37" i="46" s="1"/>
  <c r="E37" i="46"/>
  <c r="E34" i="46"/>
  <c r="G34" i="46"/>
  <c r="I34" i="46" s="1"/>
  <c r="C22" i="43"/>
  <c r="C21" i="43" s="1"/>
  <c r="C28" i="43" s="1"/>
  <c r="C30" i="43" s="1"/>
  <c r="C32" i="43" s="1"/>
  <c r="B2" i="43" s="1"/>
  <c r="AC7" i="35"/>
  <c r="V38" i="35" s="1"/>
  <c r="I38" i="35" s="1"/>
  <c r="L52" i="37"/>
  <c r="F7" i="35"/>
  <c r="H7" i="35"/>
  <c r="C14" i="72"/>
  <c r="F7" i="67"/>
  <c r="C15" i="72" l="1"/>
  <c r="C18" i="72"/>
  <c r="C19" i="15"/>
  <c r="C20" i="15" s="1"/>
  <c r="C26" i="15" s="1"/>
  <c r="C21" i="44"/>
  <c r="C22" i="44" s="1"/>
  <c r="C25" i="44" s="1"/>
  <c r="R19" i="6"/>
  <c r="H27" i="6"/>
  <c r="C27" i="46"/>
  <c r="K72" i="39"/>
  <c r="L70" i="39"/>
  <c r="K58" i="33"/>
  <c r="E4" i="67"/>
  <c r="C26" i="46"/>
  <c r="K67" i="40"/>
  <c r="L65" i="40"/>
  <c r="B4" i="43"/>
  <c r="B5" i="43"/>
  <c r="B3" i="43"/>
  <c r="AB7" i="35"/>
  <c r="T38" i="35" s="1"/>
  <c r="G38" i="35" s="1"/>
  <c r="U7" i="35"/>
  <c r="AA7" i="35"/>
  <c r="R38" i="35" s="1"/>
  <c r="S7" i="35"/>
  <c r="M52" i="37"/>
  <c r="I42" i="35"/>
  <c r="J42" i="35" s="1"/>
  <c r="E7" i="67"/>
  <c r="C19" i="72" l="1"/>
  <c r="C20" i="72" s="1"/>
  <c r="C23" i="15"/>
  <c r="C29" i="15" s="1"/>
  <c r="C13" i="15" s="1"/>
  <c r="C28" i="44"/>
  <c r="C31" i="44" s="1"/>
  <c r="Q51" i="44" s="1"/>
  <c r="R27" i="6"/>
  <c r="R6" i="1"/>
  <c r="R16" i="1" s="1"/>
  <c r="L72" i="39"/>
  <c r="M70" i="39"/>
  <c r="L58" i="33"/>
  <c r="E3" i="67"/>
  <c r="M65" i="40"/>
  <c r="L67" i="40"/>
  <c r="B2" i="46"/>
  <c r="N52" i="37"/>
  <c r="O52" i="37" s="1"/>
  <c r="R39" i="35"/>
  <c r="E38" i="35"/>
  <c r="G42" i="35"/>
  <c r="H42" i="35" s="1"/>
  <c r="G43" i="35"/>
  <c r="H43" i="35" s="1"/>
  <c r="B7" i="67"/>
  <c r="C23" i="72" l="1"/>
  <c r="C26" i="72"/>
  <c r="C36" i="15"/>
  <c r="J59" i="15"/>
  <c r="J60" i="15" s="1"/>
  <c r="Q49" i="15" s="1"/>
  <c r="Q50" i="15"/>
  <c r="C56" i="15"/>
  <c r="C63" i="15" s="1"/>
  <c r="J14" i="15"/>
  <c r="J13" i="15" s="1"/>
  <c r="J23" i="15" s="1"/>
  <c r="C33" i="15"/>
  <c r="C31" i="15" s="1"/>
  <c r="J19" i="15"/>
  <c r="J17" i="15" s="1"/>
  <c r="J21" i="44"/>
  <c r="J19" i="44" s="1"/>
  <c r="J16" i="44"/>
  <c r="J24" i="44" s="1"/>
  <c r="C35" i="44"/>
  <c r="C33" i="44" s="1"/>
  <c r="C38" i="44"/>
  <c r="C15" i="44"/>
  <c r="Q72" i="44" s="1"/>
  <c r="J15" i="44"/>
  <c r="J25" i="44" s="1"/>
  <c r="J35" i="15"/>
  <c r="C55" i="15"/>
  <c r="C64" i="15" s="1"/>
  <c r="C37" i="15"/>
  <c r="Q71" i="15"/>
  <c r="C60" i="15"/>
  <c r="C58" i="15" s="1"/>
  <c r="N70" i="39"/>
  <c r="N72" i="39" s="1"/>
  <c r="M72" i="39"/>
  <c r="F9" i="39" s="1"/>
  <c r="F7" i="37"/>
  <c r="M58" i="33"/>
  <c r="N58" i="33" s="1"/>
  <c r="O58" i="33" s="1"/>
  <c r="J7" i="33" s="1"/>
  <c r="F7" i="33"/>
  <c r="H9" i="39"/>
  <c r="B2" i="67"/>
  <c r="D4" i="46"/>
  <c r="B3" i="46"/>
  <c r="B4" i="46"/>
  <c r="N65" i="40"/>
  <c r="N67" i="40" s="1"/>
  <c r="J9" i="40" s="1"/>
  <c r="M67" i="40"/>
  <c r="AA7" i="37"/>
  <c r="R42" i="37" s="1"/>
  <c r="S7" i="37"/>
  <c r="E43" i="35"/>
  <c r="F43" i="35" s="1"/>
  <c r="E42" i="35"/>
  <c r="F42" i="35" s="1"/>
  <c r="I43" i="35"/>
  <c r="J43" i="35" s="1"/>
  <c r="C39" i="35"/>
  <c r="B3" i="35" s="1"/>
  <c r="B2" i="35" s="1"/>
  <c r="C38" i="35"/>
  <c r="H7" i="37"/>
  <c r="J7" i="37"/>
  <c r="C29" i="72" l="1"/>
  <c r="J19" i="72" s="1"/>
  <c r="J17" i="72" s="1"/>
  <c r="H9" i="40"/>
  <c r="AB9" i="40" s="1"/>
  <c r="T44" i="40" s="1"/>
  <c r="G44" i="40" s="1"/>
  <c r="J9" i="39"/>
  <c r="H7" i="33"/>
  <c r="U7" i="33" s="1"/>
  <c r="J59" i="72"/>
  <c r="J60" i="72" s="1"/>
  <c r="C33" i="72"/>
  <c r="C31" i="72" s="1"/>
  <c r="J14" i="72"/>
  <c r="J22" i="15"/>
  <c r="C30" i="15"/>
  <c r="C39" i="15" s="1"/>
  <c r="Q70" i="15" s="1"/>
  <c r="Q69" i="15" s="1"/>
  <c r="J18" i="44"/>
  <c r="J27" i="44" s="1"/>
  <c r="C57" i="15"/>
  <c r="C66" i="15" s="1"/>
  <c r="C67" i="15" s="1"/>
  <c r="C70" i="15" s="1"/>
  <c r="J16" i="15"/>
  <c r="J25" i="15" s="1"/>
  <c r="C43" i="44"/>
  <c r="C39" i="44"/>
  <c r="C32" i="44" s="1"/>
  <c r="C42" i="44" s="1"/>
  <c r="AB9" i="39"/>
  <c r="T49" i="39" s="1"/>
  <c r="G49" i="39" s="1"/>
  <c r="U9" i="39"/>
  <c r="S7" i="33"/>
  <c r="AA7" i="33"/>
  <c r="R48" i="33" s="1"/>
  <c r="AC7" i="33"/>
  <c r="V48" i="33" s="1"/>
  <c r="I48" i="33" s="1"/>
  <c r="W7" i="33"/>
  <c r="AC9" i="39"/>
  <c r="V49" i="39" s="1"/>
  <c r="I49" i="39" s="1"/>
  <c r="W9" i="39"/>
  <c r="S9" i="39"/>
  <c r="AA9" i="39"/>
  <c r="R49" i="39" s="1"/>
  <c r="AB7" i="33"/>
  <c r="T48" i="33" s="1"/>
  <c r="G48" i="33" s="1"/>
  <c r="U9" i="40"/>
  <c r="AC9" i="40"/>
  <c r="V44" i="40" s="1"/>
  <c r="I44" i="40" s="1"/>
  <c r="I48" i="40" s="1"/>
  <c r="J48" i="40" s="1"/>
  <c r="W9" i="40"/>
  <c r="F9" i="40"/>
  <c r="B4" i="67"/>
  <c r="B3" i="67"/>
  <c r="W7" i="37"/>
  <c r="AC7" i="37"/>
  <c r="V42" i="37" s="1"/>
  <c r="I42" i="37" s="1"/>
  <c r="AB7" i="37"/>
  <c r="T42" i="37" s="1"/>
  <c r="G42" i="37" s="1"/>
  <c r="U7" i="37"/>
  <c r="E42" i="37"/>
  <c r="R43" i="37"/>
  <c r="Q50" i="72" l="1"/>
  <c r="C56" i="72"/>
  <c r="C63" i="72" s="1"/>
  <c r="C36" i="72"/>
  <c r="C13" i="72"/>
  <c r="C55" i="72" s="1"/>
  <c r="C64" i="72" s="1"/>
  <c r="C40" i="15"/>
  <c r="C43" i="15" s="1"/>
  <c r="Q49" i="72"/>
  <c r="J22" i="72"/>
  <c r="J13" i="72"/>
  <c r="J23" i="72" s="1"/>
  <c r="C60" i="72"/>
  <c r="C58" i="72" s="1"/>
  <c r="J39" i="15"/>
  <c r="J40" i="15" s="1"/>
  <c r="C44" i="44"/>
  <c r="C45" i="44" s="1"/>
  <c r="B2" i="44" s="1"/>
  <c r="B3" i="44" s="1"/>
  <c r="L57" i="15"/>
  <c r="L60" i="15" s="1"/>
  <c r="Q71" i="44"/>
  <c r="Q70" i="44" s="1"/>
  <c r="G52" i="33"/>
  <c r="H52" i="33" s="1"/>
  <c r="G53" i="33"/>
  <c r="H53" i="33" s="1"/>
  <c r="R50" i="39"/>
  <c r="E49" i="39"/>
  <c r="E48" i="33"/>
  <c r="R49" i="33"/>
  <c r="I53" i="39"/>
  <c r="J53" i="39" s="1"/>
  <c r="I52" i="33"/>
  <c r="J52" i="33" s="1"/>
  <c r="I53" i="33"/>
  <c r="J53" i="33" s="1"/>
  <c r="G53" i="39"/>
  <c r="H53" i="39" s="1"/>
  <c r="G54" i="39"/>
  <c r="H54" i="39" s="1"/>
  <c r="AA9" i="40"/>
  <c r="R44" i="40" s="1"/>
  <c r="S9" i="40"/>
  <c r="G48" i="40"/>
  <c r="H48" i="40" s="1"/>
  <c r="G49" i="40"/>
  <c r="H49" i="40" s="1"/>
  <c r="C43" i="37"/>
  <c r="B3" i="37" s="1"/>
  <c r="B2" i="37" s="1"/>
  <c r="C42" i="37"/>
  <c r="I46" i="37"/>
  <c r="J46" i="37" s="1"/>
  <c r="I47" i="37"/>
  <c r="J47" i="37" s="1"/>
  <c r="E47" i="37"/>
  <c r="F47" i="37" s="1"/>
  <c r="E46" i="37"/>
  <c r="F46" i="37" s="1"/>
  <c r="G46" i="37"/>
  <c r="H46" i="37" s="1"/>
  <c r="G47" i="37"/>
  <c r="H47" i="37" s="1"/>
  <c r="L51" i="15"/>
  <c r="C37" i="72" l="1"/>
  <c r="C30" i="72" s="1"/>
  <c r="C39" i="72" s="1"/>
  <c r="Q70" i="72" s="1"/>
  <c r="J35" i="72"/>
  <c r="Q71" i="72"/>
  <c r="Q68" i="15"/>
  <c r="Q69" i="72"/>
  <c r="Q58" i="15"/>
  <c r="L46" i="15"/>
  <c r="Q66" i="15"/>
  <c r="C46" i="15"/>
  <c r="Q57" i="15"/>
  <c r="Q63" i="15" s="1"/>
  <c r="B2" i="15"/>
  <c r="J42" i="15"/>
  <c r="J43" i="15" s="1"/>
  <c r="Q48" i="15"/>
  <c r="Q54" i="15" s="1"/>
  <c r="L57" i="72"/>
  <c r="L60" i="72" s="1"/>
  <c r="C57" i="72"/>
  <c r="C66" i="72" s="1"/>
  <c r="C67" i="72" s="1"/>
  <c r="C70" i="72" s="1"/>
  <c r="J16" i="72"/>
  <c r="J25" i="72" s="1"/>
  <c r="B4" i="44"/>
  <c r="Q67" i="15"/>
  <c r="B5" i="44"/>
  <c r="C48" i="33"/>
  <c r="C49" i="33"/>
  <c r="B3" i="33" s="1"/>
  <c r="B2" i="33" s="1"/>
  <c r="E54" i="39"/>
  <c r="F54" i="39" s="1"/>
  <c r="E53" i="39"/>
  <c r="F53" i="39" s="1"/>
  <c r="I54" i="39"/>
  <c r="J54" i="39" s="1"/>
  <c r="E53" i="33"/>
  <c r="F53" i="33" s="1"/>
  <c r="E52" i="33"/>
  <c r="F52" i="33" s="1"/>
  <c r="C49" i="39"/>
  <c r="C50" i="39"/>
  <c r="E44" i="40"/>
  <c r="R45" i="40"/>
  <c r="L51" i="72"/>
  <c r="C40" i="72" l="1"/>
  <c r="J42" i="72" s="1"/>
  <c r="J43" i="72" s="1"/>
  <c r="J39" i="72"/>
  <c r="J40" i="72" s="1"/>
  <c r="Q68" i="72"/>
  <c r="B3" i="15"/>
  <c r="D8" i="12" s="1"/>
  <c r="D10" i="12"/>
  <c r="Q67" i="72"/>
  <c r="L46" i="72"/>
  <c r="B2" i="72" s="1"/>
  <c r="Q76" i="15"/>
  <c r="C46" i="72"/>
  <c r="Q58" i="72"/>
  <c r="Q48" i="72"/>
  <c r="Q54" i="72" s="1"/>
  <c r="B61" i="39"/>
  <c r="F61" i="39" s="1"/>
  <c r="B67" i="39"/>
  <c r="F67" i="39" s="1"/>
  <c r="B60" i="39"/>
  <c r="F60" i="39" s="1"/>
  <c r="B62" i="39"/>
  <c r="F62" i="39" s="1"/>
  <c r="B58" i="39"/>
  <c r="F58" i="39" s="1"/>
  <c r="B59" i="39"/>
  <c r="F59" i="39" s="1"/>
  <c r="B65" i="39"/>
  <c r="F65" i="39" s="1"/>
  <c r="B64" i="39"/>
  <c r="F64" i="39" s="1"/>
  <c r="B66" i="39"/>
  <c r="F66" i="39" s="1"/>
  <c r="B63" i="39"/>
  <c r="F63" i="39" s="1"/>
  <c r="I49" i="40"/>
  <c r="J49" i="40" s="1"/>
  <c r="E48" i="40"/>
  <c r="F48" i="40" s="1"/>
  <c r="E49" i="40"/>
  <c r="F49" i="40" s="1"/>
  <c r="C45" i="40"/>
  <c r="C44" i="40"/>
  <c r="C43" i="72" l="1"/>
  <c r="Q66" i="72"/>
  <c r="Q76" i="72" s="1"/>
  <c r="Q57" i="72"/>
  <c r="Q63" i="72" s="1"/>
  <c r="F68" i="39"/>
  <c r="B2" i="39" s="1"/>
  <c r="B4" i="39" s="1"/>
  <c r="B3" i="72"/>
  <c r="E8" i="12" s="1"/>
  <c r="E10" i="12"/>
  <c r="C6" i="12" s="1"/>
  <c r="B3"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19" i="9"/>
  <c r="C20" i="9"/>
  <c r="C21" i="9"/>
  <c r="B5" i="39" l="1"/>
  <c r="L43" i="9"/>
  <c r="C29" i="12"/>
  <c r="C24" i="12"/>
  <c r="C35" i="12" s="1"/>
  <c r="C33" i="12" s="1"/>
  <c r="B4" i="40"/>
  <c r="B5" i="40"/>
  <c r="B3" i="40"/>
  <c r="C28" i="12" l="1"/>
  <c r="C26" i="12" s="1"/>
  <c r="C31" i="12" s="1"/>
  <c r="C30" i="12" s="1"/>
  <c r="C36" i="12" s="1"/>
  <c r="B2" i="12" s="1"/>
  <c r="D19" i="9"/>
  <c r="B3" i="12" l="1"/>
  <c r="B4" i="12"/>
  <c r="L44" i="9"/>
  <c r="G19" i="9"/>
  <c r="N43" i="9" s="1"/>
  <c r="D22" i="9"/>
  <c r="B5" i="12"/>
  <c r="D20" i="9"/>
  <c r="D21" i="9"/>
  <c r="G22" i="9" l="1"/>
  <c r="G20" i="9"/>
  <c r="G21" i="9"/>
  <c r="C32" i="9"/>
  <c r="C33" i="9" s="1"/>
  <c r="C42" i="9" l="1"/>
  <c r="D63" i="9" s="1"/>
  <c r="C35" i="9"/>
  <c r="F42" i="9" s="1"/>
  <c r="C34" i="9"/>
  <c r="E42" i="9" s="1"/>
  <c r="P5" i="54" s="1"/>
  <c r="B46" i="63" s="1"/>
  <c r="O38" i="9"/>
  <c r="K26" i="9" s="1"/>
  <c r="O43" i="9"/>
  <c r="D42" i="9"/>
  <c r="Q5" i="54" s="1"/>
  <c r="B47" i="63" s="1"/>
  <c r="N38" i="9"/>
  <c r="K28" i="9" s="1"/>
  <c r="R5" i="54" l="1"/>
  <c r="B48" i="63" s="1"/>
  <c r="M38" i="9"/>
  <c r="K27" i="9" s="1"/>
  <c r="D14" i="66"/>
  <c r="B5" i="66" s="1"/>
  <c r="K25" i="9"/>
  <c r="N68" i="9"/>
  <c r="C44" i="9"/>
  <c r="D44" i="9" s="1"/>
  <c r="E14" i="66"/>
  <c r="C90" i="9"/>
  <c r="C96" i="9"/>
  <c r="C91" i="9" s="1"/>
  <c r="D77" i="9"/>
  <c r="N75" i="9" s="1"/>
  <c r="C103" i="9"/>
  <c r="D70" i="9"/>
  <c r="C82" i="9"/>
  <c r="C81" i="9" s="1"/>
  <c r="C85" i="9" s="1"/>
  <c r="C86" i="9" s="1"/>
  <c r="D72" i="9" s="1"/>
  <c r="D71" i="9"/>
  <c r="D66" i="9" s="1"/>
  <c r="N72" i="9" s="1"/>
  <c r="C111" i="9"/>
  <c r="C104" i="9" s="1"/>
  <c r="G14" i="66" l="1"/>
  <c r="B6" i="66" s="1"/>
  <c r="C6" i="66" s="1"/>
  <c r="F14" i="66"/>
  <c r="F44" i="9"/>
  <c r="E44" i="9"/>
  <c r="O39" i="9"/>
  <c r="R6" i="54" s="1"/>
  <c r="B50" i="63" s="1"/>
  <c r="N69" i="9"/>
  <c r="M84" i="9" s="1"/>
  <c r="N84" i="9" s="1"/>
  <c r="C97" i="9"/>
  <c r="C5" i="66"/>
  <c r="D5" i="66"/>
  <c r="C113" i="9"/>
  <c r="K29" i="9" l="1"/>
  <c r="K30" i="9" s="1"/>
  <c r="D6" i="66"/>
  <c r="M88" i="9"/>
  <c r="N88" i="9" s="1"/>
  <c r="M83" i="9"/>
  <c r="N83" i="9" s="1"/>
  <c r="M85" i="9"/>
  <c r="N85" i="9" s="1"/>
  <c r="M87" i="9"/>
  <c r="N87" i="9" s="1"/>
  <c r="M86" i="9"/>
  <c r="N86" i="9" s="1"/>
  <c r="C98" i="9"/>
  <c r="E98" i="9" s="1"/>
  <c r="E99" i="9" s="1"/>
  <c r="C114" i="9"/>
  <c r="E114" i="9" s="1"/>
  <c r="E115" i="9" s="1"/>
  <c r="C115" i="9" l="1"/>
  <c r="D76" i="9" s="1"/>
  <c r="D74" i="9" s="1"/>
  <c r="N74" i="9" s="1"/>
  <c r="O77" i="9" s="1"/>
  <c r="O79" i="9" s="1"/>
  <c r="C99" i="9"/>
  <c r="N89" i="9"/>
  <c r="O8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<sst xmlns="http://schemas.openxmlformats.org/spreadsheetml/2006/main" count="7556" uniqueCount="3130">
  <si>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</si>
  <si>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</si>
  <si>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</si>
  <si>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</si>
  <si>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</si>
  <si>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</si>
  <si>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</si>
  <si>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</si>
  <si>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</si>
  <si>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</si>
  <si>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</si>
  <si>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</si>
  <si>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</si>
  <si>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</si>
  <si>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</si>
  <si>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</si>
  <si>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</si>
  <si>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</si>
  <si>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</si>
  <si>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</si>
  <si>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</si>
  <si>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</si>
  <si>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</si>
  <si>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</si>
  <si>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</si>
  <si>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</si>
  <si>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</si>
  <si>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</si>
  <si>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</si>
  <si>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</si>
  <si>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</si>
  <si>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</si>
  <si>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</si>
  <si>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</si>
  <si>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</si>
  <si>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</si>
  <si>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</si>
  <si>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</si>
  <si>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</si>
  <si>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</si>
  <si>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</si>
  <si>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</si>
  <si>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</si>
  <si>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</si>
  <si>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</si>
  <si>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</si>
  <si>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</si>
  <si>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</si>
  <si>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</si>
  <si>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</si>
  <si>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</si>
  <si>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</si>
  <si>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</si>
  <si>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</si>
  <si>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</si>
  <si>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</si>
  <si>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</si>
  <si>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</si>
  <si>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</si>
  <si>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</si>
  <si>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</si>
  <si>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</si>
  <si>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</si>
  <si>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</si>
  <si>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</si>
  <si>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</si>
  <si>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</si>
  <si>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</si>
  <si>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</si>
  <si>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</si>
  <si>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</si>
  <si>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</si>
  <si>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</si>
  <si>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</si>
  <si>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</si>
  <si>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</si>
  <si>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</si>
  <si>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</si>
  <si>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</si>
  <si>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</si>
  <si>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</si>
  <si>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</si>
  <si>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</si>
  <si>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</si>
  <si>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</si>
  <si>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</si>
  <si>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</si>
  <si>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</si>
  <si>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</si>
  <si>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</si>
  <si>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</si>
  <si>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</si>
  <si>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</si>
  <si>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</si>
  <si>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</si>
  <si>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</si>
  <si>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</si>
  <si>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</si>
  <si>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</si>
  <si>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</si>
  <si>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</si>
  <si>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</si>
  <si>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</si>
  <si>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</si>
  <si>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</si>
  <si>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</si>
  <si>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</si>
  <si>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</si>
  <si>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</si>
  <si>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</si>
  <si>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</si>
  <si>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</si>
  <si>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</si>
  <si>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</si>
  <si>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</si>
  <si>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</si>
  <si>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</si>
  <si>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</si>
  <si>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</si>
  <si>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</si>
  <si>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</si>
  <si>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</si>
  <si>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</si>
  <si>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</si>
  <si>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</si>
  <si>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</si>
  <si>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</si>
  <si>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</si>
  <si>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</si>
  <si>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</si>
  <si>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</si>
  <si>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</si>
  <si>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</si>
  <si>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</si>
  <si>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</si>
  <si>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</si>
  <si>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</si>
  <si>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</si>
  <si>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</si>
  <si>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</si>
  <si>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</si>
  <si>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</si>
  <si>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</si>
  <si>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</si>
  <si>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</si>
  <si>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</si>
  <si>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</si>
  <si>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</si>
  <si>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</si>
  <si>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</si>
  <si>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</si>
  <si>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</si>
  <si>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</si>
  <si>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</si>
  <si>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</si>
  <si>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</si>
  <si>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</si>
  <si>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</si>
  <si>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</si>
  <si>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</si>
  <si>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</si>
  <si>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</si>
  <si>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</si>
  <si>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</si>
  <si>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</si>
  <si>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</si>
  <si>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</si>
  <si>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</si>
  <si>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</si>
  <si>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</si>
  <si>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</si>
  <si>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</si>
  <si>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</si>
  <si>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</si>
  <si>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</si>
  <si>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</si>
  <si>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</si>
  <si>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</si>
  <si>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</si>
  <si>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</si>
  <si>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</si>
  <si>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</si>
  <si>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</si>
  <si>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</si>
  <si>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</si>
  <si>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</si>
  <si>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</si>
  <si>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</si>
  <si>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</si>
  <si>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</si>
  <si>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</si>
  <si>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</si>
  <si>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</si>
  <si>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</si>
  <si>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</si>
  <si>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</si>
  <si>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</si>
  <si>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</si>
  <si>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</si>
  <si>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</si>
  <si>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</si>
  <si>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</si>
  <si>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</si>
  <si>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</si>
  <si>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</si>
  <si>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</si>
  <si>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</si>
  <si>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</si>
  <si>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</si>
  <si>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</si>
  <si>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</si>
  <si>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</si>
  <si>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</si>
  <si>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</si>
  <si>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</si>
  <si>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</si>
  <si>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</si>
  <si>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</si>
  <si>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</si>
  <si>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</si>
  <si>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</si>
  <si>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</si>
  <si>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</si>
  <si>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</si>
  <si>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</si>
  <si>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</si>
  <si>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</si>
  <si>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</si>
  <si>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</si>
  <si>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</si>
  <si>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</si>
  <si>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</si>
  <si>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</si>
  <si>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</si>
  <si>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</si>
  <si>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</si>
  <si>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</si>
  <si>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</si>
  <si>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</si>
  <si>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</si>
  <si>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</si>
  <si>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</si>
  <si>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</si>
  <si>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</si>
  <si>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</si>
  <si>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</si>
  <si>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</si>
  <si>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</si>
  <si>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</si>
  <si>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</si>
  <si>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</si>
  <si>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</si>
  <si>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</si>
  <si>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</si>
  <si>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</si>
  <si>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</si>
  <si>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</si>
  <si>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</si>
  <si>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</si>
  <si>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</si>
  <si>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</si>
  <si>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</si>
  <si>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</si>
  <si>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</si>
  <si>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</si>
  <si>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</si>
  <si>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</si>
  <si>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</si>
  <si>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</si>
  <si>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</si>
  <si>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</si>
  <si>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</si>
  <si>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</si>
  <si>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</si>
  <si>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</si>
  <si>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</si>
  <si>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</si>
  <si>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</si>
  <si>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</si>
  <si>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</si>
  <si>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</si>
  <si>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</si>
  <si>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</si>
  <si>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</si>
  <si>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</si>
  <si>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</si>
  <si>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</si>
  <si>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</si>
  <si>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</si>
  <si>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</si>
  <si>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</si>
  <si>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</si>
  <si>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</si>
  <si>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</si>
  <si>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</si>
  <si>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</si>
  <si>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</si>
  <si>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</si>
  <si>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</si>
  <si>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</si>
  <si>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</si>
  <si>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</si>
  <si>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</si>
  <si>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</si>
  <si>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</si>
  <si>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</si>
  <si>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</si>
  <si>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</si>
  <si>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</si>
  <si>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</si>
  <si>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</si>
  <si>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</si>
  <si>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</si>
  <si>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</si>
  <si>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</si>
  <si>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</si>
  <si>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</si>
  <si>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</si>
  <si>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</si>
  <si>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</si>
  <si>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</si>
  <si>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</si>
  <si>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</si>
  <si>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</si>
  <si>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</si>
  <si>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</si>
  <si>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</si>
  <si>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</si>
  <si>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</si>
  <si>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</si>
  <si>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</si>
  <si>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</si>
  <si>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</si>
  <si>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</si>
  <si>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</si>
  <si>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</si>
  <si>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</si>
  <si>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</si>
  <si>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</si>
  <si>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</si>
  <si>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</si>
  <si>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</si>
  <si>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</si>
  <si>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</si>
  <si>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</si>
  <si>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</si>
  <si>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</si>
  <si>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</si>
  <si>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</si>
  <si>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</si>
  <si>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</si>
  <si>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</si>
  <si>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</si>
  <si>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</si>
  <si>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</si>
  <si>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</si>
  <si>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</si>
  <si>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</si>
  <si>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</si>
  <si>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</si>
  <si>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</si>
  <si>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</si>
  <si>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</si>
  <si>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</si>
  <si>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</si>
  <si>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</si>
  <si>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</si>
  <si>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</si>
  <si>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</si>
  <si>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</si>
  <si>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</si>
  <si>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</si>
  <si>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</si>
  <si>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</si>
  <si>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</si>
  <si>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</si>
  <si>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</si>
  <si>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</si>
  <si>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</si>
  <si>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</si>
  <si>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</si>
  <si>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</si>
  <si>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</si>
  <si>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</si>
  <si>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</si>
  <si>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</si>
  <si>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</si>
  <si>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</si>
  <si>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</si>
  <si>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</si>
  <si>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</si>
  <si>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</si>
  <si>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</si>
  <si>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</si>
  <si>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</si>
  <si>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</si>
  <si>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</si>
  <si>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</si>
  <si>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</si>
  <si>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</si>
  <si>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</si>
  <si>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</si>
  <si>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</si>
  <si>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</si>
  <si>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</si>
  <si>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</si>
  <si>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</si>
  <si>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</si>
  <si>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</si>
  <si>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</si>
  <si>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</si>
  <si>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</si>
  <si>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</si>
  <si>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</si>
  <si>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</si>
  <si>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</si>
  <si>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</si>
  <si>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</si>
  <si>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</si>
  <si>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</si>
  <si>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</si>
  <si>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</si>
  <si>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</si>
  <si>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</si>
  <si>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</si>
  <si>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</si>
  <si>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</si>
  <si>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</si>
  <si>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</si>
  <si>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</si>
  <si>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</si>
  <si>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</si>
  <si>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</si>
  <si>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</si>
  <si>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</si>
  <si>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</si>
  <si>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</si>
  <si>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</si>
  <si>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</si>
  <si>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</si>
  <si>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</si>
  <si>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</si>
  <si>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</si>
  <si>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</si>
  <si>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</si>
  <si>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</si>
  <si>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</si>
  <si>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</si>
  <si>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</si>
  <si>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</si>
  <si>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</si>
  <si>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</si>
  <si>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</si>
  <si>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</si>
  <si>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</si>
  <si>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</si>
  <si>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</si>
  <si>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</si>
  <si>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</si>
  <si>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</si>
  <si>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</si>
  <si>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</si>
  <si>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</si>
  <si>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</si>
  <si>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</si>
  <si>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</si>
  <si>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</si>
  <si>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</si>
  <si>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</si>
  <si>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</si>
  <si>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</si>
  <si>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</si>
  <si>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</si>
  <si>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</si>
  <si>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</si>
  <si>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</si>
  <si>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</si>
  <si>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</si>
  <si>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</si>
  <si>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</si>
  <si>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</si>
  <si>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</si>
  <si>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</si>
  <si>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</si>
  <si>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</si>
  <si>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</si>
  <si>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</si>
  <si>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</si>
  <si>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</si>
  <si>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</si>
  <si>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</si>
  <si>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</si>
  <si>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</si>
  <si>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</si>
  <si>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</si>
  <si>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</si>
  <si>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</si>
  <si>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</si>
  <si>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</si>
  <si>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</si>
  <si>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</si>
  <si>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</si>
  <si>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</si>
  <si>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</si>
  <si>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</si>
  <si>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</si>
  <si>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</si>
  <si>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</si>
  <si>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</si>
  <si>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</si>
  <si>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</si>
  <si>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</si>
  <si>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</si>
  <si>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</si>
  <si>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</si>
  <si>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</si>
  <si>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</si>
  <si>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</si>
  <si>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</si>
  <si>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</si>
  <si>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</si>
  <si>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</si>
  <si>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</si>
  <si>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</si>
  <si>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</si>
  <si>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</si>
  <si>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</si>
  <si>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</si>
  <si>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</si>
  <si>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</si>
  <si>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</si>
  <si>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</si>
  <si>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</si>
  <si>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</si>
  <si>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</si>
  <si>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</si>
  <si>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</si>
  <si>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</si>
  <si>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</si>
  <si>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</si>
  <si>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</si>
  <si>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</si>
  <si>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</si>
  <si>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</si>
  <si>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</si>
  <si>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</si>
  <si>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</si>
  <si>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</si>
  <si>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</si>
  <si>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</si>
  <si>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</si>
  <si>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</si>
  <si>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</si>
  <si>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</si>
  <si>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</si>
  <si>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</si>
  <si>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</si>
  <si>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</si>
  <si>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</si>
  <si>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</si>
  <si>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</si>
  <si>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</si>
  <si>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</si>
  <si>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</si>
  <si>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</si>
  <si>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</si>
  <si>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</si>
  <si>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</si>
  <si>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</si>
  <si>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</si>
  <si>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</si>
  <si>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</si>
  <si>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</si>
  <si>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</si>
  <si>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</si>
  <si>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</si>
  <si>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</si>
  <si>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</si>
  <si>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</si>
  <si>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</si>
  <si>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</si>
  <si>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</si>
  <si>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</si>
  <si>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</si>
  <si>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</si>
  <si>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</si>
  <si>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</si>
  <si>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</si>
  <si>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</si>
  <si>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</si>
  <si>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</si>
  <si>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</si>
  <si>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</si>
  <si>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</si>
  <si>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</si>
  <si>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</si>
  <si>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</si>
  <si>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</si>
  <si>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</si>
  <si>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</si>
  <si>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</si>
  <si>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</si>
  <si>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</si>
  <si>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</si>
  <si>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</si>
  <si>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</si>
  <si>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</si>
  <si>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</si>
  <si>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</si>
  <si>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</si>
  <si>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</si>
  <si>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</si>
  <si>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</si>
  <si>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</si>
  <si>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</si>
  <si>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</si>
  <si>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</si>
  <si>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</si>
  <si>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</si>
  <si>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</si>
  <si>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</si>
  <si>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</si>
  <si>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</si>
  <si>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</si>
  <si>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</si>
  <si>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</si>
  <si>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</si>
  <si>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</si>
  <si>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</si>
  <si>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</si>
  <si>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</si>
  <si>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</si>
  <si>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</si>
  <si>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</si>
  <si>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</si>
  <si>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</si>
  <si>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</si>
  <si>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</si>
  <si>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</si>
  <si>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</si>
  <si>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</si>
  <si>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</si>
  <si>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</si>
  <si>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</si>
  <si>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</si>
  <si>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</si>
  <si>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</si>
  <si>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</si>
  <si>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</si>
  <si>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</si>
  <si>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</si>
  <si>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</si>
  <si>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</si>
  <si>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</si>
  <si>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</si>
  <si>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</si>
  <si>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</si>
  <si>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</si>
  <si>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</si>
  <si>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</si>
  <si>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</si>
  <si>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</si>
  <si>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</si>
  <si>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</si>
  <si>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</si>
  <si>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</si>
  <si>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</si>
  <si>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</si>
  <si>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</si>
  <si>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</si>
  <si>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</si>
  <si>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</si>
  <si>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</si>
  <si>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</si>
  <si>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</si>
  <si>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</si>
  <si>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</si>
  <si>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</si>
  <si>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</si>
  <si>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</si>
  <si>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</si>
  <si>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</si>
  <si>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</si>
  <si>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</si>
  <si>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</si>
  <si>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</si>
  <si>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</si>
  <si>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</si>
  <si>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</si>
  <si>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</si>
  <si>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</si>
  <si>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</si>
  <si>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</si>
  <si>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</si>
  <si>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</si>
  <si>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</si>
  <si>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</si>
  <si>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</si>
  <si>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</si>
  <si>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</si>
  <si>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</si>
  <si>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</si>
  <si>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</si>
  <si>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</si>
  <si>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</si>
  <si>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</si>
  <si>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</si>
  <si>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</si>
  <si>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</si>
  <si>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</si>
  <si>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</si>
  <si>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</si>
  <si>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</si>
  <si>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</si>
  <si>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</si>
  <si>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</si>
  <si>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</si>
  <si>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</si>
  <si>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</si>
  <si>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</si>
  <si>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</si>
  <si>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</si>
  <si>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</si>
  <si>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</si>
  <si>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</si>
  <si>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</si>
  <si>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</si>
  <si>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</si>
  <si>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</si>
  <si>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</si>
  <si>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</si>
  <si>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</si>
  <si>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</si>
  <si>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</si>
  <si>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</si>
  <si>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</si>
  <si>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</si>
  <si>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</si>
  <si>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</si>
  <si>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</si>
  <si>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</si>
  <si>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</si>
  <si>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</si>
  <si>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</si>
  <si>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</si>
  <si>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</si>
  <si>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</si>
  <si>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</si>
  <si>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</si>
  <si>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</si>
  <si>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</si>
  <si>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</si>
  <si>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</si>
  <si>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</si>
  <si>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</si>
  <si>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</si>
  <si>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</si>
  <si>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</si>
  <si>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</si>
  <si>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</si>
  <si>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</si>
  <si>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</si>
  <si>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</si>
  <si>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</si>
  <si>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</si>
  <si>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</si>
  <si>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</si>
  <si>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</si>
  <si>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</si>
  <si>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</si>
  <si>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</si>
  <si>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</si>
  <si>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</si>
  <si>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</si>
  <si>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</si>
  <si>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</si>
  <si>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</si>
  <si>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</si>
  <si>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</si>
  <si>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</si>
  <si>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</si>
  <si>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</si>
  <si>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</si>
  <si>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</si>
  <si>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</si>
  <si>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</si>
  <si>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</si>
  <si>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</si>
  <si>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</si>
  <si>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</si>
  <si>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</si>
  <si>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</si>
  <si>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</si>
  <si>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</si>
  <si>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</si>
  <si>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</si>
  <si>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</si>
  <si>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</si>
  <si>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</si>
  <si>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</si>
  <si>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</si>
  <si>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</si>
  <si>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</si>
  <si>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</si>
  <si>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</si>
  <si>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</si>
  <si>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</si>
  <si>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</si>
  <si>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</si>
  <si>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</si>
  <si>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</si>
  <si>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</si>
  <si>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</si>
  <si>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</si>
  <si>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</si>
  <si>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</si>
  <si>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</si>
  <si>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</si>
  <si>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</si>
  <si>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</si>
  <si>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</si>
  <si>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</si>
  <si>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</si>
  <si>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</si>
  <si>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</si>
  <si>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</si>
  <si>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</si>
  <si>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</si>
  <si>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</si>
  <si>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</si>
  <si>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</si>
  <si>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</si>
  <si>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</si>
  <si>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</si>
  <si>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</si>
  <si>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</si>
  <si>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</si>
  <si>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</si>
  <si>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</si>
  <si>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</si>
  <si>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</si>
  <si>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</si>
  <si>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</si>
  <si>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</si>
  <si>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</si>
  <si>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</si>
  <si>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</si>
  <si>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</si>
  <si>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</si>
  <si>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</si>
  <si>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</si>
  <si>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</si>
  <si>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</si>
  <si>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</si>
  <si>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</si>
  <si>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</si>
  <si>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</si>
  <si>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</si>
  <si>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</si>
  <si>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</si>
  <si>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</si>
  <si>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</si>
  <si>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</si>
  <si>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</si>
  <si>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</si>
  <si>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</si>
  <si>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</si>
  <si>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</si>
  <si>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</si>
  <si>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</si>
  <si>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</si>
  <si>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</si>
  <si>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</si>
  <si>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</si>
  <si>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</si>
  <si>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</si>
  <si>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</si>
  <si>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</si>
  <si>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</si>
  <si>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</si>
  <si>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</si>
  <si>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</si>
  <si>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</si>
  <si>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</si>
  <si>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</si>
  <si>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</si>
  <si>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</si>
  <si>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</si>
  <si>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</si>
  <si>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</si>
  <si>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</si>
  <si>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</si>
  <si>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</si>
  <si>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</si>
  <si>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</si>
  <si>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</si>
  <si>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</si>
  <si>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</si>
  <si>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</si>
  <si>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</si>
  <si>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</si>
  <si>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</si>
  <si>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</si>
  <si>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</si>
  <si>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</si>
  <si>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</si>
  <si>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</si>
  <si>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</si>
  <si>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</si>
  <si>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</si>
  <si>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</si>
  <si>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</si>
  <si>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</si>
  <si>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</si>
  <si>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</si>
  <si>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</si>
  <si>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</si>
  <si>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</si>
  <si>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</si>
  <si>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</si>
  <si>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</si>
  <si>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</si>
  <si>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</si>
  <si>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</si>
  <si>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</si>
  <si>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</si>
  <si>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</si>
  <si>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</si>
  <si>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</si>
  <si>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</si>
  <si>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</si>
  <si>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</si>
  <si>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</si>
  <si>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</si>
  <si>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</si>
  <si>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</si>
  <si>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</si>
  <si>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</si>
  <si>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</si>
  <si>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</si>
  <si>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</si>
  <si>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</si>
  <si>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</si>
  <si>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</si>
  <si>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</si>
  <si>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</si>
  <si>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</si>
  <si>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</si>
  <si>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</si>
  <si>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</si>
  <si>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</si>
  <si>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</si>
  <si>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</si>
  <si>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</si>
  <si>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</si>
  <si>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</si>
  <si>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</si>
  <si>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</si>
  <si>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</si>
  <si>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</si>
  <si>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</si>
  <si>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</si>
  <si>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</si>
  <si>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</si>
  <si>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</si>
  <si>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</si>
  <si>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</si>
  <si>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</si>
  <si>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</si>
  <si>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</si>
  <si>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</si>
  <si>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</si>
  <si>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</si>
  <si>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</si>
  <si>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</si>
  <si>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</si>
  <si>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</si>
  <si>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</si>
  <si>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</si>
  <si>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</si>
  <si>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</si>
  <si>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</si>
  <si>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</si>
  <si>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</si>
  <si>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</si>
  <si>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</si>
  <si>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</si>
  <si>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</si>
  <si>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</si>
  <si>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</si>
  <si>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</si>
  <si>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</si>
  <si>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</si>
  <si>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</si>
  <si>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</si>
  <si>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</si>
  <si>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</si>
  <si>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</si>
  <si>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</si>
  <si>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</si>
  <si>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</si>
  <si>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</si>
  <si>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</si>
  <si>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</si>
  <si>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</si>
  <si>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</si>
  <si>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</si>
  <si>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</si>
  <si>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</si>
  <si>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</si>
  <si>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</si>
  <si>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</si>
  <si>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</si>
  <si>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</si>
  <si>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</si>
  <si>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</si>
  <si>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</si>
  <si>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</si>
  <si>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</si>
  <si>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</si>
  <si>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</si>
  <si>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</si>
  <si>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</si>
  <si>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</si>
  <si>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</si>
  <si>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</si>
  <si>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</si>
  <si>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</si>
  <si>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</si>
  <si>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</si>
  <si>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</si>
  <si>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</si>
  <si>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</si>
  <si>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</si>
  <si>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</si>
  <si>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</si>
  <si>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</si>
  <si>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</si>
  <si>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</si>
  <si>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</si>
  <si>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</si>
  <si>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</si>
  <si>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</si>
  <si>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</si>
  <si>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</si>
  <si>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</si>
  <si>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</si>
  <si>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</si>
  <si>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</si>
  <si>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</si>
  <si>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</si>
  <si>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</si>
  <si>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</si>
  <si>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</si>
  <si>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</si>
  <si>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</si>
  <si>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</si>
  <si>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</si>
  <si>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</si>
  <si>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</si>
  <si>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</si>
  <si>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</si>
  <si>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</si>
  <si>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</si>
  <si>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</si>
  <si>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</si>
  <si>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</si>
  <si>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</si>
  <si>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</si>
  <si>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</si>
  <si>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</si>
  <si>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</si>
  <si>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</si>
  <si>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</si>
  <si>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</si>
  <si>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</si>
  <si>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</si>
  <si>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</si>
  <si>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</si>
  <si>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</si>
  <si>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</si>
  <si>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</si>
  <si>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</si>
  <si>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</si>
  <si>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</si>
  <si>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</si>
  <si>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</si>
  <si>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</si>
  <si>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</si>
  <si>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</si>
  <si>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</si>
  <si>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</si>
  <si>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</si>
  <si>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</si>
  <si>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</si>
  <si>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</si>
  <si>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</si>
  <si>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</si>
  <si>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</si>
  <si>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</si>
  <si>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</si>
  <si>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</si>
  <si>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</si>
  <si>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</si>
  <si>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</si>
  <si>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</si>
  <si>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</si>
  <si>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</si>
  <si>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</si>
  <si>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</si>
  <si>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</si>
  <si>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</si>
  <si>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</si>
  <si>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</si>
  <si>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</si>
  <si>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</si>
  <si>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</si>
  <si>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</si>
  <si>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</si>
  <si>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</si>
  <si>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</si>
  <si>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</si>
  <si>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</si>
  <si>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</si>
  <si>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</si>
  <si>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</si>
  <si>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</si>
  <si>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</si>
  <si>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</si>
  <si>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</si>
  <si>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</si>
  <si>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</si>
  <si>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</si>
  <si>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</si>
  <si>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</si>
  <si>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</si>
  <si>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</si>
  <si>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</si>
  <si>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</si>
  <si>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</si>
  <si>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</si>
  <si>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</si>
  <si>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</si>
  <si>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</si>
  <si>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</si>
  <si>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</si>
  <si>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</si>
  <si>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</si>
  <si>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</si>
  <si>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</si>
  <si>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</si>
  <si>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</si>
  <si>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</si>
  <si>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</si>
  <si>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</si>
  <si>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</si>
  <si>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</si>
  <si>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</si>
  <si>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</si>
  <si>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</si>
  <si>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</si>
  <si>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</si>
  <si>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</si>
  <si>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</si>
  <si>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</si>
  <si>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</si>
  <si>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</si>
  <si>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</si>
  <si>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</si>
  <si>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</si>
  <si>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</si>
  <si>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</si>
  <si>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</si>
  <si>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</si>
  <si>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</si>
  <si>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</si>
  <si>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</si>
  <si>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</si>
  <si>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</si>
  <si>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</si>
  <si>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</si>
  <si>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</si>
  <si>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</si>
  <si>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</si>
  <si>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</si>
  <si>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</si>
  <si>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</si>
  <si>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</si>
  <si>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</si>
  <si>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</si>
  <si>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</si>
  <si>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</si>
  <si>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</si>
  <si>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</si>
  <si>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</si>
  <si>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</si>
  <si>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</si>
  <si>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</si>
  <si>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</si>
  <si>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</si>
  <si>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</si>
  <si>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</si>
  <si>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</si>
  <si>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</si>
  <si>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</si>
  <si>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</si>
  <si>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</si>
  <si>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</si>
  <si>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</si>
  <si>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</si>
  <si>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</si>
  <si>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</si>
  <si>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</si>
  <si>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</si>
  <si>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</si>
  <si>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</si>
  <si>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</si>
  <si>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</si>
  <si>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</si>
  <si>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</si>
  <si>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</si>
  <si>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</si>
  <si>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</si>
  <si>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</si>
  <si>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</si>
  <si>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</si>
  <si>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</si>
  <si>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</si>
  <si>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</si>
  <si>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</si>
  <si>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</si>
  <si>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</si>
  <si>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</si>
  <si>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</si>
  <si>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</si>
  <si>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</si>
  <si>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</si>
  <si>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</si>
  <si>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</si>
  <si>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</si>
  <si>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</si>
  <si>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</si>
  <si>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</si>
  <si>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</si>
  <si>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</si>
  <si>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</si>
  <si>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</si>
  <si>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</si>
  <si>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</si>
  <si>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</si>
  <si>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</si>
  <si>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</si>
  <si>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</si>
  <si>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</si>
  <si>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</si>
  <si>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</si>
  <si>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</si>
  <si>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</si>
  <si>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</si>
  <si>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</si>
  <si>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</si>
  <si>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</si>
  <si>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</si>
  <si>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</si>
  <si>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</si>
  <si>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</si>
  <si>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</si>
  <si>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</si>
  <si>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</si>
  <si>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</si>
  <si>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</si>
  <si>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</si>
  <si>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</si>
  <si>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</si>
  <si>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</si>
  <si>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</si>
  <si>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</si>
  <si>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</si>
  <si>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</si>
  <si>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</si>
  <si>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</si>
  <si>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</si>
  <si>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</si>
  <si>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</si>
  <si>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</si>
  <si>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</si>
  <si>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</si>
  <si>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</si>
  <si>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</si>
  <si>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</si>
  <si>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</si>
  <si>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</si>
  <si>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</si>
  <si>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</si>
  <si>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</si>
  <si>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</si>
  <si>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</si>
  <si>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</si>
  <si>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</si>
  <si>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</si>
  <si>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</si>
  <si>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</si>
  <si>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</si>
  <si>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</si>
  <si>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</si>
  <si>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</si>
  <si>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</si>
  <si>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</si>
  <si>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</si>
  <si>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</si>
  <si>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</si>
  <si>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</si>
  <si>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</si>
  <si>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</si>
  <si>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</si>
  <si>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</si>
  <si>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</si>
  <si>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</si>
  <si>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</si>
  <si>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</si>
  <si>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</si>
  <si>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</si>
  <si>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</si>
  <si>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</si>
  <si>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</si>
  <si>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</si>
  <si>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</si>
  <si>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</si>
  <si>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</si>
  <si>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</si>
  <si>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</si>
  <si>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</si>
  <si>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</si>
  <si>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</si>
  <si>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</si>
  <si>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</si>
  <si>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</si>
  <si>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</si>
  <si>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</si>
  <si>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</si>
  <si>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</si>
  <si>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</si>
  <si>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</si>
  <si>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</si>
  <si>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</si>
  <si>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</si>
  <si>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</si>
  <si>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</si>
  <si>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</si>
  <si>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</si>
  <si>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</si>
  <si>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</si>
  <si>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</si>
  <si>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</si>
  <si>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</si>
  <si>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</si>
  <si>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</si>
  <si>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</si>
  <si>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</si>
  <si>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</si>
  <si>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</si>
  <si>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</si>
  <si>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</si>
  <si>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</si>
  <si>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</si>
  <si>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</si>
  <si>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</si>
  <si>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</si>
  <si>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</si>
  <si>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</si>
  <si>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</si>
  <si>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</si>
  <si>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</si>
  <si>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</si>
  <si>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</si>
  <si>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</si>
  <si>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</si>
  <si>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</si>
  <si>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</si>
  <si>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</si>
  <si>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</si>
  <si>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</si>
  <si>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</si>
  <si>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</si>
  <si>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</si>
  <si>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</si>
  <si>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</si>
  <si>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</si>
  <si>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</si>
  <si>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</si>
  <si>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</si>
  <si>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</si>
  <si>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</si>
  <si>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</si>
  <si>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</si>
  <si>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</si>
  <si>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</si>
  <si>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</si>
  <si>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</si>
  <si>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</si>
  <si>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</si>
  <si>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</si>
  <si>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</si>
  <si>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</si>
  <si>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</si>
  <si>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</si>
  <si>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</si>
  <si>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</si>
  <si>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</si>
  <si>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</si>
  <si>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</si>
  <si>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</si>
  <si>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</si>
  <si>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</si>
  <si>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</si>
  <si>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</si>
  <si>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</si>
  <si>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</si>
  <si>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</si>
  <si>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</si>
  <si>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</si>
  <si>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</si>
  <si>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</si>
  <si>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</si>
  <si>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</si>
  <si>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</si>
  <si>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</si>
  <si>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</si>
  <si>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</si>
  <si>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</si>
  <si>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</si>
  <si>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</si>
  <si>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</si>
  <si>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</si>
  <si>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</si>
  <si>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</si>
  <si>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</si>
  <si>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</si>
  <si>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</si>
  <si>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</si>
  <si>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</si>
  <si>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</si>
  <si>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</si>
  <si>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</si>
  <si>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</si>
  <si>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</si>
  <si>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</si>
  <si>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</si>
  <si>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</si>
  <si>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</si>
  <si>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</si>
  <si>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</si>
  <si>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</si>
  <si>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</si>
  <si>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</si>
  <si>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</si>
  <si>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</si>
  <si>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</si>
  <si>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</si>
  <si>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</si>
  <si>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</si>
  <si>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</si>
  <si>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</si>
  <si>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</si>
  <si>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</si>
  <si>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</si>
  <si>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</si>
  <si>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</si>
  <si>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</si>
  <si>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</si>
  <si>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</si>
  <si>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</si>
  <si>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</si>
  <si>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</si>
  <si>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</si>
  <si>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</si>
  <si>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</si>
  <si>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</si>
  <si>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</si>
  <si>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</si>
  <si>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</si>
  <si>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</si>
  <si>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</si>
  <si>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</si>
  <si>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</si>
  <si>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</si>
  <si>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</si>
  <si>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</si>
  <si>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</si>
  <si>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</si>
  <si>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</si>
  <si>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</si>
  <si>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</si>
  <si>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</si>
  <si>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</si>
  <si>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</si>
  <si>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</si>
  <si>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</si>
  <si>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</si>
  <si>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</si>
  <si>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</si>
  <si>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</si>
  <si>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</si>
  <si>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</si>
  <si>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</si>
  <si>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</si>
  <si>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</si>
  <si>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</si>
  <si>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</si>
  <si>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</si>
  <si>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</si>
  <si>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</si>
  <si>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</si>
  <si>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</si>
  <si>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</si>
  <si>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</si>
  <si>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</si>
  <si>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</si>
  <si>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</si>
  <si>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</si>
  <si>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</si>
  <si>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</si>
  <si>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</si>
  <si>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</si>
  <si>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</si>
  <si>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</si>
  <si>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</si>
  <si>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</si>
  <si>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</si>
  <si>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</si>
  <si>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</si>
  <si>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</si>
  <si>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</si>
  <si>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</si>
  <si>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</si>
  <si>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</si>
  <si>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</si>
  <si>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</si>
  <si>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</si>
  <si>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</si>
  <si>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</si>
  <si>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</si>
  <si>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</si>
  <si>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</si>
  <si>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</si>
  <si>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</si>
  <si>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</si>
  <si>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</si>
  <si>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</si>
  <si>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</si>
  <si>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</si>
  <si>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</si>
  <si>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</si>
  <si>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</si>
  <si>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</si>
  <si>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</si>
  <si>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</si>
  <si>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</si>
  <si>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</si>
  <si>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</si>
  <si>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</si>
  <si>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</si>
  <si>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</si>
  <si>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</si>
  <si>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</si>
  <si>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</si>
  <si>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</si>
  <si>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</si>
  <si>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</si>
  <si>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</si>
  <si>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</si>
  <si>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</si>
  <si>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</si>
  <si>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</si>
  <si>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</si>
  <si>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</si>
  <si>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</si>
  <si>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</si>
  <si>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</si>
  <si>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</si>
  <si>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</si>
  <si>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</si>
  <si>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</si>
  <si>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</si>
  <si>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</si>
  <si>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</si>
  <si>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</si>
  <si>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</si>
  <si>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</si>
  <si>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</si>
  <si>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</si>
  <si>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</si>
  <si>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</si>
  <si>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</si>
  <si>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</si>
  <si>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</si>
  <si>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</si>
  <si>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</si>
  <si>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</si>
  <si>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</si>
  <si>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</si>
  <si>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</si>
  <si>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</si>
  <si>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</si>
  <si>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</si>
  <si>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</si>
  <si>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</si>
  <si>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</si>
  <si>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</si>
  <si>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</si>
  <si>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</si>
  <si>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</si>
  <si>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</si>
  <si>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</si>
  <si>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</si>
  <si>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</si>
  <si>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</si>
  <si>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</si>
  <si>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</si>
  <si>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</si>
  <si>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</si>
  <si>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</si>
  <si>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</si>
  <si>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</si>
  <si>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</si>
  <si>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</si>
  <si>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</si>
  <si>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</si>
  <si>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</si>
  <si>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</si>
  <si>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</si>
  <si>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</si>
  <si>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</si>
  <si>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</si>
  <si>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</si>
  <si>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</si>
  <si>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</si>
  <si>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</si>
  <si>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</si>
  <si>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</si>
  <si>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</si>
  <si>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</si>
  <si>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</si>
  <si>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</si>
  <si>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</si>
  <si>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</si>
  <si>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</si>
  <si>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</si>
  <si>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</si>
  <si>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</si>
  <si>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</si>
  <si>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</si>
  <si>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</si>
  <si>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</si>
  <si>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</si>
  <si>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</si>
  <si>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</si>
  <si>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</si>
  <si>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</si>
  <si>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</si>
  <si>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</si>
  <si>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</si>
  <si>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</si>
  <si>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</si>
  <si>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</si>
  <si>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</si>
  <si>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</si>
  <si>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</si>
  <si>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</si>
  <si>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</si>
  <si>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</si>
  <si>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</si>
  <si>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</si>
  <si>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</si>
  <si>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</si>
  <si>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</si>
  <si>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</si>
  <si>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</si>
  <si>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</si>
  <si>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</si>
  <si>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</si>
  <si>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</si>
  <si>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</si>
  <si>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</si>
  <si>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</si>
  <si>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</si>
  <si>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</si>
  <si>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</si>
  <si>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</si>
  <si>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</si>
  <si>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</si>
  <si>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</si>
  <si>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</si>
  <si>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</si>
  <si>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</si>
  <si>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</si>
  <si>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</si>
  <si>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</si>
  <si>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</si>
  <si>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</si>
  <si>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</si>
  <si>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</si>
  <si>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</si>
  <si>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</si>
  <si>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</si>
  <si>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</si>
  <si>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</si>
  <si>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</si>
  <si>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</si>
  <si>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</si>
  <si>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</si>
  <si>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</si>
  <si>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</si>
  <si>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</si>
  <si>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</si>
  <si>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</si>
  <si>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</si>
  <si>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</si>
  <si>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</si>
  <si>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</si>
  <si>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</si>
  <si>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</si>
  <si>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</si>
  <si>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</si>
  <si>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</si>
  <si>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</si>
  <si>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</si>
  <si>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</si>
  <si>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</si>
  <si>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</si>
  <si>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</si>
  <si>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</si>
  <si>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</si>
  <si>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</si>
  <si>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</si>
  <si>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</si>
  <si>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</si>
  <si>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</si>
  <si>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</si>
  <si>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</si>
  <si>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</si>
  <si>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</si>
  <si>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</si>
  <si>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</si>
  <si>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</si>
  <si>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</si>
  <si>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</si>
  <si>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</si>
  <si>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</si>
  <si>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</si>
  <si>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</si>
  <si>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</si>
  <si>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</si>
  <si>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</si>
  <si>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</si>
  <si>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</si>
  <si>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</si>
  <si>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</si>
  <si>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</si>
  <si>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</si>
  <si>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</si>
  <si>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</si>
  <si>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</si>
  <si>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</si>
  <si>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</si>
  <si>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</si>
  <si>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</si>
  <si>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</si>
  <si>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</si>
  <si>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</si>
  <si>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</si>
  <si>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</si>
  <si>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</si>
  <si>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</si>
  <si>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</si>
  <si>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</si>
  <si>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</si>
  <si>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</si>
  <si>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</si>
  <si>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</si>
  <si>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</si>
  <si>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</si>
  <si>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</si>
  <si>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</si>
  <si>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</si>
  <si>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</si>
  <si>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</si>
  <si>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</si>
  <si>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</si>
  <si>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</si>
  <si>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</si>
  <si>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</si>
  <si>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</si>
  <si>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</si>
  <si>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</si>
  <si>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</si>
  <si>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</si>
  <si>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</si>
  <si>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</si>
  <si>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</si>
  <si>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</si>
  <si>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</si>
  <si>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</si>
  <si>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</si>
  <si>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</si>
  <si>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</si>
  <si>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</si>
  <si>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</si>
  <si>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</si>
  <si>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</si>
  <si>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</si>
  <si>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</si>
  <si>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</si>
  <si>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</si>
  <si>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</si>
  <si>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</si>
  <si>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</si>
  <si>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</si>
  <si>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</si>
  <si>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</si>
  <si>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</si>
  <si>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</si>
  <si>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</si>
  <si>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</si>
  <si>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</si>
  <si>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</si>
  <si>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</si>
  <si>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</si>
  <si>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</si>
  <si>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</si>
  <si>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</si>
  <si>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</si>
  <si>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</si>
  <si>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</si>
  <si>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</si>
  <si>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</si>
  <si>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</si>
  <si>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</si>
  <si>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</si>
  <si>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</si>
  <si>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</si>
  <si>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</si>
  <si>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</si>
  <si>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</si>
  <si>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</si>
  <si>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</si>
  <si>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</si>
  <si>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</si>
  <si>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</si>
  <si>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</si>
  <si>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</si>
  <si>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</si>
  <si>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</si>
  <si>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</si>
  <si>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</si>
  <si>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</si>
  <si>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</si>
  <si>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</si>
  <si>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</si>
  <si>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</si>
  <si>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</si>
  <si>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</si>
  <si>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</si>
  <si>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</si>
  <si>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</si>
  <si>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</si>
  <si>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</si>
  <si>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</si>
  <si>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</si>
  <si>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</si>
  <si>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</si>
  <si>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</si>
  <si>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</si>
  <si>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</si>
  <si>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</si>
  <si>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</si>
  <si>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</si>
  <si>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</si>
  <si>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</si>
  <si>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</si>
  <si>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</si>
  <si>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</si>
  <si>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</si>
  <si>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</si>
  <si>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</si>
  <si>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</si>
  <si>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</si>
  <si>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</si>
  <si>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</si>
  <si>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</si>
  <si>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</si>
  <si>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</si>
  <si>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</si>
  <si>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</si>
  <si>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</si>
  <si>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</si>
  <si>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</si>
  <si>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</si>
  <si>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</si>
  <si>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</si>
  <si>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</si>
  <si>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</si>
  <si>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</si>
  <si>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</si>
  <si>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</si>
  <si>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</si>
  <si>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</si>
  <si>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</si>
  <si>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</si>
  <si>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</si>
  <si>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</si>
  <si>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</si>
  <si>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</si>
  <si>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</si>
  <si>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</si>
  <si>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</si>
  <si>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</si>
  <si>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</si>
  <si>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</si>
  <si>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</si>
  <si>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</si>
  <si>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</si>
  <si>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</si>
  <si>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</si>
  <si>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</si>
  <si>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</si>
  <si>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</si>
  <si>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</si>
  <si>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</si>
  <si>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</si>
  <si>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</si>
  <si>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</si>
  <si>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</si>
  <si>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</si>
  <si>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</si>
  <si>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</si>
  <si>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</si>
  <si>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</si>
  <si>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</si>
  <si>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</si>
  <si>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</si>
  <si>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</si>
  <si>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</si>
  <si>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</si>
  <si>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</si>
  <si>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</si>
  <si>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</si>
  <si>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</si>
  <si>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</si>
  <si>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</si>
  <si>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</si>
  <si>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</si>
  <si>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</si>
  <si>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</si>
  <si>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</si>
  <si>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</si>
  <si>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</si>
  <si>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</si>
  <si>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</si>
  <si>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</si>
  <si>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</si>
  <si>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</si>
  <si>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</si>
  <si>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</si>
  <si>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</si>
  <si>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</si>
  <si>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</si>
  <si>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</si>
  <si>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</si>
  <si>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</si>
  <si>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</si>
  <si>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</si>
  <si>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</si>
  <si>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</si>
  <si>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</si>
  <si>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</si>
  <si>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</si>
  <si>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</si>
  <si>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</si>
  <si>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</si>
  <si>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</si>
  <si>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</si>
  <si>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</si>
  <si>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</si>
  <si>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</si>
  <si>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</si>
  <si>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</si>
  <si>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</si>
  <si>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</si>
  <si>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</si>
  <si>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</si>
  <si>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</si>
  <si>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</si>
  <si>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</si>
  <si>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</si>
  <si>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</si>
  <si>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</si>
  <si>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</si>
  <si>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</si>
  <si>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</si>
  <si>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</si>
  <si>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</si>
  <si>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</si>
  <si>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</si>
  <si>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</si>
  <si>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</si>
  <si>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</si>
  <si>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</si>
  <si>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</si>
  <si>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</si>
  <si>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</si>
  <si>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</si>
  <si>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</si>
  <si>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</si>
  <si>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</si>
  <si>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</si>
  <si>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</si>
  <si>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</si>
  <si>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</si>
  <si>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</si>
  <si>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</si>
  <si>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</si>
  <si>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</si>
  <si>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</si>
  <si>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</si>
  <si>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</si>
  <si>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</si>
  <si>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</si>
  <si>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</si>
  <si>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</si>
  <si>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</si>
  <si>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</si>
  <si>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</si>
  <si>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</si>
  <si>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</si>
  <si>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</si>
  <si>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</si>
  <si>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</si>
  <si>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</si>
  <si>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</si>
  <si>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</si>
  <si>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</si>
  <si>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</si>
  <si>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</si>
  <si>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</si>
  <si>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</si>
  <si>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</si>
  <si>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</si>
  <si>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</si>
  <si>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</si>
  <si>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</si>
  <si>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</si>
  <si>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</si>
  <si>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</si>
  <si>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</si>
  <si>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</si>
  <si>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</si>
  <si>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</si>
  <si>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</si>
  <si>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</si>
  <si>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</si>
  <si>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</si>
  <si>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</si>
  <si>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</si>
  <si>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</si>
  <si>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</si>
  <si>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</si>
  <si>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</si>
  <si>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</si>
  <si>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</si>
  <si>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</si>
  <si>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</si>
  <si>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</si>
  <si>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</si>
  <si>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</si>
  <si>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</si>
  <si>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</si>
  <si>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</si>
  <si>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</si>
  <si>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</si>
  <si>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</si>
  <si>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</si>
  <si>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</si>
  <si>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</si>
  <si>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</si>
  <si>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</si>
  <si>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</si>
  <si>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</si>
  <si>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</si>
  <si>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</si>
  <si>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</si>
  <si>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</si>
  <si>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</si>
  <si>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</si>
  <si>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</si>
  <si>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</si>
  <si>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</si>
  <si>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</si>
  <si>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</si>
  <si>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</si>
  <si>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</si>
  <si>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</si>
  <si>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</si>
  <si>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</si>
  <si>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</si>
  <si>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</si>
  <si>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</si>
  <si>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</si>
  <si>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</si>
  <si>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</si>
  <si>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</si>
  <si>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</si>
  <si>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</si>
  <si>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</si>
  <si>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</si>
  <si>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</si>
  <si>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</si>
  <si>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</si>
  <si>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</si>
  <si>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</si>
  <si>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</si>
  <si>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</si>
  <si>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</si>
  <si>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</si>
  <si>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</si>
  <si>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</si>
  <si>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</si>
  <si>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</si>
  <si>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</si>
  <si>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</si>
  <si>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</si>
  <si>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</si>
  <si>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</si>
  <si>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</si>
  <si>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</si>
  <si>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</si>
  <si>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</si>
  <si>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</si>
  <si>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</si>
  <si>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</si>
  <si>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</si>
  <si>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</si>
  <si>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</si>
  <si>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</si>
  <si>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</si>
  <si>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</si>
  <si>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</si>
  <si>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</si>
  <si>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</si>
  <si>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</si>
  <si>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</si>
  <si>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</si>
  <si>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</si>
  <si>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</si>
  <si>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</si>
  <si>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</si>
  <si>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</si>
  <si>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</si>
  <si>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</si>
  <si>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</si>
  <si>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</si>
  <si>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</si>
  <si>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</si>
  <si>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</si>
  <si>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</si>
  <si>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</si>
  <si>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</si>
  <si>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</si>
  <si>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</si>
  <si>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</si>
  <si>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</si>
  <si>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</si>
  <si>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</si>
  <si>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</si>
  <si>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</si>
  <si>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</si>
  <si>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</si>
  <si>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</si>
  <si>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</si>
  <si>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</si>
  <si>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</si>
  <si>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</si>
  <si>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</si>
  <si>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</si>
  <si>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</si>
  <si>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</si>
  <si>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</si>
  <si>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</si>
  <si>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</si>
  <si>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</si>
  <si>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</si>
  <si>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</si>
  <si>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</si>
  <si>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</si>
  <si>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</si>
  <si>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</si>
  <si>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</si>
  <si>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</si>
  <si>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</si>
  <si>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</si>
  <si>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</si>
  <si>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</si>
  <si>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</si>
  <si>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</si>
  <si>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</si>
  <si>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</si>
  <si>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</si>
  <si>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</si>
  <si>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</si>
  <si>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</si>
  <si>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</si>
  <si>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</si>
  <si>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</si>
  <si>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</si>
  <si>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</si>
  <si>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</si>
  <si>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</si>
  <si>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</si>
  <si>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</si>
  <si>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</si>
  <si>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</si>
  <si>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</si>
  <si>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</si>
  <si>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</si>
  <si>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</si>
  <si>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</si>
  <si>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</si>
  <si>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</si>
  <si>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</si>
  <si>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</si>
  <si>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</si>
  <si>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</si>
  <si>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</si>
  <si>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</si>
  <si>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</si>
  <si>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</si>
  <si>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</si>
  <si>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</si>
  <si>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</si>
  <si>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</si>
  <si>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</si>
  <si>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</si>
  <si>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</si>
  <si>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</si>
  <si>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</si>
  <si>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</si>
  <si>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</si>
  <si>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</si>
  <si>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</si>
  <si>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</si>
  <si>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</si>
  <si>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</si>
  <si>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</si>
  <si>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</si>
  <si>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</si>
  <si>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</si>
  <si>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</si>
  <si>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</si>
  <si>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</si>
  <si>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</si>
  <si>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</si>
  <si>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</si>
  <si>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</si>
  <si>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</si>
  <si>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</si>
  <si>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</si>
  <si>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</si>
  <si>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</si>
  <si>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</si>
  <si>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</si>
  <si>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</si>
  <si>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</si>
  <si>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</si>
  <si>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</si>
  <si>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</si>
  <si>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</si>
  <si>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</si>
  <si>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</si>
  <si>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</si>
  <si>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</si>
  <si>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</si>
  <si>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</si>
  <si>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</si>
  <si>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</si>
  <si>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</si>
  <si>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</si>
  <si>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</si>
  <si>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</si>
  <si>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</si>
  <si>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</si>
  <si>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</si>
  <si>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</si>
  <si>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</si>
  <si>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</si>
  <si>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</si>
  <si>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</si>
  <si>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</si>
  <si>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</si>
  <si>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</si>
  <si>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</si>
  <si>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</si>
  <si>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</si>
  <si>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</si>
  <si>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</si>
  <si>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</si>
  <si>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</si>
  <si>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</si>
  <si>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</si>
  <si>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</si>
  <si>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</si>
  <si>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</si>
  <si>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</si>
  <si>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</si>
  <si>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</si>
  <si>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</si>
  <si>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</si>
  <si>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</si>
  <si>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</si>
  <si>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</si>
  <si>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</si>
  <si>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</si>
  <si>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</si>
  <si>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</si>
  <si>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</si>
  <si>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</si>
  <si>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</si>
  <si>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</si>
  <si>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</si>
  <si>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</si>
  <si>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</si>
  <si>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</si>
  <si>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</si>
  <si>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</si>
  <si>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</si>
  <si>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</si>
  <si>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</si>
  <si>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</si>
  <si>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</si>
  <si>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</si>
  <si>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</si>
  <si>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</si>
  <si>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</si>
  <si>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</si>
  <si>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</si>
  <si>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</si>
  <si>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</si>
  <si>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</si>
  <si>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</si>
  <si>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</si>
  <si>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</si>
  <si>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</si>
  <si>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</si>
  <si>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</si>
  <si>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</si>
  <si>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</si>
  <si>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</si>
  <si>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</si>
  <si>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</si>
  <si>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</si>
  <si>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</si>
  <si>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</si>
  <si>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</si>
  <si>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</si>
  <si>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</si>
  <si>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</si>
  <si>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</si>
  <si>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</si>
  <si>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</si>
  <si>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</si>
  <si>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</si>
  <si>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</si>
  <si>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</si>
  <si>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</si>
  <si>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</si>
  <si>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</si>
  <si>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</si>
  <si>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</si>
  <si>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</si>
  <si>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</si>
  <si>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</si>
  <si>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</si>
  <si>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</si>
  <si>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</si>
  <si>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</si>
  <si>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</si>
  <si>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</si>
  <si>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</si>
  <si>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</si>
  <si>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</si>
  <si>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</si>
  <si>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</si>
  <si>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</si>
  <si>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</si>
  <si>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</si>
  <si>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</si>
  <si>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</si>
  <si>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</si>
  <si>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</si>
  <si>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</si>
  <si>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</si>
  <si>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</si>
  <si>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</si>
  <si>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</si>
  <si>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</si>
  <si>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</si>
  <si>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</si>
  <si>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</si>
  <si>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</si>
  <si>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</si>
  <si>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</si>
  <si>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</si>
  <si>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</si>
  <si>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</si>
  <si>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</si>
  <si>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</si>
  <si>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</si>
  <si>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</si>
  <si>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</si>
  <si>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</si>
  <si>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</si>
  <si>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</si>
  <si>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</si>
  <si>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</si>
  <si>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</si>
  <si>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</si>
  <si>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</si>
  <si>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</si>
  <si>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</si>
  <si>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</si>
  <si>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</si>
  <si>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</si>
  <si>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</si>
  <si>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</si>
  <si>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</si>
  <si>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</si>
  <si>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</si>
  <si>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</si>
  <si>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</si>
  <si>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</si>
  <si>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</si>
  <si>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</si>
  <si>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</si>
  <si>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</si>
  <si>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</si>
  <si>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</si>
  <si>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</si>
  <si>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</si>
  <si>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</si>
  <si>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</si>
  <si>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</si>
  <si>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</si>
  <si>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</si>
  <si>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</si>
  <si>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</si>
  <si>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</si>
  <si>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</si>
  <si>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</si>
  <si>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</si>
  <si>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</si>
  <si>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</si>
  <si>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</si>
  <si>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</si>
  <si>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</si>
  <si>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</si>
  <si>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</si>
  <si>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</si>
  <si>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</si>
  <si>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</si>
  <si>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</si>
  <si>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</si>
  <si>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</si>
  <si>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</si>
  <si>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</si>
  <si>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</si>
  <si>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</si>
  <si>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</si>
  <si>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</si>
  <si>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</si>
  <si>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</si>
  <si>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</si>
  <si>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</si>
  <si>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</si>
  <si>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</si>
  <si>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</si>
  <si>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</si>
  <si>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</si>
  <si>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</si>
  <si>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</si>
  <si>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</si>
  <si>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</si>
  <si>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</si>
  <si>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</si>
  <si>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</si>
  <si>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</si>
  <si>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</si>
  <si>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</si>
  <si>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</si>
  <si>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</si>
  <si>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</si>
  <si>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</si>
  <si>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</si>
  <si>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</si>
  <si>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</si>
  <si>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</si>
  <si>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</si>
  <si>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</si>
  <si>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</si>
  <si>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</si>
  <si>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</si>
  <si>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</si>
  <si>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</si>
  <si>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</si>
  <si>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</si>
  <si>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</si>
  <si>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</si>
  <si>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</si>
  <si>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</si>
  <si>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</si>
  <si>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</si>
  <si>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</si>
  <si>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</si>
  <si>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</si>
  <si>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</si>
  <si>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</si>
  <si>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</si>
  <si>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</si>
  <si>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</si>
  <si>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</si>
  <si>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</si>
  <si>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</si>
  <si>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</si>
  <si>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</si>
  <si>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</si>
  <si>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</si>
  <si>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</si>
  <si>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</si>
  <si>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</si>
  <si>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</si>
  <si>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</si>
  <si>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</si>
  <si>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</si>
  <si>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</si>
  <si>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</si>
  <si>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</si>
  <si>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</si>
  <si>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</si>
  <si>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</si>
  <si>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</si>
  <si>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</si>
  <si>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</si>
  <si>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</si>
  <si>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</si>
  <si>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</si>
  <si>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</si>
  <si>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</si>
  <si>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</si>
  <si>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</si>
  <si>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</si>
  <si>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</si>
  <si>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</si>
  <si>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</si>
  <si>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</si>
  <si>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</si>
  <si>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</si>
  <si>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</si>
  <si>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</si>
  <si>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</si>
  <si>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</si>
  <si>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</si>
  <si>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</si>
  <si>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</si>
  <si>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</si>
  <si>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</si>
  <si>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</si>
  <si>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</si>
  <si>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</si>
  <si>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</si>
  <si>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</si>
  <si>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</si>
  <si>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</si>
  <si>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</si>
  <si>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</si>
  <si>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</si>
  <si>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</si>
  <si>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</si>
  <si>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</si>
  <si>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</si>
  <si>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</si>
  <si>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</si>
  <si>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</si>
  <si>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</si>
  <si>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</si>
  <si>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</si>
  <si>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</si>
  <si>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</si>
  <si>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</si>
  <si>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</si>
  <si>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</si>
  <si>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</si>
  <si>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</si>
  <si>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</si>
  <si>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</si>
  <si>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</si>
  <si>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</si>
  <si>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</si>
  <si>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</si>
  <si>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</si>
  <si>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</si>
  <si>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</si>
  <si>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</si>
  <si>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</si>
  <si>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</si>
  <si>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</si>
  <si>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</si>
  <si>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</si>
  <si>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</si>
  <si>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</si>
  <si>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</si>
  <si>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</si>
  <si>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</si>
  <si>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</si>
  <si>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</si>
  <si>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</si>
  <si>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</si>
  <si>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</si>
  <si>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</si>
  <si>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</si>
  <si>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</si>
  <si>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</si>
  <si>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</si>
  <si>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</si>
  <si>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</si>
  <si>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</si>
  <si>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</si>
  <si>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</si>
  <si>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</si>
  <si>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</si>
  <si>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</si>
  <si>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</si>
  <si>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</si>
  <si>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</si>
  <si>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</si>
  <si>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</si>
  <si>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</si>
  <si>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</si>
  <si>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</si>
  <si>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</si>
  <si>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</si>
  <si>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</si>
  <si>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</si>
  <si>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</si>
  <si>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</si>
  <si>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</si>
  <si>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</si>
  <si>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</si>
  <si>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</si>
  <si>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</si>
  <si>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</si>
  <si>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</si>
  <si>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</si>
  <si>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</si>
  <si>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</si>
  <si>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</si>
  <si>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</si>
  <si>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</si>
  <si>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</si>
  <si>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</si>
  <si>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</si>
  <si>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</si>
  <si>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</si>
  <si>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</si>
  <si>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</si>
  <si>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</si>
  <si>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</si>
  <si>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</si>
  <si>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</si>
  <si>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</si>
  <si>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</si>
  <si>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</si>
  <si>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</si>
  <si>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</si>
  <si>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</si>
  <si>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</si>
  <si>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</si>
  <si>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</si>
  <si>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</si>
  <si>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</si>
  <si>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</si>
  <si>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</si>
  <si>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</si>
  <si>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</si>
  <si>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</si>
  <si>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</si>
  <si>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</si>
  <si>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</si>
  <si>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</si>
  <si>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</si>
  <si>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</si>
  <si>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</si>
  <si>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</si>
  <si>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</si>
  <si>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</si>
  <si>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</si>
  <si>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</si>
  <si>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</si>
  <si>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</si>
  <si>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</si>
  <si>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</si>
  <si>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</si>
  <si>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</si>
  <si>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</si>
  <si>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</si>
  <si>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</si>
  <si>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</si>
  <si>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</si>
  <si>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</si>
  <si>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</si>
  <si>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</si>
  <si>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</si>
  <si>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</si>
  <si>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</si>
  <si>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</si>
  <si>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</si>
  <si>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</si>
  <si>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</si>
  <si>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</si>
  <si>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</si>
  <si>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</si>
  <si>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</si>
  <si>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</si>
  <si>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</si>
  <si>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</si>
  <si>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</si>
  <si>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</si>
  <si>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</si>
  <si>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</si>
  <si>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</si>
  <si>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</si>
  <si>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</si>
  <si>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</si>
  <si>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</si>
  <si>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</si>
  <si>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</si>
  <si>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</si>
  <si>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</si>
  <si>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</si>
  <si>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</si>
  <si>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</si>
  <si>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</si>
  <si>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</si>
  <si>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</si>
  <si>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</si>
  <si>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</si>
  <si>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</si>
  <si>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</si>
  <si>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</si>
  <si>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</si>
  <si>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</si>
  <si>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</si>
  <si>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</si>
  <si>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</si>
  <si>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</si>
  <si>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</si>
  <si>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</si>
  <si>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</si>
  <si>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</si>
  <si>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</si>
  <si>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</si>
  <si>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</si>
  <si>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</si>
  <si>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</si>
  <si>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</si>
  <si>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</si>
  <si>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</si>
  <si>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</si>
  <si>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</si>
  <si>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</si>
  <si>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</si>
  <si>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</si>
  <si>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</si>
  <si>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</si>
  <si>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</si>
  <si>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</si>
  <si>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</si>
  <si>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</si>
  <si>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</si>
  <si>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</si>
  <si>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</si>
  <si>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</si>
  <si>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</si>
  <si>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</si>
  <si>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</si>
  <si>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</si>
  <si>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</si>
  <si>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</si>
  <si>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</si>
  <si>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</si>
  <si>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</si>
  <si>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</si>
  <si>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</si>
  <si>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</si>
  <si>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</si>
  <si>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</si>
  <si>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</si>
  <si>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</si>
  <si>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</si>
  <si>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</si>
  <si>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</si>
  <si>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</si>
  <si>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</si>
  <si>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</si>
  <si>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</si>
  <si>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</si>
  <si>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</si>
  <si>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</si>
  <si>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</si>
  <si>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</si>
  <si>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</si>
  <si>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</si>
  <si>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</si>
  <si>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</si>
  <si>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</si>
  <si>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</si>
  <si>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</si>
  <si>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</si>
  <si>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</si>
  <si>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</si>
  <si>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</si>
  <si>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</si>
  <si>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</si>
  <si>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</si>
  <si>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</si>
  <si>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</si>
  <si>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</si>
  <si>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</si>
  <si>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</si>
  <si>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</si>
  <si>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</si>
  <si>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</si>
  <si>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</si>
  <si>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</si>
  <si>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</si>
  <si>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</si>
  <si>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</si>
  <si>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</si>
  <si>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</si>
  <si>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</si>
  <si>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</si>
  <si>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</si>
  <si>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</si>
  <si>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</si>
  <si>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</si>
  <si>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</si>
  <si>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</si>
  <si>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</si>
  <si>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</si>
  <si>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</si>
  <si>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</si>
  <si>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</si>
  <si>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</si>
  <si>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</si>
  <si>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</si>
  <si>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</si>
  <si>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</si>
  <si>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</si>
  <si>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</si>
  <si>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</si>
  <si>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</si>
  <si>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</si>
  <si>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</si>
  <si>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</si>
  <si>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</si>
  <si>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</si>
  <si>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</si>
  <si>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</si>
  <si>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</si>
  <si>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</si>
  <si>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</si>
  <si>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</si>
  <si>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</si>
  <si>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</si>
  <si>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</si>
  <si>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</si>
  <si>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</si>
  <si>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</si>
  <si>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</si>
  <si>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</si>
  <si>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</si>
  <si>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</si>
  <si>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</si>
  <si>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</si>
  <si>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</si>
  <si>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</si>
  <si>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</si>
  <si>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</si>
  <si>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</si>
  <si>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</si>
  <si>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</si>
  <si>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</si>
  <si>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</si>
  <si>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</si>
  <si>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</si>
  <si>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</si>
  <si>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</si>
  <si>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</si>
  <si>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</si>
  <si>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</si>
  <si>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</si>
  <si>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</si>
  <si>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</si>
  <si>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</si>
  <si>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</si>
  <si>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</si>
  <si>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</si>
  <si>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</si>
  <si>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</si>
  <si>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</si>
  <si>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</si>
  <si>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</si>
  <si>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</si>
  <si>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</si>
  <si>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</si>
  <si>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</si>
  <si>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</si>
  <si>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</si>
  <si>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</si>
  <si>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</si>
  <si>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</si>
  <si>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</si>
  <si>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</si>
  <si>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</si>
  <si>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</si>
  <si>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</si>
  <si>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</si>
  <si>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</si>
  <si>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</si>
  <si>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</si>
  <si>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</si>
  <si>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</si>
  <si>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</si>
  <si>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</si>
  <si>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</si>
  <si>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</si>
  <si>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</si>
  <si>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</si>
  <si>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</si>
  <si>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</si>
  <si>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</si>
  <si>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</si>
  <si>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</si>
  <si>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</si>
  <si>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</si>
  <si>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</si>
  <si>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</si>
  <si>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</si>
  <si>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</si>
  <si>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</si>
  <si>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</si>
  <si>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</si>
  <si>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</si>
  <si>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</si>
  <si>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</si>
  <si>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</si>
  <si>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</si>
  <si>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</si>
  <si>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</si>
  <si>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</si>
  <si>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</si>
  <si>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</si>
  <si>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</si>
  <si>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</si>
  <si>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</si>
  <si>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</si>
  <si>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</si>
  <si>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</si>
  <si>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</si>
  <si>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</si>
  <si>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</si>
  <si>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</si>
  <si>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</si>
  <si>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</si>
  <si>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</si>
  <si>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</si>
  <si>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</si>
  <si>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</si>
  <si>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</si>
  <si>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</si>
  <si>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</si>
  <si>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</si>
  <si>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</si>
  <si>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五矿信托</t>
    <phoneticPr fontId="6" type="noConversion"/>
  </si>
  <si>
    <t>香河万通房地产开发有限公司</t>
    <phoneticPr fontId="6" type="noConversion"/>
  </si>
  <si>
    <t>抵押</t>
  </si>
  <si>
    <t>抵押价格</t>
  </si>
  <si>
    <t>其他：</t>
  </si>
  <si>
    <t>河北省廊坊市</t>
    <phoneticPr fontId="6" type="noConversion"/>
  </si>
  <si>
    <t>叶凌</t>
  </si>
  <si>
    <t>刘敬东</t>
  </si>
  <si>
    <t>香河县周庄村西侧</t>
    <phoneticPr fontId="6" type="noConversion"/>
  </si>
  <si>
    <t>企业</t>
  </si>
  <si>
    <t>住宅用地（兼容商业）</t>
    <phoneticPr fontId="6" type="noConversion"/>
  </si>
  <si>
    <t>《国有建设用地使用权出让合同》</t>
    <phoneticPr fontId="6" type="noConversion"/>
  </si>
  <si>
    <t>一致</t>
  </si>
  <si>
    <t>住宅、商业用地</t>
    <phoneticPr fontId="6" type="noConversion"/>
  </si>
  <si>
    <t>商业</t>
  </si>
  <si>
    <t>车库</t>
  </si>
  <si>
    <t>否</t>
  </si>
  <si>
    <t>居住项目</t>
  </si>
  <si>
    <t>无</t>
  </si>
  <si>
    <t>平整</t>
  </si>
  <si>
    <t>通路</t>
  </si>
  <si>
    <t>通电</t>
  </si>
  <si>
    <t>通上水</t>
  </si>
  <si>
    <t>地上</t>
  </si>
  <si>
    <t>普通住宅</t>
  </si>
  <si>
    <t>联排</t>
  </si>
  <si>
    <t>叠拼</t>
  </si>
  <si>
    <t>底商</t>
  </si>
  <si>
    <t>地下</t>
  </si>
  <si>
    <t>住宅</t>
    <phoneticPr fontId="7" type="noConversion"/>
  </si>
  <si>
    <t>商业</t>
    <phoneticPr fontId="7" type="noConversion"/>
  </si>
  <si>
    <t>地下车库</t>
    <phoneticPr fontId="7" type="noConversion"/>
  </si>
  <si>
    <t>项目全部</t>
  </si>
  <si>
    <t>土地</t>
  </si>
  <si>
    <t>比较法-住宅、综合</t>
  </si>
  <si>
    <t>剩余法-待开发</t>
  </si>
  <si>
    <t>售价</t>
  </si>
  <si>
    <t>正常</t>
  </si>
  <si>
    <t>住宅</t>
    <phoneticPr fontId="21" type="noConversion"/>
  </si>
  <si>
    <t>60-70（含）</t>
  </si>
  <si>
    <t>较好</t>
  </si>
  <si>
    <t>一般</t>
  </si>
  <si>
    <t>七通</t>
  </si>
  <si>
    <t>钢混</t>
  </si>
  <si>
    <t>钢混</t>
    <phoneticPr fontId="21" type="noConversion"/>
  </si>
  <si>
    <t>较好</t>
    <phoneticPr fontId="21" type="noConversion"/>
  </si>
  <si>
    <t>一般</t>
    <phoneticPr fontId="21" type="noConversion"/>
  </si>
  <si>
    <t>精装修</t>
  </si>
  <si>
    <t>精装修</t>
    <phoneticPr fontId="21" type="noConversion"/>
  </si>
  <si>
    <t>专业</t>
  </si>
  <si>
    <t>专业</t>
    <phoneticPr fontId="21" type="noConversion"/>
  </si>
  <si>
    <t>七通</t>
    <phoneticPr fontId="21" type="noConversion"/>
  </si>
  <si>
    <t>毛坯</t>
  </si>
  <si>
    <t>毛坯</t>
    <phoneticPr fontId="21" type="noConversion"/>
  </si>
  <si>
    <t>高层板楼</t>
  </si>
  <si>
    <t>高层板楼</t>
    <phoneticPr fontId="21" type="noConversion"/>
  </si>
  <si>
    <t>单价</t>
    <phoneticPr fontId="15" type="noConversion"/>
  </si>
  <si>
    <t>面积</t>
    <phoneticPr fontId="15" type="noConversion"/>
  </si>
  <si>
    <t>总价</t>
    <phoneticPr fontId="15" type="noConversion"/>
  </si>
  <si>
    <t>平均单价</t>
    <phoneticPr fontId="15" type="noConversion"/>
  </si>
  <si>
    <t>不动产收益法</t>
  </si>
  <si>
    <t>土地（套用方法）</t>
  </si>
  <si>
    <t>押一</t>
  </si>
  <si>
    <t>按租金收入计税</t>
  </si>
  <si>
    <t>车库</t>
    <phoneticPr fontId="14" type="noConversion"/>
  </si>
  <si>
    <t>不动产收益法（2）</t>
  </si>
  <si>
    <t>不动产收益法（2）</t>
    <phoneticPr fontId="14" type="noConversion"/>
  </si>
  <si>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</si>
  <si>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</si>
  <si>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</si>
  <si>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</si>
  <si>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</si>
  <si>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</si>
  <si>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</si>
  <si>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</si>
  <si>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</si>
  <si>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</si>
  <si>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</si>
  <si>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</si>
  <si>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</si>
  <si>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</si>
  <si>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规划N3路北侧,规划永清路东侧</t>
  </si>
  <si>
    <t>廊坊市</t>
  </si>
  <si>
    <t>住宅用地</t>
  </si>
  <si>
    <t>＞1.6,≤2</t>
  </si>
  <si>
    <t>拍卖</t>
  </si>
  <si>
    <t>2019-03-15</t>
  </si>
  <si>
    <t>香河县城镇房地产综合开发有限公司</t>
  </si>
  <si>
    <t>4星</t>
  </si>
  <si>
    <t>新华大街北侧,永明路西侧</t>
  </si>
  <si>
    <t>＞1.6,≤3</t>
  </si>
  <si>
    <t>2星</t>
  </si>
  <si>
    <t>1星</t>
  </si>
  <si>
    <t>规划E4路西侧,东干渠北侧</t>
  </si>
  <si>
    <t>＞1.3,≤2.5</t>
  </si>
  <si>
    <t>规划E4路西侧,东干渠南侧</t>
  </si>
  <si>
    <t>＞1.3,≤2</t>
  </si>
  <si>
    <t>大厂回族自治县潮白佳程房地产开发有限公司</t>
  </si>
  <si>
    <t>富南道南侧,辛屯西路东侧</t>
  </si>
  <si>
    <t>东干渠北侧,规划E4路西侧</t>
  </si>
  <si>
    <t>新华大街北侧,规划N5路西侧</t>
  </si>
  <si>
    <t>香河首泰房地产开发有限公司</t>
  </si>
  <si>
    <t>大香线西侧,纬三路南侧</t>
  </si>
  <si>
    <t>＞1.3,≤1.8</t>
  </si>
  <si>
    <t>香河弘茂房地产开发有限公司</t>
  </si>
  <si>
    <t>大香线西侧,富南道南侧</t>
  </si>
  <si>
    <t>大香线西侧,纬三路北侧</t>
  </si>
  <si>
    <t>香河瑞鸿房地产开发有限公司</t>
  </si>
  <si>
    <t>民康街南侧,永安路东侧</t>
  </si>
  <si>
    <t>挂牌</t>
  </si>
  <si>
    <t>2018-12-13</t>
  </si>
  <si>
    <t>香河龙御房地产开发有限公司</t>
  </si>
  <si>
    <t>新华大街北侧,永明路西侧</t>
    <phoneticPr fontId="228" type="noConversion"/>
  </si>
  <si>
    <t>新华大街北侧,永明路西侧</t>
    <phoneticPr fontId="3" type="noConversion"/>
  </si>
  <si>
    <t>住宅</t>
    <phoneticPr fontId="26" type="noConversion"/>
  </si>
  <si>
    <t>主干道</t>
    <phoneticPr fontId="3" type="noConversion"/>
  </si>
  <si>
    <t>次干道</t>
    <phoneticPr fontId="3" type="noConversion"/>
  </si>
  <si>
    <t>70</t>
    <phoneticPr fontId="26" type="noConversion"/>
  </si>
  <si>
    <t>较适合</t>
    <phoneticPr fontId="26" type="noConversion"/>
  </si>
  <si>
    <t>较适合</t>
    <phoneticPr fontId="21" type="noConversion"/>
  </si>
  <si>
    <t>三通</t>
  </si>
  <si>
    <t>单面临街</t>
  </si>
  <si>
    <t>双面临街</t>
  </si>
  <si>
    <t>主干道</t>
  </si>
  <si>
    <t>次干道</t>
  </si>
  <si>
    <t>较规则</t>
  </si>
  <si>
    <t>较规则</t>
    <phoneticPr fontId="26" type="noConversion"/>
  </si>
  <si>
    <t>较好</t>
    <phoneticPr fontId="26" type="noConversion"/>
  </si>
  <si>
    <t>三通</t>
    <phoneticPr fontId="26" type="noConversion"/>
  </si>
  <si>
    <t>楼面地价</t>
  </si>
  <si>
    <t>《国有土地使用证》[香国用（2009）字第0349号]</t>
    <phoneticPr fontId="6" type="noConversion"/>
  </si>
  <si>
    <t>规划永盛路西侧,规划N4路南侧</t>
    <phoneticPr fontId="228" type="noConversion"/>
  </si>
  <si>
    <t>新华大街北侧,永明路西侧</t>
    <phoneticPr fontId="3" type="noConversion"/>
  </si>
  <si>
    <t>规划永盛路西侧,规划N4路南侧</t>
    <phoneticPr fontId="3" type="noConversion"/>
  </si>
  <si>
    <t>香城郦舍</t>
    <phoneticPr fontId="3" type="noConversion"/>
  </si>
  <si>
    <t>京东狮子城</t>
    <phoneticPr fontId="3" type="noConversion"/>
  </si>
  <si>
    <t>山水田园</t>
    <phoneticPr fontId="3" type="noConversion"/>
  </si>
  <si>
    <t>高层</t>
    <phoneticPr fontId="15" type="noConversion"/>
  </si>
  <si>
    <t>叠拼</t>
    <phoneticPr fontId="15" type="noConversion"/>
  </si>
  <si>
    <t>联排</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</si>
</sst>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86" fillId="0" borderId="2" xfId="0" applyNumberFormat="1" applyFont="1" applyFill="1" applyBorder="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8" borderId="0" xfId="0" applyFont="1" applyFill="1" applyAlignment="1" applyProtection="1">
      <protection locked="0"/>
    </xf>
    <xf numFmtId="0" fontId="274" fillId="8" borderId="0" xfId="0" applyFont="1" applyFill="1" applyAlignment="1" applyProtection="1">
      <protection locked="0"/>
    </xf>
    <xf numFmtId="0" fontId="81" fillId="8" borderId="0" xfId="0" applyFont="1" applyFill="1" applyAlignment="1" applyProtection="1">
      <protection locked="0"/>
    </xf>
    <xf numFmtId="177" fontId="80" fillId="8" borderId="0" xfId="0" applyNumberFormat="1" applyFont="1" applyFill="1" applyProtection="1">
      <alignment vertical="center"/>
      <protection locked="0"/>
    </xf>
    <xf numFmtId="0" fontId="0" fillId="6" borderId="0" xfId="0" applyFill="1" applyAlignment="1"/>
    <xf numFmtId="0" fontId="145" fillId="6" borderId="0" xfId="0" applyFont="1" applyFill="1" applyAlignment="1"/>
    <xf numFmtId="49" fontId="144" fillId="0" borderId="2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9</xdr:row>
      <xdr:rowOff>114093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3" cy="1657143"/>
        </a:xfrm>
        <a:prstGeom prst="rect">
          <a:avLst/>
        </a:prstGeom>
      </xdr:spPr>
    </xdr:pic>
    <xdr:clientData/>
  </xdr:twoCellAnchor>
  <xdr:twoCellAnchor editAs="oneCell">
    <xdr:from>
      <xdr:col>0</xdr:col>
      <xdr:colOff>0</xdr:colOff>
      <xdr:row>11</xdr:row>
      <xdr:rowOff>0</xdr:rowOff>
    </xdr:from>
    <xdr:to>
      <xdr:col>12</xdr:col>
      <xdr:colOff>475163</xdr:colOff>
      <xdr:row>19</xdr:row>
      <xdr:rowOff>18876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8704763" cy="1390476"/>
        </a:xfrm>
        <a:prstGeom prst="rect">
          <a:avLst/>
        </a:prstGeom>
      </xdr:spPr>
    </xdr:pic>
    <xdr:clientData/>
  </xdr:twoCellAnchor>
  <xdr:twoCellAnchor editAs="oneCell">
    <xdr:from>
      <xdr:col>0</xdr:col>
      <xdr:colOff>0</xdr:colOff>
      <xdr:row>21</xdr:row>
      <xdr:rowOff>0</xdr:rowOff>
    </xdr:from>
    <xdr:to>
      <xdr:col>12</xdr:col>
      <xdr:colOff>465639</xdr:colOff>
      <xdr:row>30</xdr:row>
      <xdr:rowOff>152188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695239" cy="1695238"/>
        </a:xfrm>
        <a:prstGeom prst="rect">
          <a:avLst/>
        </a:prstGeom>
      </xdr:spPr>
    </xdr:pic>
    <xdr:clientData/>
  </xdr:twoCellAnchor>
  <xdr:twoCellAnchor editAs="oneCell">
    <xdr:from>
      <xdr:col>14</xdr:col>
      <xdr:colOff>0</xdr:colOff>
      <xdr:row>1</xdr:row>
      <xdr:rowOff>0</xdr:rowOff>
    </xdr:from>
    <xdr:to>
      <xdr:col>27</xdr:col>
      <xdr:colOff>560791</xdr:colOff>
      <xdr:row>29</xdr:row>
      <xdr:rowOff>66067</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171450"/>
          <a:ext cx="9476191" cy="4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684601</xdr:colOff>
      <xdr:row>28</xdr:row>
      <xdr:rowOff>66067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00001" cy="4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14</xdr:row>
      <xdr:rowOff>94938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2495238"/>
        </a:xfrm>
        <a:prstGeom prst="rect">
          <a:avLst/>
        </a:prstGeom>
      </xdr:spPr>
    </xdr:pic>
    <xdr:clientData/>
  </xdr:twoCellAnchor>
  <xdr:twoCellAnchor editAs="oneCell">
    <xdr:from>
      <xdr:col>0</xdr:col>
      <xdr:colOff>0</xdr:colOff>
      <xdr:row>16</xdr:row>
      <xdr:rowOff>0</xdr:rowOff>
    </xdr:from>
    <xdr:to>
      <xdr:col>13</xdr:col>
      <xdr:colOff>179839</xdr:colOff>
      <xdr:row>29</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095239"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321;&#27827;&#22303;&#22320;&#27979;&#31639;&#34920;138&#20137;&#65288;&#19968;&#2345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不动产比较法-住宅"/>
      <sheetName val="收益还原法"/>
      <sheetName val="住宅案例"/>
      <sheetName val="不动产收益法"/>
      <sheetName val="酒店收入计算"/>
      <sheetName val="成本逼近法"/>
      <sheetName val="不动产比较法-商业"/>
      <sheetName val="不动产比较法-办公"/>
      <sheetName val="不动产比较法-工业"/>
      <sheetName val="商业案例"/>
      <sheetName val="不动产比较法-车位"/>
      <sheetName val="不动产比较法-仓储"/>
      <sheetName val="典型户型修正"/>
      <sheetName val="存贷款利率"/>
      <sheetName val="不动产收益法 (2)"/>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92000</v>
          </cell>
          <cell r="L38">
            <v>234230</v>
          </cell>
        </row>
        <row r="42">
          <cell r="C42">
            <v>69693</v>
          </cell>
        </row>
        <row r="44">
          <cell r="C44">
            <v>69693</v>
          </cell>
        </row>
        <row r="45">
          <cell r="C45" t="str">
            <v>——</v>
          </cell>
        </row>
        <row r="46">
          <cell r="C46"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河北省廊坊市香河县周庄村西侧出让国有建设用地使用权抵押价格预评估</v>
      </c>
      <c r="AX2" s="2852"/>
      <c r="AZ2" s="2852"/>
      <c r="BA2" s="2853"/>
      <c r="BC2" s="2853"/>
    </row>
    <row r="3" spans="1:55" s="2854" customFormat="1">
      <c r="A3" s="2833" t="s">
        <v>2658</v>
      </c>
      <c r="B3" s="2836" t="str">
        <f>'预评函-封皮'!B40</f>
        <v>五矿信托</v>
      </c>
    </row>
    <row r="4" spans="1:55" s="2835" customFormat="1">
      <c r="A4" s="2833" t="s">
        <v>2659</v>
      </c>
      <c r="B4" s="2834" t="str">
        <f>'预评函-封皮'!B46</f>
        <v>叶凌、刘敬东</v>
      </c>
      <c r="N4" s="2835" t="str">
        <f>'预评函-1'!A28</f>
        <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受贵公司委托，我公司对河北省廊坊市香河县周庄村西侧出让国有建设用地使用权抵押价格进行了预评估。</v>
      </c>
      <c r="AM6" s="2858"/>
    </row>
    <row r="7" spans="1:55" s="2832" customFormat="1">
      <c r="A7" s="2833" t="s">
        <v>2654</v>
      </c>
      <c r="B7" s="2834" t="str">
        <f>'预评函-1'!A6</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2019年5月21日（评估专业人员勘察现场之日）</v>
      </c>
    </row>
    <row r="11" spans="1:55" s="2832" customFormat="1">
      <c r="A11" s="2833" t="s">
        <v>2662</v>
      </c>
      <c r="B11" s="2834" t="str">
        <f>'预评函-1'!A14</f>
        <v>根据《国有土地使用证》[香国用（2009）字第0349号]，本次评估估价对象证载（地类）用途为住宅用地（兼容商业）。</v>
      </c>
    </row>
    <row r="12" spans="1:55" s="2832" customFormat="1">
      <c r="A12" s="2833" t="s">
        <v>2663</v>
      </c>
      <c r="B12" s="2834" t="str">
        <f>'预评函-1'!A15</f>
        <v>本次评估设定用途即为证载用途住宅、商业用地。</v>
      </c>
    </row>
    <row r="13" spans="1:55" s="2832" customFormat="1">
      <c r="A13" s="2833" t="s">
        <v>2664</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根据《国有土地使用证》[]，估价对象（分摊）出让国有建设用地使用权面积为200833.33平方米。根据《建设工程规划许可证》[]、《出让合同》[]，估价对象规划建筑面积为507605.151平方米。</v>
      </c>
    </row>
    <row r="16" spans="1:55" s="2832" customFormat="1">
      <c r="A16" s="2833" t="s">
        <v>2666</v>
      </c>
      <c r="B16" s="2834" t="str">
        <f>'预评函-1'!A22</f>
        <v>本次估价对象为出让国有建设用地使用权，《国有土地使用证》[香国用（2009）字第0349号]证载土地终止日期为住宅2079年8月7日、商业2049年8月7日地下车库2059年8月7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估价期日：2019年5月21日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住宅用地（兼容商业）</v>
      </c>
      <c r="AV32" s="2838"/>
    </row>
    <row r="33" spans="1:2">
      <c r="A33" s="2833" t="s">
        <v>2710</v>
      </c>
      <c r="B33" s="2834">
        <f>'预评函-2'!F5</f>
        <v>258</v>
      </c>
    </row>
    <row r="34" spans="1:2">
      <c r="A34" s="2833" t="s">
        <v>2711</v>
      </c>
      <c r="B34" s="2834" t="str">
        <f>'预评函-2'!G5</f>
        <v>住宅、商业用地</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红线外七通、宗地红线内场地平整</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200833.33</v>
      </c>
    </row>
    <row r="44" spans="1:2">
      <c r="A44" s="2833" t="s">
        <v>2737</v>
      </c>
      <c r="B44" s="2834" t="str">
        <f>'预评函-2'!O3</f>
        <v>规划建筑面积/㎡</v>
      </c>
    </row>
    <row r="45" spans="1:2">
      <c r="A45" s="2833" t="s">
        <v>2719</v>
      </c>
      <c r="B45" s="2834">
        <f>'预评函-2'!O5</f>
        <v>507605.15100000001</v>
      </c>
    </row>
    <row r="46" spans="1:2">
      <c r="A46" s="2833" t="s">
        <v>2720</v>
      </c>
      <c r="B46" s="2834">
        <f ca="1">'预评函-2'!P5</f>
        <v>7693</v>
      </c>
    </row>
    <row r="47" spans="1:2">
      <c r="A47" s="2833" t="s">
        <v>2721</v>
      </c>
      <c r="B47" s="2834">
        <f ca="1">'预评函-2'!Q5</f>
        <v>3044</v>
      </c>
    </row>
    <row r="48" spans="1:2">
      <c r="A48" s="2833" t="s">
        <v>2722</v>
      </c>
      <c r="B48" s="2834">
        <f ca="1">'预评函-2'!R5</f>
        <v>154493</v>
      </c>
    </row>
    <row r="49" spans="1:2">
      <c r="A49" s="2833" t="s">
        <v>2738</v>
      </c>
      <c r="B49" s="2834" t="str">
        <f>'预评函-2'!A6</f>
        <v>抵押价格</v>
      </c>
    </row>
    <row r="50" spans="1:2">
      <c r="A50" s="2833" t="s">
        <v>2723</v>
      </c>
      <c r="B50" s="2834">
        <f ca="1">'预评函-2'!R6</f>
        <v>154493</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2.基础设施条件：估价对象实际开发程度为红线外七通、宗地红线内；本次评估设定开发程度为红线外七通、宗地红线内场地平整。</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（1）根据估价对象《不动产权证书》——、《国有土地使用权》复印件，截至估价期日，估价对象抵押权未见登记。</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叶凌</v>
      </c>
    </row>
    <row r="70" spans="1:2">
      <c r="A70" s="2833" t="s">
        <v>2687</v>
      </c>
      <c r="B70" s="2840">
        <f ca="1">'预评函-3'!B20</f>
        <v>94010078</v>
      </c>
    </row>
    <row r="71" spans="1:2">
      <c r="A71" s="2833" t="s">
        <v>2688</v>
      </c>
      <c r="B71" s="2834" t="str">
        <f>'预评函-3'!A21</f>
        <v>刘敬东</v>
      </c>
    </row>
    <row r="72" spans="1:2" s="2848" customFormat="1" ht="15" thickBot="1">
      <c r="A72" s="2855" t="s">
        <v>2688</v>
      </c>
      <c r="B72" s="2861">
        <f ca="1">'预评函-3'!B21</f>
        <v>2000110137</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N23" sqref="N23"/>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5" t="str">
        <f>IF(B10="北京市","北京市",C10)&amp;F10&amp;B16&amp;"国有建设用地使用权"&amp;B9&amp;"预评估"</f>
        <v>河北省廊坊市香河县周庄村西侧出让国有建设用地使用权抵押价格预评估</v>
      </c>
      <c r="C1" s="3236"/>
      <c r="D1" s="3236"/>
      <c r="E1" s="3236"/>
      <c r="F1" s="3236"/>
      <c r="G1" s="3236"/>
      <c r="H1" s="3236"/>
      <c r="I1" s="3237"/>
      <c r="J1" s="1678"/>
      <c r="K1" s="2419" t="str">
        <f>IF(B10="北京市","北京市",C10)&amp;F10&amp;B16&amp;"国有建设用地使用权"&amp;B9</f>
        <v>河北省廊坊市香河县周庄村西侧出让国有建设用地使用权抵押价格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河北省廊坊市香河县周庄村西侧出让国有建设用地使用权</v>
      </c>
      <c r="L2" s="1707"/>
      <c r="M2" s="1707"/>
      <c r="N2" s="1678"/>
      <c r="O2" s="1679"/>
      <c r="P2" s="1678"/>
      <c r="Q2" s="1678"/>
      <c r="R2" s="1678"/>
      <c r="S2" s="1678"/>
      <c r="T2" s="1678"/>
      <c r="U2" s="1678"/>
    </row>
    <row r="3" spans="1:21">
      <c r="A3" s="1645" t="s">
        <v>1938</v>
      </c>
      <c r="B3" s="1646">
        <v>43606</v>
      </c>
      <c r="C3" s="1647" t="s">
        <v>1993</v>
      </c>
      <c r="D3" s="1646">
        <v>43606</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2996</v>
      </c>
      <c r="C4" s="1830">
        <f ca="1">SUMIF(土地估价师,B4,估价师及机构信息!E3:E24)</f>
        <v>94010078</v>
      </c>
      <c r="D4" s="1827" t="s">
        <v>2997</v>
      </c>
      <c r="E4" s="1830">
        <f ca="1">SUMIF(土地估价师,D4,估价师及机构信息!E3:E24)</f>
        <v>2000110137</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叶凌、刘敬东</v>
      </c>
      <c r="L4" s="1707"/>
      <c r="M4" s="1707"/>
      <c r="N4" s="1678"/>
      <c r="O4" s="1679"/>
      <c r="P4" s="1678"/>
      <c r="Q4" s="1678"/>
      <c r="R4" s="1678"/>
      <c r="S4" s="1678"/>
      <c r="T4" s="1678"/>
      <c r="U4" s="1678"/>
    </row>
    <row r="5" spans="1:21" ht="15" thickTop="1">
      <c r="A5" s="1649" t="s">
        <v>1940</v>
      </c>
      <c r="B5" s="1773" t="s">
        <v>2990</v>
      </c>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
        <v>2991</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2992</v>
      </c>
      <c r="C8" s="1655"/>
      <c r="D8" s="3241" t="s">
        <v>1943</v>
      </c>
      <c r="E8" s="1828" t="s">
        <v>2993</v>
      </c>
      <c r="F8" s="1656"/>
      <c r="G8" s="1644"/>
      <c r="H8" s="1644"/>
      <c r="I8" s="1691"/>
      <c r="J8" s="1678"/>
      <c r="K8" s="1758"/>
      <c r="L8" s="1707"/>
      <c r="M8" s="1707"/>
      <c r="N8" s="1678"/>
      <c r="O8" s="1679"/>
      <c r="P8" s="1678"/>
      <c r="Q8" s="1678"/>
      <c r="R8" s="1678"/>
      <c r="S8" s="1678"/>
      <c r="T8" s="1678"/>
      <c r="U8" s="1678"/>
    </row>
    <row r="9" spans="1:21" ht="15" thickBot="1">
      <c r="A9" s="1657" t="s">
        <v>1942</v>
      </c>
      <c r="B9" s="1658" t="s">
        <v>2993</v>
      </c>
      <c r="C9" s="1659"/>
      <c r="D9" s="3242"/>
      <c r="E9" s="1658" t="s">
        <v>951</v>
      </c>
      <c r="F9" s="1731"/>
      <c r="G9" s="1726"/>
      <c r="H9" s="1726"/>
      <c r="I9" s="1727"/>
      <c r="J9" s="1678"/>
      <c r="K9" s="1758"/>
      <c r="L9" s="1707"/>
      <c r="M9" s="1707"/>
      <c r="N9" s="1678"/>
      <c r="O9" s="1679"/>
      <c r="P9" s="1678"/>
      <c r="Q9" s="1678"/>
      <c r="R9" s="1678"/>
      <c r="S9" s="1678"/>
      <c r="T9" s="1678"/>
      <c r="U9" s="1678"/>
    </row>
    <row r="10" spans="1:21" ht="15" thickTop="1">
      <c r="A10" s="1728" t="s">
        <v>1997</v>
      </c>
      <c r="B10" s="1703" t="s">
        <v>2994</v>
      </c>
      <c r="C10" s="1660" t="s">
        <v>2995</v>
      </c>
      <c r="D10" s="1651"/>
      <c r="E10" s="1661" t="s">
        <v>1945</v>
      </c>
      <c r="F10" s="1662" t="s">
        <v>2998</v>
      </c>
      <c r="G10" s="1729"/>
      <c r="H10" s="1730"/>
      <c r="I10" s="1651"/>
      <c r="J10" s="1678"/>
      <c r="K10" s="1758"/>
      <c r="L10" s="1707"/>
      <c r="M10" s="1707"/>
      <c r="N10" s="1678"/>
      <c r="O10" s="1679"/>
      <c r="P10" s="1678"/>
      <c r="Q10" s="1678"/>
      <c r="R10" s="1678"/>
      <c r="S10" s="1678"/>
      <c r="T10" s="1678"/>
      <c r="U10" s="1678"/>
    </row>
    <row r="11" spans="1:21">
      <c r="A11" s="1681" t="s">
        <v>1998</v>
      </c>
      <c r="B11" s="1682" t="s">
        <v>2999</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8" t="s">
        <v>3000</v>
      </c>
      <c r="C12" s="3239"/>
      <c r="D12" s="3240"/>
      <c r="E12" s="1683" t="s">
        <v>2059</v>
      </c>
      <c r="F12" s="3256" t="s">
        <v>3120</v>
      </c>
      <c r="G12" s="3257"/>
      <c r="H12" s="3257"/>
      <c r="I12" s="3258"/>
      <c r="J12" s="1678"/>
      <c r="K12" s="1758"/>
      <c r="L12" s="1707"/>
      <c r="M12" s="1707"/>
      <c r="N12" s="1678"/>
      <c r="O12" s="1679"/>
      <c r="P12" s="1678"/>
      <c r="Q12" s="1678"/>
      <c r="R12" s="1678"/>
      <c r="S12" s="1678"/>
      <c r="T12" s="1678"/>
      <c r="U12" s="1678"/>
    </row>
    <row r="13" spans="1:21">
      <c r="A13" s="1671" t="s">
        <v>2057</v>
      </c>
      <c r="B13" s="3238" t="s">
        <v>3003</v>
      </c>
      <c r="C13" s="3239"/>
      <c r="D13" s="3240"/>
      <c r="E13" s="1683" t="s">
        <v>2059</v>
      </c>
      <c r="F13" s="3256" t="s">
        <v>3001</v>
      </c>
      <c r="G13" s="3257"/>
      <c r="H13" s="3257"/>
      <c r="I13" s="3258"/>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2.75">
      <c r="A16" s="1664" t="s">
        <v>1946</v>
      </c>
      <c r="B16" s="1665" t="s">
        <v>2986</v>
      </c>
      <c r="C16" s="1683" t="s">
        <v>1947</v>
      </c>
      <c r="D16" s="2610" t="s">
        <v>1948</v>
      </c>
      <c r="E16" s="1706" t="s">
        <v>3004</v>
      </c>
      <c r="F16" s="1706"/>
      <c r="G16" s="1706" t="s">
        <v>35</v>
      </c>
      <c r="H16" s="1706"/>
      <c r="I16" s="1670" t="s">
        <v>1953</v>
      </c>
      <c r="J16" s="1678"/>
      <c r="K16" s="2420" t="str">
        <f>IF(D17="","",D16&amp;TEXT(D17,"yyyy年m月d日;;"))</f>
        <v>住宅2079年8月7日</v>
      </c>
      <c r="L16" s="1683" t="str">
        <f>IF(OR(K16="",M16=""),"","、")</f>
        <v>、</v>
      </c>
      <c r="M16" s="2420" t="str">
        <f>IF(E17="","",E16&amp;TEXT(E17,"yyyy年m月d日;;"))</f>
        <v>商业2049年8月7日</v>
      </c>
      <c r="N16" s="1683" t="str">
        <f>IF(OR(M16="",O16=""),"","、")</f>
        <v/>
      </c>
      <c r="O16" s="2420" t="str">
        <f>IF(F17="","",F16&amp;TEXT(F17,"yyyy年m月d日;;"))</f>
        <v/>
      </c>
      <c r="P16" s="1683" t="str">
        <f>IF(OR(O16="",Q16=""),"","、")</f>
        <v/>
      </c>
      <c r="Q16" s="2420" t="str">
        <f>IF(G17="","",G16&amp;TEXT(G17,"yyyy年m月d日;;"))</f>
        <v>地下车库2059年8月7日</v>
      </c>
      <c r="R16" s="1683" t="str">
        <f>IF(OR(Q16="",S16=""),"","、")</f>
        <v/>
      </c>
      <c r="S16" s="2420" t="str">
        <f>IF(H17="","",H16&amp;TEXT(H17,"yyyy年m月d日;;"))</f>
        <v/>
      </c>
      <c r="T16" s="1683" t="str">
        <f>IF(OR(S16="",U16=""),"","、")</f>
        <v/>
      </c>
      <c r="U16" s="2420" t="str">
        <f>IF(I17="","",I16&amp;TEXT(I17,"yyyy年m月d日;;"))</f>
        <v/>
      </c>
    </row>
    <row r="17" spans="1:21">
      <c r="A17" s="1747"/>
      <c r="B17" s="1666"/>
      <c r="C17" s="1667" t="s">
        <v>1954</v>
      </c>
      <c r="D17" s="1684">
        <v>65599</v>
      </c>
      <c r="E17" s="1684">
        <v>54642</v>
      </c>
      <c r="F17" s="1684"/>
      <c r="G17" s="1684">
        <v>58294</v>
      </c>
      <c r="H17" s="1684"/>
      <c r="I17" s="1684"/>
      <c r="J17" s="1678"/>
      <c r="K17" s="2419" t="str">
        <f>CONCATENATE(K16,L16,M16,N16,O16,P16,Q16,R16,S16,T16,,U16)</f>
        <v>住宅2079年8月7日、商业2049年8月7日地下车库2059年8月7日</v>
      </c>
      <c r="L17" s="1707"/>
      <c r="M17" s="1707"/>
      <c r="N17" s="1678"/>
      <c r="O17" s="1679"/>
      <c r="P17" s="1678"/>
      <c r="Q17" s="1678"/>
      <c r="R17" s="1678"/>
      <c r="S17" s="1678"/>
      <c r="T17" s="1678"/>
      <c r="U17" s="1678"/>
    </row>
    <row r="18" spans="1:21">
      <c r="A18" s="1747"/>
      <c r="B18" s="1666"/>
      <c r="C18" s="1667" t="s">
        <v>1955</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60.25</v>
      </c>
      <c r="E19" s="1669">
        <f>IF(B16="出让",IF(E17="","",ROUNDDOWN(MIN((E17-$D$3)/365,E18),2)),E18)</f>
        <v>30.23</v>
      </c>
      <c r="F19" s="1669" t="str">
        <f>IF(B16="出让",IF(F17="","",ROUNDDOWN(MIN((F17-$D$3)/365,F18),2)),F18)</f>
        <v/>
      </c>
      <c r="G19" s="1669">
        <f>IF(B16="出让",IF(G17="","",ROUNDDOWN(MIN((G17-$D$3)/365,G18),2)),G18)</f>
        <v>40.24</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3"/>
      <c r="E20" s="3254"/>
      <c r="F20" s="3254"/>
      <c r="G20" s="3254"/>
      <c r="H20" s="3254"/>
      <c r="I20" s="3255"/>
      <c r="J20" s="1678"/>
      <c r="K20" s="1758"/>
      <c r="L20" s="1707"/>
      <c r="M20" s="1707"/>
      <c r="N20" s="1678"/>
      <c r="O20" s="1679"/>
      <c r="P20" s="1678"/>
      <c r="Q20" s="1678"/>
      <c r="R20" s="1678"/>
      <c r="S20" s="1678"/>
      <c r="T20" s="1678"/>
      <c r="U20" s="1678"/>
    </row>
    <row r="21" spans="1:21">
      <c r="A21" s="1747" t="s">
        <v>1957</v>
      </c>
      <c r="B21" s="1748" t="s">
        <v>1958</v>
      </c>
      <c r="C21" s="1743">
        <f>'数据-汇总表'!E3</f>
        <v>507605.15100000001</v>
      </c>
      <c r="D21" s="1744" t="s">
        <v>1959</v>
      </c>
      <c r="E21" s="3243" t="s">
        <v>1996</v>
      </c>
      <c r="F21" s="3244"/>
      <c r="G21" s="3244"/>
      <c r="H21" s="3244"/>
      <c r="I21" s="3245"/>
      <c r="J21" s="1678"/>
      <c r="K21" s="1758"/>
      <c r="L21" s="1707"/>
      <c r="M21" s="1707"/>
      <c r="N21" s="1678"/>
      <c r="O21" s="1679"/>
      <c r="P21" s="1678"/>
      <c r="Q21" s="1678"/>
      <c r="R21" s="1678"/>
      <c r="S21" s="1678"/>
      <c r="T21" s="1678"/>
      <c r="U21" s="1678"/>
    </row>
    <row r="22" spans="1:21">
      <c r="A22" s="3097" t="s">
        <v>951</v>
      </c>
      <c r="B22" s="1645" t="s">
        <v>1960</v>
      </c>
      <c r="C22" s="1670">
        <f>'数据-汇总表'!D3</f>
        <v>200833.33</v>
      </c>
      <c r="D22" s="1671" t="s">
        <v>1959</v>
      </c>
      <c r="E22" s="3243" t="s">
        <v>2886</v>
      </c>
      <c r="F22" s="3244"/>
      <c r="G22" s="3244"/>
      <c r="H22" s="3244"/>
      <c r="I22" s="3245"/>
      <c r="J22" s="1678"/>
      <c r="K22" s="1758"/>
      <c r="L22" s="1707"/>
      <c r="M22" s="1707"/>
      <c r="N22" s="1678"/>
      <c r="O22" s="1679"/>
      <c r="P22" s="1678"/>
      <c r="Q22" s="1678"/>
      <c r="R22" s="1678"/>
      <c r="S22" s="1678"/>
      <c r="T22" s="1678"/>
      <c r="U22" s="1678"/>
    </row>
    <row r="23" spans="1:21" ht="43.5" thickBot="1">
      <c r="A23" s="1749" t="s">
        <v>1961</v>
      </c>
      <c r="B23" s="1685" t="s">
        <v>1962</v>
      </c>
      <c r="C23" s="1686" t="s">
        <v>3006</v>
      </c>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6" t="s">
        <v>1965</v>
      </c>
      <c r="C24" s="3247"/>
      <c r="D24" s="3248" t="s">
        <v>1966</v>
      </c>
      <c r="E24" s="3249"/>
      <c r="F24" s="1692" t="s">
        <v>1967</v>
      </c>
      <c r="G24" s="1678"/>
      <c r="H24" s="1678"/>
      <c r="I24" s="1691"/>
      <c r="J24" s="1678"/>
      <c r="K24" s="3234" t="s">
        <v>1968</v>
      </c>
      <c r="L24" s="2421"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951</v>
      </c>
      <c r="D25" s="1694"/>
      <c r="E25" s="1695" t="s">
        <v>951</v>
      </c>
      <c r="F25" s="1696"/>
      <c r="G25" s="1678"/>
      <c r="H25" s="1678"/>
      <c r="I25" s="1691"/>
      <c r="J25" s="1678"/>
      <c r="K25" s="323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3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1" t="s">
        <v>1999</v>
      </c>
      <c r="B31" s="1748" t="s">
        <v>2000</v>
      </c>
      <c r="C31" s="3259" t="s">
        <v>3007</v>
      </c>
      <c r="D31" s="3260"/>
      <c r="E31" s="1678"/>
      <c r="F31" s="1678"/>
      <c r="G31" s="1678"/>
      <c r="H31" s="1678"/>
      <c r="I31" s="1691"/>
      <c r="J31" s="1678"/>
      <c r="K31" s="2422"/>
      <c r="L31" s="1678"/>
      <c r="M31" s="1678"/>
      <c r="N31" s="1678"/>
      <c r="O31" s="1678"/>
      <c r="P31" s="1678"/>
      <c r="Q31" s="1678"/>
      <c r="R31" s="1678"/>
      <c r="S31" s="1678"/>
      <c r="T31" s="1678"/>
      <c r="U31" s="1678"/>
    </row>
    <row r="32" spans="1:21">
      <c r="A32" s="3261"/>
      <c r="B32" s="1645" t="s">
        <v>2001</v>
      </c>
      <c r="C32" s="1703" t="s">
        <v>3008</v>
      </c>
      <c r="D32" s="1704"/>
      <c r="E32" s="1678"/>
      <c r="F32" s="1678"/>
      <c r="G32" s="1678"/>
      <c r="H32" s="1678"/>
      <c r="I32" s="1691"/>
      <c r="J32" s="1678"/>
      <c r="K32" s="2422"/>
      <c r="L32" s="1678"/>
      <c r="M32" s="1678"/>
      <c r="N32" s="1678"/>
      <c r="O32" s="1678"/>
      <c r="P32" s="1678"/>
      <c r="Q32" s="1678"/>
      <c r="R32" s="1678"/>
      <c r="S32" s="1678"/>
      <c r="T32" s="1678"/>
      <c r="U32" s="1678"/>
    </row>
    <row r="33" spans="1:21">
      <c r="A33" s="3261"/>
      <c r="B33" s="1645" t="s">
        <v>2002</v>
      </c>
      <c r="C33" s="1705" t="s">
        <v>3006</v>
      </c>
      <c r="D33" s="1822"/>
      <c r="E33" s="1678"/>
      <c r="F33" s="1678"/>
      <c r="G33" s="1678"/>
      <c r="H33" s="1678"/>
      <c r="I33" s="1691"/>
      <c r="J33" s="1678"/>
      <c r="K33" s="2422"/>
      <c r="L33" s="1678"/>
      <c r="M33" s="1678"/>
      <c r="N33" s="1678"/>
      <c r="O33" s="1678"/>
      <c r="P33" s="1678"/>
      <c r="Q33" s="1678"/>
      <c r="R33" s="1678"/>
      <c r="S33" s="1678"/>
      <c r="T33" s="1678"/>
      <c r="U33" s="1678"/>
    </row>
    <row r="34" spans="1:21">
      <c r="A34" s="3262"/>
      <c r="B34" s="1645" t="s">
        <v>2003</v>
      </c>
      <c r="C34" s="3263"/>
      <c r="D34" s="3264"/>
      <c r="E34" s="1678"/>
      <c r="F34" s="1678"/>
      <c r="G34" s="1678"/>
      <c r="H34" s="1678"/>
      <c r="I34" s="1691"/>
      <c r="J34" s="1678"/>
      <c r="K34" s="2422"/>
      <c r="L34" s="1678"/>
      <c r="M34" s="1678"/>
      <c r="N34" s="1678"/>
      <c r="O34" s="1678"/>
      <c r="P34" s="1678"/>
      <c r="Q34" s="1678"/>
      <c r="R34" s="1678"/>
      <c r="S34" s="1678"/>
      <c r="T34" s="1678"/>
      <c r="U34" s="1678"/>
    </row>
    <row r="35" spans="1:21">
      <c r="A35" s="3265" t="s">
        <v>846</v>
      </c>
      <c r="B35" s="1706"/>
      <c r="C35" s="1760" t="str">
        <f>IF(B35="场地平整","——","具体情况：")</f>
        <v>具体情况：</v>
      </c>
      <c r="D35" s="3267"/>
      <c r="E35" s="3268"/>
      <c r="F35" s="3268"/>
      <c r="G35" s="3268"/>
      <c r="H35" s="3268"/>
      <c r="I35" s="3269"/>
      <c r="J35" s="1678"/>
      <c r="K35" s="1759"/>
      <c r="L35" s="1707"/>
      <c r="M35" s="1707"/>
      <c r="N35" s="1678"/>
      <c r="O35" s="1679"/>
      <c r="P35" s="1678"/>
      <c r="Q35" s="1678"/>
      <c r="R35" s="1678"/>
      <c r="S35" s="1678"/>
      <c r="T35" s="1678"/>
      <c r="U35" s="1678"/>
    </row>
    <row r="36" spans="1:21">
      <c r="A36" s="3261"/>
      <c r="B36" s="3270" t="s">
        <v>2052</v>
      </c>
      <c r="C36" s="3271"/>
      <c r="D36" s="1776" t="s">
        <v>3009</v>
      </c>
      <c r="E36" s="3272"/>
      <c r="F36" s="3272"/>
      <c r="G36" s="1671" t="str">
        <f>IF(B35="场地未平整","估价结果处理","")</f>
        <v/>
      </c>
      <c r="H36" s="3273"/>
      <c r="I36" s="3273"/>
      <c r="J36" s="1678"/>
      <c r="K36" s="1759"/>
      <c r="L36" s="1707"/>
      <c r="M36" s="1707"/>
      <c r="N36" s="1678"/>
      <c r="O36" s="1679"/>
      <c r="P36" s="1678"/>
      <c r="Q36" s="1678"/>
      <c r="R36" s="1678"/>
      <c r="S36" s="1678"/>
      <c r="T36" s="1678"/>
      <c r="U36" s="1678"/>
    </row>
    <row r="37" spans="1:21" ht="28.5">
      <c r="A37" s="3261"/>
      <c r="B37" s="3250"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1"/>
      <c r="B38" s="3251"/>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2"/>
      <c r="B39" s="325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3010</v>
      </c>
      <c r="C40" s="1674" t="s">
        <v>3011</v>
      </c>
      <c r="D40" s="1674" t="s">
        <v>3012</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3" t="s">
        <v>1983</v>
      </c>
      <c r="T40" s="1715" t="str">
        <f>NUMBERSTRING(7-K40,1)&amp;"通"</f>
        <v>七通</v>
      </c>
      <c r="U40" s="1678"/>
    </row>
    <row r="41" spans="1:21" ht="28.5">
      <c r="A41" s="1647"/>
      <c r="B41" s="3266" t="s">
        <v>1720</v>
      </c>
      <c r="C41" s="3266"/>
      <c r="D41" s="3266"/>
      <c r="E41" s="3266"/>
      <c r="F41" s="1716" t="str">
        <f>C10</f>
        <v>河北省廊坊市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33"/>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Z13" sqref="AZ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5" style="15" customWidth="1"/>
    <col min="10" max="10" width="10.875" style="15" customWidth="1"/>
    <col min="11" max="11" width="11" style="15" customWidth="1"/>
    <col min="12" max="12" width="10.25" style="15" customWidth="1"/>
    <col min="13" max="14" width="9.5" style="15" customWidth="1"/>
    <col min="15" max="15" width="9.875" style="15" customWidth="1"/>
    <col min="16" max="16" width="9.75" style="15" customWidth="1"/>
    <col min="17" max="17" width="10.62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166</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200833.33</v>
      </c>
      <c r="B3" s="22">
        <f>IF(C3="否",G5-AT5,G5)</f>
        <v>507605.15100000001</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167</v>
      </c>
      <c r="B5" s="989"/>
      <c r="C5" s="989"/>
      <c r="D5" s="996"/>
      <c r="E5" s="27" t="s">
        <v>1</v>
      </c>
      <c r="F5" s="27">
        <f>SUM(F13:F572)</f>
        <v>0</v>
      </c>
      <c r="G5" s="27">
        <f>SUM(G13:G572)</f>
        <v>526588.951</v>
      </c>
      <c r="H5" s="27">
        <f t="shared" ref="H5:AT5" si="0">SUM(H13:H641)</f>
        <v>492240.16899999999</v>
      </c>
      <c r="I5" s="27">
        <f t="shared" si="0"/>
        <v>301560</v>
      </c>
      <c r="J5" s="27">
        <f t="shared" si="0"/>
        <v>0</v>
      </c>
      <c r="K5" s="27">
        <f t="shared" si="0"/>
        <v>16960</v>
      </c>
      <c r="L5" s="27">
        <f t="shared" si="0"/>
        <v>0</v>
      </c>
      <c r="M5" s="27">
        <f t="shared" si="0"/>
        <v>31000</v>
      </c>
      <c r="N5" s="27">
        <f t="shared" si="0"/>
        <v>0</v>
      </c>
      <c r="O5" s="27">
        <f t="shared" si="0"/>
        <v>7459.4</v>
      </c>
      <c r="P5" s="27">
        <f t="shared" si="0"/>
        <v>0</v>
      </c>
      <c r="Q5" s="27">
        <f t="shared" si="0"/>
        <v>135260.769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15364.982</v>
      </c>
      <c r="AD5" s="27">
        <f t="shared" si="0"/>
        <v>3920</v>
      </c>
      <c r="AE5" s="27">
        <f t="shared" si="0"/>
        <v>0</v>
      </c>
      <c r="AF5" s="27">
        <f t="shared" si="0"/>
        <v>0</v>
      </c>
      <c r="AG5" s="27">
        <f t="shared" si="0"/>
        <v>0</v>
      </c>
      <c r="AH5" s="27">
        <f t="shared" si="0"/>
        <v>600</v>
      </c>
      <c r="AI5" s="27">
        <f t="shared" si="0"/>
        <v>0</v>
      </c>
      <c r="AJ5" s="27">
        <f t="shared" si="0"/>
        <v>0</v>
      </c>
      <c r="AK5" s="27">
        <f t="shared" si="0"/>
        <v>0</v>
      </c>
      <c r="AL5" s="27">
        <f t="shared" si="0"/>
        <v>0</v>
      </c>
      <c r="AM5" s="27">
        <f t="shared" si="0"/>
        <v>0</v>
      </c>
      <c r="AN5" s="27">
        <f t="shared" si="0"/>
        <v>10844.982</v>
      </c>
      <c r="AO5" s="27">
        <f t="shared" si="0"/>
        <v>0</v>
      </c>
      <c r="AP5" s="27">
        <f t="shared" si="0"/>
        <v>0</v>
      </c>
      <c r="AQ5" s="27">
        <f t="shared" si="0"/>
        <v>0</v>
      </c>
      <c r="AR5" s="27">
        <f t="shared" si="0"/>
        <v>0</v>
      </c>
      <c r="AS5" s="27">
        <f t="shared" si="0"/>
        <v>0</v>
      </c>
      <c r="AT5" s="27">
        <f t="shared" si="0"/>
        <v>18983.8</v>
      </c>
      <c r="AU5" s="988"/>
      <c r="AV5" s="26" t="s">
        <v>167</v>
      </c>
      <c r="AW5" s="989"/>
      <c r="AX5" s="989"/>
      <c r="AY5" s="28" t="s">
        <v>3</v>
      </c>
      <c r="AZ5" s="29">
        <f t="shared" ref="AZ5:BT5" si="1">SUM(AZ13:AZ641)</f>
        <v>507605.15100000001</v>
      </c>
      <c r="BA5" s="29">
        <f t="shared" si="1"/>
        <v>492240.16899999999</v>
      </c>
      <c r="BB5" s="29">
        <f t="shared" si="1"/>
        <v>301560</v>
      </c>
      <c r="BC5" s="29">
        <f t="shared" si="1"/>
        <v>16960</v>
      </c>
      <c r="BD5" s="29">
        <f t="shared" si="1"/>
        <v>31000</v>
      </c>
      <c r="BE5" s="29">
        <f t="shared" si="1"/>
        <v>7459.4</v>
      </c>
      <c r="BF5" s="29">
        <f t="shared" si="1"/>
        <v>135260.769</v>
      </c>
      <c r="BG5" s="29">
        <f t="shared" si="1"/>
        <v>0</v>
      </c>
      <c r="BH5" s="29">
        <f t="shared" si="1"/>
        <v>0</v>
      </c>
      <c r="BI5" s="29">
        <f t="shared" si="1"/>
        <v>0</v>
      </c>
      <c r="BJ5" s="29">
        <f t="shared" si="1"/>
        <v>0</v>
      </c>
      <c r="BK5" s="29">
        <f t="shared" si="1"/>
        <v>0</v>
      </c>
      <c r="BL5" s="29">
        <f t="shared" si="1"/>
        <v>15364.982</v>
      </c>
      <c r="BM5" s="29">
        <f t="shared" si="1"/>
        <v>3920</v>
      </c>
      <c r="BN5" s="29">
        <f t="shared" si="1"/>
        <v>0</v>
      </c>
      <c r="BO5" s="29">
        <f t="shared" si="1"/>
        <v>600</v>
      </c>
      <c r="BP5" s="29">
        <f t="shared" si="1"/>
        <v>0</v>
      </c>
      <c r="BQ5" s="29">
        <f t="shared" si="1"/>
        <v>0</v>
      </c>
      <c r="BR5" s="29">
        <f t="shared" si="1"/>
        <v>10844.982</v>
      </c>
      <c r="BS5" s="29">
        <f t="shared" si="1"/>
        <v>0</v>
      </c>
      <c r="BT5" s="30">
        <f t="shared" si="1"/>
        <v>0</v>
      </c>
    </row>
    <row r="6" spans="1:72" s="37" customFormat="1" ht="12.75">
      <c r="A6" s="26" t="s">
        <v>168</v>
      </c>
      <c r="B6" s="31"/>
      <c r="C6" s="31"/>
      <c r="D6" s="32"/>
      <c r="E6" s="27">
        <f>H6+AC6+AT6</f>
        <v>200833.32</v>
      </c>
      <c r="F6" s="27" t="s">
        <v>1</v>
      </c>
      <c r="G6" s="27" t="s">
        <v>2</v>
      </c>
      <c r="H6" s="33">
        <f>SUMIF(I$12:AB$12,"总值",I6:AB6)</f>
        <v>194754.19</v>
      </c>
      <c r="I6" s="27">
        <f t="shared" ref="I6:AB6" si="2">ROUND($A$3*I5/$B$3,2)</f>
        <v>119311.83</v>
      </c>
      <c r="J6" s="27">
        <f t="shared" si="2"/>
        <v>0</v>
      </c>
      <c r="K6" s="27">
        <f t="shared" si="2"/>
        <v>6710.2</v>
      </c>
      <c r="L6" s="27">
        <f t="shared" si="2"/>
        <v>0</v>
      </c>
      <c r="M6" s="27">
        <f t="shared" si="2"/>
        <v>12265.11</v>
      </c>
      <c r="N6" s="27">
        <f t="shared" si="2"/>
        <v>0</v>
      </c>
      <c r="O6" s="27">
        <f t="shared" si="2"/>
        <v>2951.3</v>
      </c>
      <c r="P6" s="27">
        <f t="shared" si="2"/>
        <v>0</v>
      </c>
      <c r="Q6" s="27">
        <f t="shared" si="2"/>
        <v>53515.75</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6079.13</v>
      </c>
      <c r="AD6" s="27">
        <f t="shared" ref="AD6:AS6" si="3">ROUND($A$3*AD5/$B$3,2)</f>
        <v>1550.94</v>
      </c>
      <c r="AE6" s="27">
        <f t="shared" si="3"/>
        <v>0</v>
      </c>
      <c r="AF6" s="27">
        <f t="shared" si="3"/>
        <v>0</v>
      </c>
      <c r="AG6" s="27">
        <f t="shared" si="3"/>
        <v>0</v>
      </c>
      <c r="AH6" s="27">
        <f t="shared" si="3"/>
        <v>237.39</v>
      </c>
      <c r="AI6" s="27">
        <f t="shared" si="3"/>
        <v>0</v>
      </c>
      <c r="AJ6" s="27">
        <f t="shared" si="3"/>
        <v>0</v>
      </c>
      <c r="AK6" s="27">
        <f t="shared" si="3"/>
        <v>0</v>
      </c>
      <c r="AL6" s="27">
        <f t="shared" si="3"/>
        <v>0</v>
      </c>
      <c r="AM6" s="27">
        <f t="shared" si="3"/>
        <v>0</v>
      </c>
      <c r="AN6" s="27">
        <f t="shared" si="3"/>
        <v>4290.8</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200833.33</v>
      </c>
      <c r="AZ6" s="27" t="s">
        <v>3</v>
      </c>
      <c r="BA6" s="27">
        <f>ROUND($AY$6*BA5/$AZ$5,2)</f>
        <v>194754.19</v>
      </c>
      <c r="BB6" s="27">
        <f>ROUND($AY$6*BB5/$AZ$5,2)</f>
        <v>119311.83</v>
      </c>
      <c r="BC6" s="27">
        <f t="shared" ref="BC6:BH6" si="4">ROUND($AY$6*BC5/$AZ$5,2)</f>
        <v>6710.2</v>
      </c>
      <c r="BD6" s="27">
        <f t="shared" si="4"/>
        <v>12265.11</v>
      </c>
      <c r="BE6" s="27">
        <f t="shared" si="4"/>
        <v>2951.3</v>
      </c>
      <c r="BF6" s="27">
        <f t="shared" si="4"/>
        <v>53515.75</v>
      </c>
      <c r="BG6" s="27">
        <f t="shared" si="4"/>
        <v>0</v>
      </c>
      <c r="BH6" s="27">
        <f t="shared" si="4"/>
        <v>0</v>
      </c>
      <c r="BI6" s="27">
        <f t="shared" ref="BI6:BT6" si="5">ROUND($AY$6*BI5/$AZ$5,2)</f>
        <v>0</v>
      </c>
      <c r="BJ6" s="27">
        <f t="shared" si="5"/>
        <v>0</v>
      </c>
      <c r="BK6" s="27">
        <f t="shared" si="5"/>
        <v>0</v>
      </c>
      <c r="BL6" s="27">
        <f t="shared" si="5"/>
        <v>6079.14</v>
      </c>
      <c r="BM6" s="27">
        <f t="shared" si="5"/>
        <v>1550.94</v>
      </c>
      <c r="BN6" s="27">
        <f t="shared" si="5"/>
        <v>0</v>
      </c>
      <c r="BO6" s="27">
        <f t="shared" si="5"/>
        <v>237.39</v>
      </c>
      <c r="BP6" s="27">
        <f t="shared" si="5"/>
        <v>0</v>
      </c>
      <c r="BQ6" s="27">
        <f t="shared" si="5"/>
        <v>0</v>
      </c>
      <c r="BR6" s="27">
        <f t="shared" si="5"/>
        <v>4290.8</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82"/>
      <c r="AT8" s="2313"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2971" t="s">
        <v>3013</v>
      </c>
      <c r="J9" s="51"/>
      <c r="K9" s="2971" t="s">
        <v>3013</v>
      </c>
      <c r="L9" s="51"/>
      <c r="M9" s="2971" t="s">
        <v>3013</v>
      </c>
      <c r="N9" s="51"/>
      <c r="O9" s="59" t="s">
        <v>3013</v>
      </c>
      <c r="P9" s="51"/>
      <c r="Q9" s="59" t="s">
        <v>3018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3" t="s">
        <v>190</v>
      </c>
      <c r="AQ9" s="1185"/>
      <c r="AR9" s="1183" t="s">
        <v>191</v>
      </c>
      <c r="AS9" s="2314"/>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t="s">
        <v>922</v>
      </c>
      <c r="L10" s="51"/>
      <c r="M10" s="2973" t="s">
        <v>922</v>
      </c>
      <c r="N10" s="51"/>
      <c r="O10" s="66" t="s">
        <v>3004</v>
      </c>
      <c r="P10" s="51"/>
      <c r="Q10" s="66" t="s">
        <v>3005</v>
      </c>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197</v>
      </c>
      <c r="AO10" s="61"/>
      <c r="AP10" s="1183" t="s">
        <v>198</v>
      </c>
      <c r="AQ10" s="1185"/>
      <c r="AR10" s="1183" t="s">
        <v>198</v>
      </c>
      <c r="AS10" s="1185"/>
      <c r="AT10" s="45"/>
      <c r="AU10" s="45"/>
      <c r="AV10" s="55"/>
      <c r="AW10" s="1003"/>
      <c r="AX10" s="55"/>
      <c r="AY10" s="62"/>
      <c r="AZ10" s="62"/>
      <c r="BA10" s="67" t="s">
        <v>192</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3014</v>
      </c>
      <c r="J11" s="71"/>
      <c r="K11" s="2972" t="s">
        <v>3015</v>
      </c>
      <c r="L11" s="71"/>
      <c r="M11" s="70" t="s">
        <v>3016</v>
      </c>
      <c r="N11" s="71"/>
      <c r="O11" s="70" t="s">
        <v>3017</v>
      </c>
      <c r="P11" s="71"/>
      <c r="Q11" s="70" t="s">
        <v>3005</v>
      </c>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2" t="s">
        <v>199</v>
      </c>
      <c r="AQ12" s="1182" t="s">
        <v>200</v>
      </c>
      <c r="AR12" s="1188" t="s">
        <v>199</v>
      </c>
      <c r="AS12" s="1187" t="s">
        <v>200</v>
      </c>
      <c r="AT12" s="76"/>
      <c r="AU12" s="72"/>
      <c r="AV12" s="77"/>
      <c r="AW12" s="42"/>
      <c r="AX12" s="77"/>
      <c r="AY12" s="78"/>
      <c r="AZ12" s="62"/>
      <c r="BA12" s="67"/>
      <c r="BB12" s="53" t="str">
        <f>I11</f>
        <v>普通住宅</v>
      </c>
      <c r="BC12" s="79" t="str">
        <f>K11</f>
        <v>联排</v>
      </c>
      <c r="BD12" s="79" t="str">
        <f>M11</f>
        <v>叠拼</v>
      </c>
      <c r="BE12" s="50" t="str">
        <f>O11</f>
        <v>底商</v>
      </c>
      <c r="BF12" s="50" t="str">
        <f>Q11</f>
        <v>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200833.33</v>
      </c>
      <c r="F13" s="81"/>
      <c r="G13" s="82">
        <f t="shared" ref="G13:G20" si="7">H13+AC13+AT13</f>
        <v>526588.951</v>
      </c>
      <c r="H13" s="33">
        <f t="shared" ref="H13:H20" si="8">SUMIF(I$12:AB$12,"总值",I13:AB13)</f>
        <v>492240.16899999999</v>
      </c>
      <c r="I13" s="2970">
        <v>301560</v>
      </c>
      <c r="J13" s="2970"/>
      <c r="K13" s="2970">
        <v>16960</v>
      </c>
      <c r="L13" s="2970"/>
      <c r="M13" s="2970">
        <v>31000</v>
      </c>
      <c r="N13" s="83"/>
      <c r="O13" s="83">
        <v>7459.4</v>
      </c>
      <c r="P13" s="83"/>
      <c r="Q13" s="83">
        <f>33171.6+102089.169</f>
        <v>135260.769</v>
      </c>
      <c r="R13" s="83"/>
      <c r="S13" s="83"/>
      <c r="T13" s="83"/>
      <c r="U13" s="83"/>
      <c r="V13" s="83"/>
      <c r="W13" s="83"/>
      <c r="X13" s="83"/>
      <c r="Y13" s="83"/>
      <c r="Z13" s="83"/>
      <c r="AA13" s="83"/>
      <c r="AB13" s="83"/>
      <c r="AC13" s="27">
        <f t="shared" ref="AC13:AC20" si="9">SUMIF(AD$12:AS$12,"总值",AD13:AS13)</f>
        <v>15364.982</v>
      </c>
      <c r="AD13" s="2974">
        <v>3920</v>
      </c>
      <c r="AE13" s="2974"/>
      <c r="AF13" s="2974"/>
      <c r="AG13" s="2974"/>
      <c r="AH13" s="2974">
        <v>600</v>
      </c>
      <c r="AI13" s="2974"/>
      <c r="AJ13" s="2974"/>
      <c r="AK13" s="2974"/>
      <c r="AL13" s="2974"/>
      <c r="AM13" s="2974"/>
      <c r="AN13" s="2974">
        <v>10844.982</v>
      </c>
      <c r="AO13" s="2974"/>
      <c r="AP13" s="2974"/>
      <c r="AQ13" s="2974"/>
      <c r="AR13" s="2974"/>
      <c r="AS13" s="2974"/>
      <c r="AT13" s="2975">
        <v>18983.8</v>
      </c>
      <c r="AU13" s="2976"/>
      <c r="AV13" s="17">
        <f t="shared" ref="AV13:AX20" si="10">A13</f>
        <v>0</v>
      </c>
      <c r="AW13" s="17">
        <f t="shared" si="10"/>
        <v>0</v>
      </c>
      <c r="AX13" s="17">
        <f t="shared" si="10"/>
        <v>0</v>
      </c>
      <c r="AY13" s="996">
        <f t="shared" ref="AY13:AY20" si="11">ROUND($AY$6*AZ13/$AZ$5,2)</f>
        <v>200833.33</v>
      </c>
      <c r="AZ13" s="27">
        <f t="shared" ref="AZ13:AZ20" si="12">BA13+BL13</f>
        <v>507605.15100000001</v>
      </c>
      <c r="BA13" s="27">
        <f t="shared" ref="BA13:BA20" si="13">SUM(BB13:BK13)</f>
        <v>492240.16899999999</v>
      </c>
      <c r="BB13" s="27">
        <f t="shared" ref="BB13:BB20" si="14">IF($D13="是",I13-J13,0)</f>
        <v>301560</v>
      </c>
      <c r="BC13" s="27">
        <f t="shared" ref="BC13:BC20" si="15">IF($D13="是",K13-L13,0)</f>
        <v>16960</v>
      </c>
      <c r="BD13" s="27">
        <f t="shared" ref="BD13:BD20" si="16">IF($D13="是",M13-N13,0)</f>
        <v>31000</v>
      </c>
      <c r="BE13" s="27">
        <f t="shared" ref="BE13:BE20" si="17">IF($D13="是",O13-P13,0)</f>
        <v>7459.4</v>
      </c>
      <c r="BF13" s="27">
        <f t="shared" ref="BF13:BF20" si="18">IF($D13="是",Q13-R13,0)</f>
        <v>135260.769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15364.982</v>
      </c>
      <c r="BM13" s="27">
        <f t="shared" ref="BM13:BM20" si="25">IF($D13="是",AD13-AE13,0)</f>
        <v>3920</v>
      </c>
      <c r="BN13" s="27">
        <f t="shared" ref="BN13:BN20" si="26">IF($D13="是",AF13-AG13,0)</f>
        <v>0</v>
      </c>
      <c r="BO13" s="27">
        <f t="shared" ref="BO13:BO20" si="27">IF($D13="是",AH13-AI13,0)</f>
        <v>600</v>
      </c>
      <c r="BP13" s="27">
        <f t="shared" ref="BP13:BP20" si="28">IF($D13="是",AJ13-AK13,0)</f>
        <v>0</v>
      </c>
      <c r="BQ13" s="27">
        <f t="shared" ref="BQ13:BQ20" si="29">IF($D13="是",AL13-AM13,0)</f>
        <v>0</v>
      </c>
      <c r="BR13" s="27">
        <f t="shared" ref="BR13:BR20" si="30">IF($D13="是",AN13-AO13,0)</f>
        <v>10844.982</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201</v>
      </c>
      <c r="B1" s="1969"/>
      <c r="C1" s="1969"/>
      <c r="D1" s="1969"/>
      <c r="E1" s="1969"/>
      <c r="F1" s="1969"/>
      <c r="G1" s="1969"/>
      <c r="H1" s="1969"/>
      <c r="I1" s="1969"/>
      <c r="J1" s="1969"/>
      <c r="K1" s="1969"/>
      <c r="L1" s="1969"/>
    </row>
    <row r="2" spans="1:16" ht="15">
      <c r="A2" s="3285" t="s">
        <v>202</v>
      </c>
      <c r="B2" s="3285"/>
      <c r="C2" s="3285"/>
      <c r="D2" s="1960" t="s">
        <v>203</v>
      </c>
      <c r="E2" s="106" t="s">
        <v>204</v>
      </c>
      <c r="F2" s="1969"/>
      <c r="G2" s="1194"/>
      <c r="H2" s="1195"/>
      <c r="I2" s="1196" t="s">
        <v>856</v>
      </c>
      <c r="J2" s="1969"/>
      <c r="K2" s="1969"/>
      <c r="L2" s="1969"/>
    </row>
    <row r="3" spans="1:16" ht="15.75" thickBot="1">
      <c r="A3" s="3286" t="s">
        <v>205</v>
      </c>
      <c r="B3" s="3286"/>
      <c r="C3" s="3286"/>
      <c r="D3" s="107">
        <f>'数据-基础表'!AY6</f>
        <v>200833.33</v>
      </c>
      <c r="E3" s="107">
        <f>'数据-基础表'!AZ5</f>
        <v>507605.15100000001</v>
      </c>
      <c r="F3" s="1969"/>
      <c r="G3" s="280" t="s">
        <v>857</v>
      </c>
      <c r="H3" s="275" t="s">
        <v>858</v>
      </c>
      <c r="I3" s="1961">
        <f>ROUND('数据-基础表'!B3/'数据-基础表'!A3,2)</f>
        <v>2.5299999999999998</v>
      </c>
      <c r="J3" s="1969"/>
      <c r="K3" s="1969"/>
      <c r="L3" s="1969"/>
    </row>
    <row r="4" spans="1:16" ht="15">
      <c r="A4" s="3287"/>
      <c r="B4" s="3288"/>
      <c r="C4" s="3289"/>
      <c r="D4" s="108" t="s">
        <v>203</v>
      </c>
      <c r="E4" s="109" t="s">
        <v>204</v>
      </c>
      <c r="F4" s="1969"/>
      <c r="G4" s="1197"/>
      <c r="H4" s="275" t="s">
        <v>859</v>
      </c>
      <c r="I4" s="1961">
        <f>ROUND(SUMIF('数据-基础表'!I9:AS9,"地上",'数据-基础表'!I5:AS5)/'数据-基础表'!A3,2)</f>
        <v>1.8</v>
      </c>
      <c r="J4" s="1969"/>
      <c r="K4" s="1969"/>
      <c r="L4" s="1969"/>
    </row>
    <row r="5" spans="1:16">
      <c r="A5" s="110" t="s">
        <v>206</v>
      </c>
      <c r="B5" s="3290" t="s">
        <v>229</v>
      </c>
      <c r="C5" s="3290"/>
      <c r="D5" s="111">
        <f>ROUND($D$3*E5/$E$3,2)</f>
        <v>138287.14000000001</v>
      </c>
      <c r="E5" s="112">
        <f>SUMIF('数据-基础表'!$11:$11,"住宅",'数据-基础表'!$5:$5)</f>
        <v>349520</v>
      </c>
      <c r="F5" s="1969"/>
      <c r="G5" s="280" t="s">
        <v>860</v>
      </c>
      <c r="H5" s="275" t="s">
        <v>858</v>
      </c>
      <c r="I5" s="1961">
        <f>ROUND(E31/D31,2)</f>
        <v>2.5299999999999998</v>
      </c>
      <c r="J5" s="1969"/>
      <c r="K5" s="1969"/>
      <c r="L5" s="1969"/>
    </row>
    <row r="6" spans="1:16" ht="15" thickBot="1">
      <c r="A6" s="113"/>
      <c r="B6" s="3290" t="s">
        <v>207</v>
      </c>
      <c r="C6" s="3290"/>
      <c r="D6" s="111">
        <f>ROUND($D$3*E6/$E$3,2)</f>
        <v>62546.19</v>
      </c>
      <c r="E6" s="112">
        <f>E3-E5</f>
        <v>158085.15100000001</v>
      </c>
      <c r="F6" s="1969"/>
      <c r="G6" s="1197"/>
      <c r="H6" s="275" t="s">
        <v>859</v>
      </c>
      <c r="I6" s="1961">
        <f>ROUND(F31/D31,2)</f>
        <v>1.8</v>
      </c>
      <c r="J6" s="1969"/>
      <c r="K6" s="1969"/>
      <c r="L6" s="1969"/>
    </row>
    <row r="7" spans="1:16" ht="15">
      <c r="A7" s="3282"/>
      <c r="B7" s="3283"/>
      <c r="C7" s="3284"/>
      <c r="D7" s="108" t="s">
        <v>203</v>
      </c>
      <c r="E7" s="114" t="s">
        <v>230</v>
      </c>
      <c r="F7" s="1969"/>
      <c r="G7" s="1152" t="s">
        <v>1644</v>
      </c>
      <c r="H7" s="1153"/>
      <c r="I7" s="1831"/>
      <c r="J7" s="1969"/>
      <c r="K7" s="1969"/>
      <c r="L7" s="1969"/>
    </row>
    <row r="8" spans="1:16">
      <c r="A8" s="110" t="s">
        <v>208</v>
      </c>
      <c r="B8" s="115" t="s">
        <v>209</v>
      </c>
      <c r="C8" s="111" t="s">
        <v>210</v>
      </c>
      <c r="D8" s="111">
        <f t="shared" ref="D8:D15" si="0">ROUND($D$3*E8/$E$3,2)</f>
        <v>141238.44</v>
      </c>
      <c r="E8" s="116">
        <f>SUMIF('数据-基础表'!BB10:BK10,"地上",'数据-基础表'!BB5:BK5)</f>
        <v>356979.4</v>
      </c>
      <c r="F8" s="1969"/>
      <c r="G8" s="1971"/>
      <c r="H8" s="1971"/>
      <c r="I8" s="1969"/>
      <c r="J8" s="1969"/>
      <c r="K8" s="1969"/>
      <c r="L8" s="1969"/>
    </row>
    <row r="9" spans="1:16">
      <c r="A9" s="117"/>
      <c r="B9" s="118"/>
      <c r="C9" s="111" t="s">
        <v>211</v>
      </c>
      <c r="D9" s="111">
        <f t="shared" si="0"/>
        <v>0</v>
      </c>
      <c r="E9" s="119">
        <v>0</v>
      </c>
      <c r="F9" s="1969"/>
      <c r="G9" s="1971"/>
      <c r="H9" s="1971"/>
      <c r="I9" s="1969"/>
      <c r="J9" s="1969"/>
      <c r="K9" s="1969"/>
      <c r="L9" s="1969"/>
    </row>
    <row r="10" spans="1:16">
      <c r="A10" s="117"/>
      <c r="B10" s="118"/>
      <c r="C10" s="111" t="s">
        <v>212</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213</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53515.75</v>
      </c>
      <c r="E13" s="116">
        <f>SUMPRODUCT(('数据-基础表'!BB10:BK10="地下")*('数据-基础表'!BB11:BK11="车库")*('数据-基础表'!BB5:BK5))</f>
        <v>135260.769</v>
      </c>
      <c r="F13" s="1969"/>
      <c r="G13" s="1971"/>
      <c r="H13" s="1971"/>
      <c r="I13" s="1969"/>
      <c r="J13" s="1969"/>
      <c r="K13" s="1969"/>
      <c r="L13" s="1969"/>
    </row>
    <row r="14" spans="1:16">
      <c r="A14" s="117"/>
      <c r="B14" s="118"/>
      <c r="C14" s="111" t="s">
        <v>231</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232</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214</v>
      </c>
      <c r="D16" s="115">
        <f>SUM(D8:D15)</f>
        <v>194754.19</v>
      </c>
      <c r="E16" s="120">
        <f>SUM(E8:E15)</f>
        <v>492240.16899999999</v>
      </c>
      <c r="F16" s="1969"/>
      <c r="G16" s="1971"/>
      <c r="H16" s="968" t="s">
        <v>218</v>
      </c>
      <c r="I16" s="969"/>
      <c r="J16" s="1969"/>
      <c r="K16" s="3276" t="s">
        <v>2564</v>
      </c>
      <c r="L16" s="3277"/>
      <c r="M16" s="3277"/>
      <c r="N16" s="3277"/>
      <c r="O16" s="3277"/>
      <c r="P16" s="3278"/>
    </row>
    <row r="17" spans="1:19" ht="15">
      <c r="A17" s="121" t="s">
        <v>215</v>
      </c>
      <c r="B17" s="122" t="s">
        <v>216</v>
      </c>
      <c r="C17" s="2283" t="s">
        <v>2311</v>
      </c>
      <c r="D17" s="108" t="s">
        <v>203</v>
      </c>
      <c r="E17" s="124" t="s">
        <v>204</v>
      </c>
      <c r="F17" s="125"/>
      <c r="G17" s="1362"/>
      <c r="H17" s="970" t="s">
        <v>217</v>
      </c>
      <c r="I17" s="971" t="s">
        <v>2310</v>
      </c>
      <c r="J17" s="1969"/>
      <c r="K17" s="3279" t="s">
        <v>2565</v>
      </c>
      <c r="L17" s="3280"/>
      <c r="M17" s="3281"/>
      <c r="N17" s="3279" t="s">
        <v>2566</v>
      </c>
      <c r="O17" s="3280"/>
      <c r="P17" s="3281"/>
      <c r="R17" s="2284" t="s">
        <v>2309</v>
      </c>
      <c r="S17" s="144"/>
    </row>
    <row r="18" spans="1:19" ht="15">
      <c r="A18" s="117"/>
      <c r="B18" s="128"/>
      <c r="C18" s="129"/>
      <c r="D18" s="2606"/>
      <c r="E18" s="130" t="s">
        <v>219</v>
      </c>
      <c r="F18" s="131" t="s">
        <v>220</v>
      </c>
      <c r="G18" s="1363" t="s">
        <v>221</v>
      </c>
      <c r="H18" s="972" t="s">
        <v>222</v>
      </c>
      <c r="I18" s="973" t="s">
        <v>223</v>
      </c>
      <c r="J18" s="1969"/>
      <c r="K18" s="2569" t="s">
        <v>2567</v>
      </c>
      <c r="L18" s="2570" t="s">
        <v>2568</v>
      </c>
      <c r="M18" s="2571" t="s">
        <v>2569</v>
      </c>
      <c r="N18" s="2569" t="s">
        <v>2567</v>
      </c>
      <c r="O18" s="2570" t="s">
        <v>2568</v>
      </c>
      <c r="P18" s="2571" t="s">
        <v>2569</v>
      </c>
      <c r="R18" s="2285" t="s">
        <v>2307</v>
      </c>
      <c r="S18" s="2285" t="s">
        <v>2308</v>
      </c>
    </row>
    <row r="19" spans="1:19">
      <c r="A19" s="133"/>
      <c r="B19" s="115" t="s">
        <v>224</v>
      </c>
      <c r="C19" s="2977" t="s">
        <v>3019</v>
      </c>
      <c r="D19" s="111">
        <f t="shared" ref="D19:D26" si="1">ROUND($D$3*E19/$E$3,2)</f>
        <v>138287.14000000001</v>
      </c>
      <c r="E19" s="134">
        <f t="shared" ref="E19:E26" si="2">SUM(F19:G19)</f>
        <v>349520</v>
      </c>
      <c r="F19" s="135">
        <f>'数据-基础表'!I13+'数据-基础表'!K13+'数据-基础表'!M13</f>
        <v>349520</v>
      </c>
      <c r="G19" s="1364"/>
      <c r="H19" s="974">
        <f>ROUND($D$3*I19/$E$3,2)</f>
        <v>4835.0600000000004</v>
      </c>
      <c r="I19" s="116">
        <f>IF($I$17="自定义",P19,M19)</f>
        <v>12220.59</v>
      </c>
      <c r="J19" s="1969"/>
      <c r="K19" s="2572">
        <f t="shared" ref="K19:K26" si="3">ROUND(E$28*E19/E$27,2)</f>
        <v>7700.59</v>
      </c>
      <c r="L19" s="275">
        <f t="shared" ref="L19:L26" si="4">ROUND(IF(COUNTIF(C19,"*住宅*")&gt;0,E$29*E19/E$32,0),2)</f>
        <v>4520</v>
      </c>
      <c r="M19" s="2573">
        <f>K19+L19</f>
        <v>12220.59</v>
      </c>
      <c r="N19" s="2574"/>
      <c r="O19" s="2575"/>
      <c r="P19" s="2576">
        <f>N19+O19</f>
        <v>0</v>
      </c>
      <c r="R19" s="275">
        <f t="shared" ref="R19:S26" si="5">D19+H19</f>
        <v>143122.20000000001</v>
      </c>
      <c r="S19" s="2286">
        <f t="shared" si="5"/>
        <v>361740.59</v>
      </c>
    </row>
    <row r="20" spans="1:19">
      <c r="A20" s="138"/>
      <c r="B20" s="115" t="s">
        <v>225</v>
      </c>
      <c r="C20" s="2977" t="s">
        <v>3020</v>
      </c>
      <c r="D20" s="111">
        <f t="shared" si="1"/>
        <v>2951.3</v>
      </c>
      <c r="E20" s="134">
        <f t="shared" si="2"/>
        <v>7459.4</v>
      </c>
      <c r="F20" s="135">
        <f>'数据-基础表'!O13</f>
        <v>7459.4</v>
      </c>
      <c r="G20" s="1364"/>
      <c r="H20" s="974">
        <f t="shared" ref="H20:H26" si="6">ROUND($D$3*I20/$E$3,2)</f>
        <v>65.02</v>
      </c>
      <c r="I20" s="116">
        <f t="shared" ref="I20:I26" si="7">IF($I$17="自定义",P20,M20)</f>
        <v>164.34</v>
      </c>
      <c r="J20" s="1969"/>
      <c r="K20" s="2572">
        <f t="shared" si="3"/>
        <v>164.34</v>
      </c>
      <c r="L20" s="275">
        <f t="shared" si="4"/>
        <v>0</v>
      </c>
      <c r="M20" s="2573">
        <f t="shared" ref="M20:M26" si="8">K20+L20</f>
        <v>164.34</v>
      </c>
      <c r="N20" s="2574"/>
      <c r="O20" s="2575"/>
      <c r="P20" s="2576">
        <f t="shared" ref="P20:P26" si="9">N20+O20</f>
        <v>0</v>
      </c>
      <c r="R20" s="275">
        <f t="shared" si="5"/>
        <v>3016.32</v>
      </c>
      <c r="S20" s="2286">
        <f t="shared" si="5"/>
        <v>7623.74</v>
      </c>
    </row>
    <row r="21" spans="1:19">
      <c r="A21" s="138"/>
      <c r="B21" s="115" t="s">
        <v>225</v>
      </c>
      <c r="C21" s="2977" t="s">
        <v>3021</v>
      </c>
      <c r="D21" s="111">
        <f t="shared" si="1"/>
        <v>53515.75</v>
      </c>
      <c r="E21" s="134">
        <f t="shared" si="2"/>
        <v>135260.769</v>
      </c>
      <c r="F21" s="135"/>
      <c r="G21" s="1364">
        <v>135260.769</v>
      </c>
      <c r="H21" s="974">
        <f t="shared" si="6"/>
        <v>1179.05</v>
      </c>
      <c r="I21" s="116">
        <f t="shared" si="7"/>
        <v>2980.05</v>
      </c>
      <c r="J21" s="1969"/>
      <c r="K21" s="2572">
        <f t="shared" si="3"/>
        <v>2980.05</v>
      </c>
      <c r="L21" s="275">
        <f t="shared" si="4"/>
        <v>0</v>
      </c>
      <c r="M21" s="2573">
        <f t="shared" si="8"/>
        <v>2980.05</v>
      </c>
      <c r="N21" s="2574"/>
      <c r="O21" s="2575"/>
      <c r="P21" s="2576">
        <f t="shared" si="9"/>
        <v>0</v>
      </c>
      <c r="R21" s="275">
        <f t="shared" si="5"/>
        <v>54694.8</v>
      </c>
      <c r="S21" s="2286">
        <f t="shared" si="5"/>
        <v>138240.81899999999</v>
      </c>
    </row>
    <row r="22" spans="1:19">
      <c r="A22" s="138"/>
      <c r="B22" s="115" t="s">
        <v>225</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225</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225</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225</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225</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214</v>
      </c>
      <c r="D27" s="134">
        <f>SUM(D19:D26)</f>
        <v>194754.19</v>
      </c>
      <c r="E27" s="143">
        <f>IF(SUM(E19:E26)='数据-基础表'!BA5,SUM(E19:E26),IF(F27="地上面积有误","面积有误","地下面积有误"))</f>
        <v>492240.16899999999</v>
      </c>
      <c r="F27" s="134">
        <f>IF(SUM(F19:F26)=E8,SUM(F19:F26),"地上面积有误")</f>
        <v>356979.4</v>
      </c>
      <c r="G27" s="112">
        <f>SUM(G19:G26)</f>
        <v>135260.769</v>
      </c>
      <c r="H27" s="975">
        <f>SUM(H19:H26)</f>
        <v>6079.130000000001</v>
      </c>
      <c r="I27" s="976">
        <f>SUM(I19:I26)</f>
        <v>15364.98</v>
      </c>
      <c r="J27" s="1969"/>
      <c r="K27" s="2581">
        <f>SUM(K19:K26)</f>
        <v>10844.98</v>
      </c>
      <c r="L27" s="2582">
        <f>SUM(L19:L26)</f>
        <v>4520</v>
      </c>
      <c r="M27" s="2583">
        <f>SUM(M19:M26)</f>
        <v>15364.98</v>
      </c>
      <c r="N27" s="2581">
        <f t="shared" ref="N27:O27" si="10">SUM(N19:N26)</f>
        <v>0</v>
      </c>
      <c r="O27" s="2582">
        <f t="shared" si="10"/>
        <v>0</v>
      </c>
      <c r="P27" s="2584">
        <f>SUM(P19:P26)</f>
        <v>0</v>
      </c>
      <c r="R27" s="2290" t="str">
        <f>IF(SUM(R19:R26)=$D$3,SUM(R19:R26),SUM(R19:R26)&amp;"误差"&amp;ROUND(SUM(R19:R26)-$D$3,2))</f>
        <v>200833.32误差-0.01</v>
      </c>
      <c r="S27" s="275" t="str">
        <f>IF(SUM(S19:S26)=$E$3,SUM(S19:S26),SUM(S19:S26)&amp;"误差"&amp;ROUND(SUM(S19:S26)-E3,2))</f>
        <v>507605.149误差0</v>
      </c>
    </row>
    <row r="28" spans="1:19">
      <c r="A28" s="138"/>
      <c r="B28" s="115" t="s">
        <v>226</v>
      </c>
      <c r="C28" s="136" t="s">
        <v>227</v>
      </c>
      <c r="D28" s="111">
        <f>ROUND($D$3*E28/$E$3,2)</f>
        <v>4290.8</v>
      </c>
      <c r="E28" s="134">
        <f>SUM(F28:G28)</f>
        <v>10844.982</v>
      </c>
      <c r="F28" s="144">
        <f>'数据-基础表'!BQ5+'数据-基础表'!BS5</f>
        <v>0</v>
      </c>
      <c r="G28" s="145">
        <f>'数据-基础表'!BR5+'数据-基础表'!BT5</f>
        <v>10844.982</v>
      </c>
      <c r="H28" s="1969"/>
      <c r="I28" s="1969"/>
      <c r="J28" s="1969"/>
      <c r="K28" s="1969"/>
      <c r="L28" s="1969"/>
    </row>
    <row r="29" spans="1:19">
      <c r="A29" s="138"/>
      <c r="B29" s="115" t="s">
        <v>226</v>
      </c>
      <c r="C29" s="2298" t="s">
        <v>2318</v>
      </c>
      <c r="D29" s="111">
        <f>ROUND($D$3*E29/$E$3,2)</f>
        <v>1788.33</v>
      </c>
      <c r="E29" s="134">
        <f>SUM(F29:G29)</f>
        <v>4520</v>
      </c>
      <c r="F29" s="144">
        <f>'数据-基础表'!BM5+'数据-基础表'!BO5</f>
        <v>4520</v>
      </c>
      <c r="G29" s="146">
        <f>'数据-基础表'!BN5+'数据-基础表'!BP5</f>
        <v>0</v>
      </c>
      <c r="H29" s="1969"/>
      <c r="I29" s="1969"/>
      <c r="J29" s="1969"/>
      <c r="K29" s="1969"/>
      <c r="L29" s="1969"/>
    </row>
    <row r="30" spans="1:19">
      <c r="A30" s="138"/>
      <c r="B30" s="111"/>
      <c r="C30" s="147" t="s">
        <v>214</v>
      </c>
      <c r="D30" s="134">
        <f>SUM(D28:D29)</f>
        <v>6079.13</v>
      </c>
      <c r="E30" s="134">
        <f>SUM(E28:E29)</f>
        <v>15364.982</v>
      </c>
      <c r="F30" s="134">
        <f>SUM(F28:F29)</f>
        <v>4520</v>
      </c>
      <c r="G30" s="112">
        <f>SUM(G28:G29)</f>
        <v>10844.982</v>
      </c>
      <c r="H30" s="1969"/>
      <c r="I30" s="1969"/>
      <c r="J30" s="1969"/>
      <c r="K30" s="1969"/>
      <c r="L30" s="1969"/>
    </row>
    <row r="31" spans="1:19" ht="32.25" customHeight="1" thickBot="1">
      <c r="A31" s="1366"/>
      <c r="B31" s="1367" t="s">
        <v>228</v>
      </c>
      <c r="C31" s="2315" t="s">
        <v>2320</v>
      </c>
      <c r="D31" s="1368">
        <f>D27+D30</f>
        <v>200833.32</v>
      </c>
      <c r="E31" s="1368">
        <f>E27+E30</f>
        <v>507605.15100000001</v>
      </c>
      <c r="F31" s="1369">
        <f>F27+F30</f>
        <v>361499.4</v>
      </c>
      <c r="G31" s="1370">
        <f>G27+G30</f>
        <v>146105.75099999999</v>
      </c>
      <c r="H31" s="1969"/>
      <c r="I31" s="1969"/>
      <c r="J31" s="1969"/>
      <c r="K31" s="1969"/>
      <c r="L31" s="1969"/>
    </row>
    <row r="32" spans="1:19">
      <c r="A32" s="1969"/>
      <c r="B32" s="2327" t="s">
        <v>2319</v>
      </c>
      <c r="C32" s="2611"/>
      <c r="D32" s="1197"/>
      <c r="E32" s="1197">
        <f>SUMIF(C19:C26,"*住宅*",E19:E26)</f>
        <v>349520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22" sqref="Q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0" width="17.25" style="1983" customWidth="1"/>
    <col min="41" max="41" width="13.75" style="1983"/>
    <col min="42" max="42" width="0" style="1983" hidden="1" customWidth="1"/>
    <col min="43" max="83" width="13.75" style="1983"/>
    <col min="84" max="16384" width="13.75" style="1199"/>
  </cols>
  <sheetData>
    <row r="1" spans="1:83" ht="19.5" thickBot="1">
      <c r="A1" s="148" t="s">
        <v>233</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234</v>
      </c>
      <c r="B2" s="2323">
        <f>项目基本情况!D3</f>
        <v>43606</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235</v>
      </c>
      <c r="C5" s="157" t="s">
        <v>236</v>
      </c>
      <c r="D5" s="158" t="s">
        <v>237</v>
      </c>
      <c r="E5" s="159" t="s">
        <v>238</v>
      </c>
      <c r="F5" s="160" t="s">
        <v>239</v>
      </c>
      <c r="G5" s="159" t="s">
        <v>240</v>
      </c>
      <c r="H5" s="159" t="s">
        <v>861</v>
      </c>
      <c r="I5" s="159" t="s">
        <v>862</v>
      </c>
      <c r="J5" s="161" t="s">
        <v>241</v>
      </c>
      <c r="K5" s="162" t="s">
        <v>242</v>
      </c>
      <c r="L5" s="163" t="s">
        <v>243</v>
      </c>
      <c r="M5" s="164" t="s">
        <v>244</v>
      </c>
      <c r="N5" s="1215" t="s">
        <v>2825</v>
      </c>
      <c r="O5" s="163" t="s">
        <v>245</v>
      </c>
      <c r="P5" s="165" t="s">
        <v>246</v>
      </c>
      <c r="Q5" s="166" t="s">
        <v>247</v>
      </c>
      <c r="R5" s="167" t="s">
        <v>248</v>
      </c>
      <c r="S5" s="2585" t="s">
        <v>2570</v>
      </c>
      <c r="T5" s="168" t="s">
        <v>249</v>
      </c>
      <c r="U5" s="169" t="s">
        <v>250</v>
      </c>
      <c r="V5" s="159" t="s">
        <v>251</v>
      </c>
      <c r="W5" s="159" t="s">
        <v>252</v>
      </c>
      <c r="X5" s="1803"/>
      <c r="Y5" s="170" t="s">
        <v>253</v>
      </c>
      <c r="Z5" s="171" t="s">
        <v>254</v>
      </c>
      <c r="AA5" s="159" t="s">
        <v>251</v>
      </c>
      <c r="AB5" s="159" t="s">
        <v>252</v>
      </c>
      <c r="AC5" s="1804"/>
      <c r="AD5" s="172" t="s">
        <v>253</v>
      </c>
      <c r="AE5" s="1" t="s">
        <v>869</v>
      </c>
      <c r="AF5" s="159" t="s">
        <v>255</v>
      </c>
      <c r="AG5" s="170" t="s">
        <v>256</v>
      </c>
      <c r="AH5" s="1804" t="s">
        <v>2321</v>
      </c>
      <c r="AI5" s="171" t="s">
        <v>2290</v>
      </c>
      <c r="AJ5" s="171" t="s">
        <v>257</v>
      </c>
      <c r="AK5" s="159" t="s">
        <v>258</v>
      </c>
      <c r="AL5" s="159" t="s">
        <v>259</v>
      </c>
      <c r="AM5" s="172" t="s">
        <v>260</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65599</v>
      </c>
      <c r="F6" s="174">
        <f>SUMIF(项目基本情况!D$15:I$15,C6,项目基本情况!D$19:I$19)</f>
        <v>60.25</v>
      </c>
      <c r="G6" s="175">
        <f>IF(ISERROR(ROUND(POWER(1+H6,D6-F6)*(POWER(1+H6,F6)-1)/(POWER(1+H6,D6)-1),3)),0,ROUND(POWER(1+H6,D6-F6)*(POWER(1+H6,F6)-1)/(POWER(1+H6,D6)-1),3))</f>
        <v>0.97399999999999998</v>
      </c>
      <c r="H6" s="3191">
        <v>4.4999999999999998E-2</v>
      </c>
      <c r="I6" s="3191">
        <v>0.05</v>
      </c>
      <c r="J6" s="176">
        <v>8.5000000000000006E-2</v>
      </c>
      <c r="K6" s="179">
        <f>SUMIF('数据-汇总表'!C$19:C$33,'数据-取费表'!A6,'数据-汇总表'!E$19:E$33)</f>
        <v>349520</v>
      </c>
      <c r="L6" s="2979">
        <v>3000</v>
      </c>
      <c r="M6" s="177">
        <f t="shared" ref="M6:M14" si="0">ROUND(K6*L6/10000,0)</f>
        <v>104856</v>
      </c>
      <c r="N6" s="2980">
        <v>0</v>
      </c>
      <c r="O6" s="177">
        <f>IF($N$5="成新度","——",ROUND(M6*N6,0))</f>
        <v>0</v>
      </c>
      <c r="P6" s="178">
        <f>IF($N$5="成新度","——",M6-O6)</f>
        <v>104856</v>
      </c>
      <c r="Q6" s="2981">
        <v>0.15</v>
      </c>
      <c r="R6" s="179">
        <f>SUMIF('数据-汇总表'!C$19:C$33,A6,'数据-汇总表'!R$19:R$33)</f>
        <v>143122.20000000001</v>
      </c>
      <c r="S6" s="132">
        <f>IF('数据-汇总表'!$I$17="按面积比例",SUMIF('数据-汇总表'!C$19:C$33,A6,'数据-汇总表'!K$19:K$33),SUMIF('数据-汇总表'!C$19:C$33,A6,'数据-汇总表'!N$19:N$33))</f>
        <v>7700.59</v>
      </c>
      <c r="T6" s="2219">
        <f>IF($T$4="按面积比例",IF(ISERROR(ROUND($M$14*S6/S$16,0)),"0",ROUND($M$14*S6/S$16,0)),"需自行计算录入")</f>
        <v>0</v>
      </c>
      <c r="U6" s="180"/>
      <c r="V6" s="181"/>
      <c r="W6" s="181">
        <v>0.1</v>
      </c>
      <c r="X6" s="2306"/>
      <c r="Y6" s="182">
        <v>1</v>
      </c>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0.92900000000000005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54642</v>
      </c>
      <c r="F7" s="174">
        <f>SUMIF(项目基本情况!D$15:I$15,C7,项目基本情况!D$19:I$19)</f>
        <v>30.23</v>
      </c>
      <c r="G7" s="175">
        <f t="shared" ref="G7:G11" si="2">IF(ISERROR(ROUND(POWER(1+H7,D7-F7)*(POWER(1+H7,F7)-1)/(POWER(1+H7,D7)-1),3)),0,ROUND(POWER(1+H7,D7-F7)*(POWER(1+H7,F7)-1)/(POWER(1+H7,D7)-1),3))</f>
        <v>0.89900000000000002</v>
      </c>
      <c r="H7" s="2978">
        <v>0.05</v>
      </c>
      <c r="I7" s="2978">
        <v>5.5E-2</v>
      </c>
      <c r="J7" s="176">
        <v>8.5000000000000006E-2</v>
      </c>
      <c r="K7" s="179">
        <f>SUMIF('数据-汇总表'!C$19:C$33,'数据-取费表'!A7,'数据-汇总表'!E$19:E$33)</f>
        <v>7459.4</v>
      </c>
      <c r="L7" s="2979">
        <v>4000</v>
      </c>
      <c r="M7" s="177">
        <f t="shared" si="0"/>
        <v>2984</v>
      </c>
      <c r="N7" s="2980">
        <v>0</v>
      </c>
      <c r="O7" s="177">
        <f t="shared" ref="O7:O14" si="3">IF($N$5="成新度","——",ROUND(M7*N7,0))</f>
        <v>0</v>
      </c>
      <c r="P7" s="178">
        <f t="shared" ref="P7:P14" si="4">IF($N$5="成新度","——",M7-O7)</f>
        <v>2984</v>
      </c>
      <c r="Q7" s="2981">
        <v>0.2</v>
      </c>
      <c r="R7" s="179">
        <f>SUMIF('数据-汇总表'!C$19:C$33,A7,'数据-汇总表'!R$19:R$33)</f>
        <v>3016.32</v>
      </c>
      <c r="S7" s="132">
        <f>IF('数据-汇总表'!$I$17="按面积比例",SUMIF('数据-汇总表'!C$19:C$33,A7,'数据-汇总表'!K$19:K$33),SUMIF('数据-汇总表'!C$19:C$33,A7,'数据-汇总表'!N$19:N$33))</f>
        <v>164.34</v>
      </c>
      <c r="T7" s="2219">
        <f t="shared" ref="T7:T13" si="5">IF($T$4="按面积比例",IF(ISERROR(ROUND($M$14*S7/S$16,0)),"0",ROUND($M$14*S7/S$16,0)),"需自行计算录入")</f>
        <v>0</v>
      </c>
      <c r="U7" s="180">
        <v>1.5</v>
      </c>
      <c r="V7" s="181">
        <v>0.02</v>
      </c>
      <c r="W7" s="181">
        <v>0.15</v>
      </c>
      <c r="X7" s="2306"/>
      <c r="Y7" s="182">
        <v>1</v>
      </c>
      <c r="Z7" s="183"/>
      <c r="AA7" s="176"/>
      <c r="AB7" s="176"/>
      <c r="AC7" s="2309"/>
      <c r="AD7" s="184"/>
      <c r="AE7" s="972">
        <f t="shared" ref="AE7:AE13" ca="1" si="6">IF(AN7="",0,SUMIF(INDIRECT("'"&amp;AN7&amp;"'"&amp;"!E:E"),$AE$5,INDIRECT("'"&amp;AN7&amp;"'"&amp;"!F:F")))</f>
        <v>27.23</v>
      </c>
      <c r="AF7" s="141"/>
      <c r="AG7" s="1209">
        <f t="shared" ref="AG7:AG13" si="7">IF(AF7="",0,AE7-AF7)</f>
        <v>0</v>
      </c>
      <c r="AH7" s="141"/>
      <c r="AI7" s="187">
        <v>365</v>
      </c>
      <c r="AJ7" s="188"/>
      <c r="AK7" s="189">
        <v>0.02</v>
      </c>
      <c r="AL7" s="190">
        <v>2.5000000000000001E-3</v>
      </c>
      <c r="AM7" s="2354">
        <v>2.5000000000000001E-2</v>
      </c>
      <c r="AN7" s="2356" t="s">
        <v>3050</v>
      </c>
      <c r="AO7" s="1985"/>
      <c r="AP7" s="1200">
        <f t="shared" ref="AP7:AP13" si="8">ROUND(1-1/(1+H7)^F7,3)</f>
        <v>0.77100000000000002</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3005</v>
      </c>
      <c r="D8" s="2293">
        <f>SUMIF(项目基本情况!D$15:I$15,C8,项目基本情况!D$18:I$18)</f>
        <v>50</v>
      </c>
      <c r="E8" s="2294">
        <f>IF(B8="","",SUMIF(项目基本情况!D$15:I$15,C8,项目基本情况!D$17:I$17))</f>
        <v>58294</v>
      </c>
      <c r="F8" s="174">
        <f>SUMIF(项目基本情况!D$15:I$15,C8,项目基本情况!D$19:I$19)</f>
        <v>40.24</v>
      </c>
      <c r="G8" s="175">
        <f t="shared" si="2"/>
        <v>0.93300000000000005</v>
      </c>
      <c r="H8" s="3191">
        <v>4.4999999999999998E-2</v>
      </c>
      <c r="I8" s="3191">
        <v>0.05</v>
      </c>
      <c r="J8" s="176">
        <v>8.5000000000000006E-2</v>
      </c>
      <c r="K8" s="179">
        <f>SUMIF('数据-汇总表'!C$19:C$33,'数据-取费表'!A8,'数据-汇总表'!E$19:E$33)</f>
        <v>135260.769</v>
      </c>
      <c r="L8" s="2979">
        <v>3000</v>
      </c>
      <c r="M8" s="177">
        <f>ROUND(K8*L8/10000,0)</f>
        <v>40578</v>
      </c>
      <c r="N8" s="2980">
        <v>0</v>
      </c>
      <c r="O8" s="177">
        <f t="shared" si="3"/>
        <v>0</v>
      </c>
      <c r="P8" s="178">
        <f t="shared" si="4"/>
        <v>40578</v>
      </c>
      <c r="Q8" s="2981">
        <v>0.15</v>
      </c>
      <c r="R8" s="179">
        <f>SUMIF('数据-汇总表'!C$19:C$33,A8,'数据-汇总表'!R$19:R$33)</f>
        <v>54694.8</v>
      </c>
      <c r="S8" s="132">
        <f>IF('数据-汇总表'!$I$17="按面积比例",SUMIF('数据-汇总表'!C$19:C$33,A8,'数据-汇总表'!K$19:K$33),SUMIF('数据-汇总表'!C$19:C$33,A8,'数据-汇总表'!N$19:N$33))</f>
        <v>2980.05</v>
      </c>
      <c r="T8" s="2219">
        <f t="shared" si="5"/>
        <v>0</v>
      </c>
      <c r="U8" s="180">
        <v>350</v>
      </c>
      <c r="V8" s="181">
        <v>0.01</v>
      </c>
      <c r="W8" s="181">
        <v>0.1</v>
      </c>
      <c r="X8" s="2306"/>
      <c r="Y8" s="182">
        <v>1</v>
      </c>
      <c r="Z8" s="183"/>
      <c r="AA8" s="176"/>
      <c r="AB8" s="176"/>
      <c r="AC8" s="2309"/>
      <c r="AD8" s="184"/>
      <c r="AE8" s="972">
        <v>37.24</v>
      </c>
      <c r="AF8" s="141"/>
      <c r="AG8" s="1209">
        <f t="shared" si="7"/>
        <v>0</v>
      </c>
      <c r="AH8" s="141">
        <v>3768</v>
      </c>
      <c r="AI8" s="187">
        <v>12</v>
      </c>
      <c r="AJ8" s="188"/>
      <c r="AK8" s="189">
        <v>0.01</v>
      </c>
      <c r="AL8" s="190">
        <v>1E-3</v>
      </c>
      <c r="AM8" s="2354">
        <v>1.4999999999999999E-2</v>
      </c>
      <c r="AN8" s="2356" t="s">
        <v>3055</v>
      </c>
      <c r="AO8" s="1985"/>
      <c r="AP8" s="1200">
        <f t="shared" si="8"/>
        <v>0.83</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10844.982</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4520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261</v>
      </c>
      <c r="B16" s="199"/>
      <c r="C16" s="200"/>
      <c r="D16" s="201"/>
      <c r="E16" s="199"/>
      <c r="F16" s="199"/>
      <c r="G16" s="202">
        <f>ROUND(SUMPRODUCT(G6:G13,K6:K13)/SUMPRODUCT((G6:G13&gt;0)*(K6:K13)),3)</f>
        <v>0.96199999999999997</v>
      </c>
      <c r="H16" s="203">
        <f>ROUND(SUMPRODUCT(H6:H13,K6:K13)/SUMPRODUCT((H6:H13&gt;0)*(K6:K13)),3)</f>
        <v>4.4999999999999998E-2</v>
      </c>
      <c r="I16" s="204"/>
      <c r="J16" s="204"/>
      <c r="K16" s="205">
        <f>SUM(K6:K15)</f>
        <v>507605.15100000001</v>
      </c>
      <c r="L16" s="206">
        <f>ROUND(M16*10000/SUM(K6:K14),0)</f>
        <v>2950</v>
      </c>
      <c r="M16" s="206">
        <f>SUM(M6:M14)</f>
        <v>148418</v>
      </c>
      <c r="N16" s="207">
        <f>ROUND(SUMPRODUCT(M6:M14,N6:N14)/M16,3)</f>
        <v>0</v>
      </c>
      <c r="O16" s="206">
        <f>SUM(O6:O14)</f>
        <v>0</v>
      </c>
      <c r="P16" s="206">
        <f>SUM(P6:P14)</f>
        <v>148418</v>
      </c>
      <c r="Q16" s="208">
        <f>ROUND(SUMPRODUCT(Q6:Q13,K6:K13)/SUMPRODUCT((Q6:Q13&gt;0)*(K6:K13)),2)</f>
        <v>0.15</v>
      </c>
      <c r="R16" s="2296">
        <f>SUM(R6:R13)</f>
        <v>200833.32</v>
      </c>
      <c r="S16" s="209">
        <f>SUM(S6:S13)</f>
        <v>10844.98</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0.89900000000000002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262</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263</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264</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265</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266</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267</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268</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269</v>
      </c>
      <c r="B26" s="225" t="s">
        <v>270</v>
      </c>
      <c r="C26" s="1980" t="s">
        <v>271</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v>21.6</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33.200000000000003</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v>0</v>
      </c>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272</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273</v>
      </c>
      <c r="B31" s="230">
        <f>B30-B32</f>
        <v>90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274</v>
      </c>
      <c r="B32" s="1374">
        <v>110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277</v>
      </c>
      <c r="B33" s="1375">
        <v>0.04</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278</v>
      </c>
      <c r="B34" s="233">
        <v>0.05</v>
      </c>
      <c r="C34" s="2329" t="s">
        <v>2889</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275</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276</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279</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280</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281</v>
      </c>
      <c r="B41" s="238">
        <f>B42+B43</f>
        <v>9.8999999999999991E-2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282</v>
      </c>
      <c r="B42" s="240">
        <v>0.09</v>
      </c>
      <c r="C42" s="3052">
        <f>IF(B2&lt;DATE(2016,5,1),0,B42)</f>
        <v>0.09</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283</v>
      </c>
      <c r="B43" s="241">
        <f>B42*(B44+B45+B46)+B47</f>
        <v>8.9999999999999993E-3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284</v>
      </c>
      <c r="B44" s="242">
        <v>0.05</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285</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286</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287</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288</v>
      </c>
      <c r="B48" s="246">
        <v>0.04</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289</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290</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291</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292</v>
      </c>
      <c r="B52" s="250">
        <f>SUMIF(A54:A63,B53,B54:B63)</f>
        <v>3</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293</v>
      </c>
      <c r="B53" s="251" t="s">
        <v>1406</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v>3</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2" activePane="bottomRight" state="frozen"/>
      <selection activeCell="E29" sqref="E29"/>
      <selection pane="topRight" activeCell="E29" sqref="E29"/>
      <selection pane="bottomLeft" activeCell="E29" sqref="E29"/>
      <selection pane="bottomRight" activeCell="D27" sqref="D27"/>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1" t="s">
        <v>1662</v>
      </c>
      <c r="B1" s="3292"/>
      <c r="C1" s="3292"/>
      <c r="D1" s="3292"/>
      <c r="E1" s="3292"/>
      <c r="F1" s="3292"/>
      <c r="G1" s="3292"/>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2917</v>
      </c>
      <c r="D3" s="1994"/>
      <c r="E3" s="1225" t="s">
        <v>1665</v>
      </c>
      <c r="F3" s="1226" t="s">
        <v>1653</v>
      </c>
      <c r="G3" s="3037" t="s">
        <v>2916</v>
      </c>
      <c r="H3" s="1993"/>
      <c r="I3" s="1993"/>
      <c r="J3" s="1993"/>
      <c r="K3" s="1993"/>
      <c r="L3" s="1993"/>
      <c r="M3" s="1993"/>
      <c r="N3" s="1993"/>
      <c r="O3" s="1993"/>
      <c r="P3" s="1993"/>
      <c r="Q3" s="1993"/>
      <c r="R3" s="1993"/>
    </row>
    <row r="4" spans="1:18" ht="41.25">
      <c r="A4" s="1225"/>
      <c r="B4" s="1227" t="s">
        <v>1666</v>
      </c>
      <c r="C4" s="3034" t="s">
        <v>2918</v>
      </c>
      <c r="D4" s="1994"/>
      <c r="E4" s="1228"/>
      <c r="F4" s="1229" t="s">
        <v>1667</v>
      </c>
      <c r="G4" s="3035" t="s">
        <v>2913</v>
      </c>
      <c r="H4" s="1993"/>
      <c r="I4" s="1993"/>
      <c r="J4" s="1993"/>
      <c r="K4" s="1993"/>
      <c r="L4" s="1993"/>
      <c r="M4" s="1993"/>
      <c r="N4" s="1993"/>
      <c r="O4" s="1993"/>
      <c r="P4" s="1993"/>
      <c r="Q4" s="1993"/>
      <c r="R4" s="1993"/>
    </row>
    <row r="5" spans="1:18" ht="41.25">
      <c r="A5" s="1225"/>
      <c r="B5" s="1227" t="s">
        <v>1668</v>
      </c>
      <c r="C5" s="3034" t="s">
        <v>2919</v>
      </c>
      <c r="D5" s="1994"/>
      <c r="E5" s="1228"/>
      <c r="F5" s="1227" t="s">
        <v>2544</v>
      </c>
      <c r="G5" s="3035" t="s">
        <v>2914</v>
      </c>
      <c r="H5" s="1993"/>
      <c r="I5" s="1993"/>
      <c r="J5" s="1993"/>
      <c r="K5" s="1993"/>
      <c r="L5" s="1993"/>
      <c r="M5" s="1993"/>
      <c r="N5" s="1993"/>
      <c r="O5" s="1993"/>
      <c r="P5" s="1993"/>
      <c r="Q5" s="1993"/>
      <c r="R5" s="1993"/>
    </row>
    <row r="6" spans="1:18" ht="54">
      <c r="A6" s="1225"/>
      <c r="B6" s="1227" t="s">
        <v>1654</v>
      </c>
      <c r="C6" s="3035" t="s">
        <v>2913</v>
      </c>
      <c r="D6" s="1994"/>
      <c r="E6" s="1228"/>
      <c r="F6" s="1227" t="s">
        <v>2545</v>
      </c>
      <c r="G6" s="3035" t="s">
        <v>2911</v>
      </c>
      <c r="H6" s="1993"/>
      <c r="I6" s="1993"/>
      <c r="J6" s="1993"/>
      <c r="K6" s="1993"/>
      <c r="L6" s="1993"/>
      <c r="M6" s="1993"/>
      <c r="N6" s="1993"/>
      <c r="O6" s="1993"/>
      <c r="P6" s="1993"/>
      <c r="Q6" s="1993"/>
      <c r="R6" s="1993"/>
    </row>
    <row r="7" spans="1:18" ht="41.25" thickBot="1">
      <c r="A7" s="1225"/>
      <c r="B7" s="1227" t="s">
        <v>2544</v>
      </c>
      <c r="C7" s="3035" t="s">
        <v>2914</v>
      </c>
      <c r="D7" s="1995"/>
      <c r="E7" s="1230"/>
      <c r="F7" s="1231" t="s">
        <v>1669</v>
      </c>
      <c r="G7" s="3038" t="s">
        <v>2915</v>
      </c>
      <c r="H7" s="1993"/>
      <c r="I7" s="1993"/>
      <c r="J7" s="1993"/>
      <c r="K7" s="1993"/>
      <c r="L7" s="1993"/>
      <c r="M7" s="1993"/>
      <c r="N7" s="1993"/>
      <c r="O7" s="1993"/>
      <c r="P7" s="1993"/>
      <c r="Q7" s="1993"/>
      <c r="R7" s="1993"/>
    </row>
    <row r="8" spans="1:18" ht="27">
      <c r="A8" s="1225"/>
      <c r="B8" s="1227" t="s">
        <v>2545</v>
      </c>
      <c r="C8" s="3035" t="s">
        <v>2911</v>
      </c>
      <c r="D8" s="1995"/>
      <c r="E8" s="1995"/>
      <c r="F8" s="1540"/>
      <c r="G8" s="1540"/>
      <c r="H8" s="1993"/>
      <c r="I8" s="1993"/>
      <c r="J8" s="1993"/>
      <c r="K8" s="1993"/>
      <c r="L8" s="1993"/>
      <c r="M8" s="1993"/>
      <c r="N8" s="1993"/>
      <c r="O8" s="1993"/>
      <c r="P8" s="1993"/>
      <c r="Q8" s="1993"/>
      <c r="R8" s="1993"/>
    </row>
    <row r="9" spans="1:18" ht="40.5">
      <c r="A9" s="1225"/>
      <c r="B9" s="1227" t="s">
        <v>1655</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3204" t="s">
        <v>3109</v>
      </c>
      <c r="D19" s="1994"/>
      <c r="E19" s="2550"/>
      <c r="F19" s="1227" t="s">
        <v>2544</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1660</v>
      </c>
      <c r="G21" s="3039"/>
    </row>
    <row r="22" spans="1:7" ht="27">
      <c r="A22" s="2553"/>
      <c r="B22" s="1227" t="s">
        <v>2545</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6" sqref="I16"/>
    </sheetView>
  </sheetViews>
  <sheetFormatPr defaultColWidth="14.625" defaultRowHeight="13.5"/>
  <cols>
    <col min="1" max="1" width="24.375" customWidth="1"/>
  </cols>
  <sheetData>
    <row r="1" spans="1:9" ht="16.5">
      <c r="A1" s="2997" t="s">
        <v>2841</v>
      </c>
      <c r="B1" s="2997">
        <f>SUM(B14:B23)</f>
        <v>741835.15100000007</v>
      </c>
      <c r="C1" s="2998"/>
      <c r="D1" s="2998"/>
      <c r="E1" s="2998"/>
      <c r="F1" s="2998"/>
    </row>
    <row r="2" spans="1:9" ht="16.5">
      <c r="A2" s="2997" t="s">
        <v>2842</v>
      </c>
      <c r="B2" s="2997">
        <f>SUM(C14:C23)</f>
        <v>292833.32999999996</v>
      </c>
      <c r="C2" s="2998"/>
      <c r="D2" s="2998"/>
      <c r="E2" s="2998"/>
      <c r="F2" s="2998"/>
    </row>
    <row r="3" spans="1:9" ht="16.5">
      <c r="A3" s="2997" t="s">
        <v>2843</v>
      </c>
      <c r="B3" s="2999">
        <f>项目基本情况!D3</f>
        <v>43606</v>
      </c>
      <c r="C3" s="2998"/>
      <c r="D3" s="2998"/>
      <c r="E3" s="2998"/>
      <c r="F3" s="2998"/>
    </row>
    <row r="4" spans="1:9" ht="33">
      <c r="A4" s="2997" t="s">
        <v>2844</v>
      </c>
      <c r="B4" s="2997" t="s">
        <v>2845</v>
      </c>
      <c r="C4" s="2997" t="s">
        <v>2846</v>
      </c>
      <c r="D4" s="2997" t="s">
        <v>2847</v>
      </c>
      <c r="E4" s="2998"/>
      <c r="F4" s="2998"/>
    </row>
    <row r="5" spans="1:9" ht="16.5">
      <c r="A5" s="2997" t="s">
        <v>2848</v>
      </c>
      <c r="B5" s="2997">
        <f ca="1">SUM(D14:D23)</f>
        <v>224186</v>
      </c>
      <c r="C5" s="2997">
        <f ca="1">ROUND(B5*10000/$B$1,0)</f>
        <v>3022</v>
      </c>
      <c r="D5" s="2997">
        <f ca="1">ROUND(B5*10000/$B$2,0)</f>
        <v>7656</v>
      </c>
      <c r="E5" s="2998"/>
      <c r="F5" s="2998"/>
    </row>
    <row r="6" spans="1:9" ht="16.5">
      <c r="A6" s="2997" t="s">
        <v>2849</v>
      </c>
      <c r="B6" s="2997">
        <f ca="1">SUM(G14:G23)</f>
        <v>224186</v>
      </c>
      <c r="C6" s="2997">
        <f t="shared" ref="C6:C8" ca="1" si="0">ROUND(B6*10000/$B$1,0)</f>
        <v>3022</v>
      </c>
      <c r="D6" s="2997">
        <f t="shared" ref="D6:D8" ca="1" si="1">ROUND(B6*10000/$B$2,0)</f>
        <v>7656</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507605.15100000001</v>
      </c>
      <c r="C14" s="3001">
        <f>结果表!K38</f>
        <v>200833.33</v>
      </c>
      <c r="D14" s="3001">
        <f ca="1">结果表!C42</f>
        <v>154493</v>
      </c>
      <c r="E14" s="3001">
        <f ca="1">ROUND(D14*10000/B14,0)</f>
        <v>3044</v>
      </c>
      <c r="F14" s="3001">
        <f ca="1">ROUND(D14*10000/C14,0)</f>
        <v>7693</v>
      </c>
      <c r="G14" s="3001">
        <f ca="1">结果表!C44</f>
        <v>154493</v>
      </c>
      <c r="H14" s="3001" t="str">
        <f>结果表!C45</f>
        <v>——</v>
      </c>
      <c r="I14" s="3001" t="str">
        <f>结果表!C46</f>
        <v>——</v>
      </c>
    </row>
    <row r="15" spans="1:9" ht="16.5">
      <c r="A15" s="3004" t="s">
        <v>2858</v>
      </c>
      <c r="B15" s="3005">
        <f>[1]结果表!$L$38</f>
        <v>234230</v>
      </c>
      <c r="C15" s="3005">
        <f>[1]结果表!$K$38</f>
        <v>92000</v>
      </c>
      <c r="D15" s="3005">
        <f ca="1">[1]结果表!$C$42</f>
        <v>69693</v>
      </c>
      <c r="E15" s="3001">
        <f t="shared" ref="E15:E23" ca="1" si="2">ROUND(D15*10000/B15,0)</f>
        <v>2975</v>
      </c>
      <c r="F15" s="3001">
        <f t="shared" ref="F15:F23" ca="1" si="3">ROUND(D15*10000/C15,0)</f>
        <v>7575</v>
      </c>
      <c r="G15" s="3002">
        <f ca="1">[1]结果表!$C$44</f>
        <v>69693</v>
      </c>
      <c r="H15" s="3002" t="str">
        <f>[1]结果表!$C$45</f>
        <v>——</v>
      </c>
      <c r="I15" s="3005" t="str">
        <f>[1]结果表!$C$46</f>
        <v>——</v>
      </c>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t="s">
        <v>3022</v>
      </c>
      <c r="E1" s="1790" t="s">
        <v>2055</v>
      </c>
      <c r="F1" s="1792" t="s">
        <v>3023</v>
      </c>
      <c r="G1" s="311"/>
      <c r="H1" s="311"/>
      <c r="I1" s="311"/>
      <c r="J1" s="2014"/>
      <c r="K1" s="2014"/>
      <c r="L1" s="2014"/>
      <c r="M1" s="2014"/>
      <c r="N1" s="2014"/>
      <c r="O1" s="2014"/>
      <c r="P1" s="2014"/>
      <c r="Q1" s="2014"/>
      <c r="R1" s="2014"/>
      <c r="S1" s="2014"/>
      <c r="T1" s="2014"/>
      <c r="U1" s="2014"/>
      <c r="V1" s="2014"/>
    </row>
    <row r="2" spans="1:22" ht="21.75" customHeight="1" thickBot="1">
      <c r="A2" s="3338" t="str">
        <f>项目基本情况!K2</f>
        <v>河北省廊坊市香河县周庄村西侧出让国有建设用地使用权</v>
      </c>
      <c r="B2" s="3339"/>
      <c r="C2" s="3340"/>
      <c r="D2" s="3340"/>
      <c r="E2" s="3340"/>
      <c r="F2" s="3340"/>
      <c r="G2" s="3339"/>
      <c r="H2" s="3339"/>
      <c r="I2" s="3341"/>
      <c r="J2" s="2015"/>
      <c r="K2" s="2014"/>
      <c r="L2" s="2014"/>
      <c r="M2" s="2014"/>
      <c r="N2" s="2014"/>
      <c r="O2" s="2014"/>
      <c r="P2" s="2014"/>
      <c r="Q2" s="2014"/>
      <c r="R2" s="2014"/>
      <c r="S2" s="2014"/>
      <c r="T2" s="2014"/>
      <c r="U2" s="2014"/>
      <c r="V2" s="2014"/>
    </row>
    <row r="3" spans="1:22" ht="14.25">
      <c r="A3" s="3349" t="s">
        <v>297</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25">
      <c r="A4" s="258" t="s">
        <v>298</v>
      </c>
      <c r="B4" s="259" t="s">
        <v>299</v>
      </c>
      <c r="C4" s="260" t="s">
        <v>3024</v>
      </c>
      <c r="D4" s="260" t="s">
        <v>3025</v>
      </c>
      <c r="E4" s="3313" t="s">
        <v>300</v>
      </c>
      <c r="F4" s="3355"/>
      <c r="G4" s="3355"/>
      <c r="H4" s="3355"/>
      <c r="I4" s="331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2" t="s">
        <v>301</v>
      </c>
      <c r="B5" s="3343">
        <v>25</v>
      </c>
      <c r="C5" s="3351"/>
      <c r="D5" s="3354"/>
      <c r="E5" s="261" t="s">
        <v>302</v>
      </c>
      <c r="F5" s="262"/>
      <c r="G5" s="262"/>
      <c r="H5" s="262"/>
      <c r="I5" s="263"/>
      <c r="J5" s="2015"/>
      <c r="K5" s="2014"/>
      <c r="L5" s="2014"/>
      <c r="M5" s="2014"/>
      <c r="N5" s="2014"/>
      <c r="O5" s="2014"/>
      <c r="P5" s="2014"/>
      <c r="Q5" s="2014"/>
      <c r="R5" s="2014"/>
      <c r="S5" s="2014"/>
      <c r="T5" s="2014"/>
      <c r="U5" s="2014"/>
      <c r="V5" s="2014"/>
    </row>
    <row r="6" spans="1:22" ht="14.25">
      <c r="A6" s="3342"/>
      <c r="B6" s="3343"/>
      <c r="C6" s="3352"/>
      <c r="D6" s="3354"/>
      <c r="E6" s="261" t="s">
        <v>303</v>
      </c>
      <c r="F6" s="262"/>
      <c r="G6" s="262"/>
      <c r="H6" s="262"/>
      <c r="I6" s="263"/>
      <c r="J6" s="2015"/>
      <c r="K6" s="2014"/>
      <c r="L6" s="2014"/>
      <c r="M6" s="2014"/>
      <c r="N6" s="2014"/>
      <c r="O6" s="2014"/>
      <c r="P6" s="2014"/>
      <c r="Q6" s="2014"/>
      <c r="R6" s="2014"/>
      <c r="S6" s="2014"/>
      <c r="T6" s="2014"/>
      <c r="U6" s="2014"/>
      <c r="V6" s="2014"/>
    </row>
    <row r="7" spans="1:22" ht="14.25">
      <c r="A7" s="3342"/>
      <c r="B7" s="3343"/>
      <c r="C7" s="3353"/>
      <c r="D7" s="3354"/>
      <c r="E7" s="261" t="s">
        <v>304</v>
      </c>
      <c r="F7" s="262"/>
      <c r="G7" s="262"/>
      <c r="H7" s="262"/>
      <c r="I7" s="263"/>
      <c r="J7" s="2015"/>
      <c r="K7" s="2014"/>
      <c r="L7" s="2014"/>
      <c r="M7" s="2014"/>
      <c r="N7" s="2014"/>
      <c r="O7" s="2014"/>
      <c r="P7" s="2014"/>
      <c r="Q7" s="2014"/>
      <c r="R7" s="2014"/>
      <c r="S7" s="2014"/>
      <c r="T7" s="2014"/>
      <c r="U7" s="2014"/>
      <c r="V7" s="2014"/>
    </row>
    <row r="8" spans="1:22" ht="14.25">
      <c r="A8" s="3342" t="s">
        <v>305</v>
      </c>
      <c r="B8" s="3343">
        <v>15</v>
      </c>
      <c r="C8" s="3351"/>
      <c r="D8" s="3354"/>
      <c r="E8" s="261" t="s">
        <v>306</v>
      </c>
      <c r="F8" s="262"/>
      <c r="G8" s="262"/>
      <c r="H8" s="262"/>
      <c r="I8" s="263"/>
      <c r="J8" s="2015"/>
      <c r="K8" s="2014"/>
      <c r="L8" s="2014"/>
      <c r="M8" s="2014"/>
      <c r="N8" s="2014"/>
      <c r="O8" s="2014"/>
      <c r="P8" s="2014"/>
      <c r="Q8" s="2014"/>
      <c r="R8" s="2014"/>
      <c r="S8" s="2014"/>
      <c r="T8" s="2014"/>
      <c r="U8" s="2014"/>
      <c r="V8" s="2014"/>
    </row>
    <row r="9" spans="1:22" ht="14.25">
      <c r="A9" s="3342"/>
      <c r="B9" s="3343"/>
      <c r="C9" s="3353"/>
      <c r="D9" s="3354"/>
      <c r="E9" s="261" t="s">
        <v>307</v>
      </c>
      <c r="F9" s="262"/>
      <c r="G9" s="262"/>
      <c r="H9" s="262"/>
      <c r="I9" s="263"/>
      <c r="J9" s="2015"/>
      <c r="K9" s="2014"/>
      <c r="L9" s="2014"/>
      <c r="M9" s="2014"/>
      <c r="N9" s="2014"/>
      <c r="O9" s="2014"/>
      <c r="P9" s="2014"/>
      <c r="Q9" s="2014"/>
      <c r="R9" s="2014"/>
      <c r="S9" s="2014"/>
      <c r="T9" s="2014"/>
      <c r="U9" s="2014"/>
      <c r="V9" s="2014"/>
    </row>
    <row r="10" spans="1:22" ht="14.25">
      <c r="A10" s="3342" t="s">
        <v>308</v>
      </c>
      <c r="B10" s="3343">
        <v>15</v>
      </c>
      <c r="C10" s="3351"/>
      <c r="D10" s="3354"/>
      <c r="E10" s="261" t="s">
        <v>309</v>
      </c>
      <c r="F10" s="262"/>
      <c r="G10" s="262"/>
      <c r="H10" s="262"/>
      <c r="I10" s="263"/>
      <c r="J10" s="2015"/>
      <c r="K10" s="2014"/>
      <c r="L10" s="2014"/>
      <c r="M10" s="2014"/>
      <c r="N10" s="2014"/>
      <c r="O10" s="2014"/>
      <c r="P10" s="2014"/>
      <c r="Q10" s="2014"/>
      <c r="R10" s="2014"/>
      <c r="S10" s="2014"/>
      <c r="T10" s="2014"/>
      <c r="U10" s="2014"/>
      <c r="V10" s="2014"/>
    </row>
    <row r="11" spans="1:22" ht="14.25">
      <c r="A11" s="3342"/>
      <c r="B11" s="3343"/>
      <c r="C11" s="3353"/>
      <c r="D11" s="3354"/>
      <c r="E11" s="261" t="s">
        <v>310</v>
      </c>
      <c r="F11" s="262"/>
      <c r="G11" s="262"/>
      <c r="H11" s="262"/>
      <c r="I11" s="263"/>
      <c r="J11" s="2015"/>
      <c r="K11" s="2014"/>
      <c r="L11" s="2014"/>
      <c r="M11" s="2014"/>
      <c r="N11" s="2014"/>
      <c r="O11" s="2014"/>
      <c r="P11" s="2014"/>
      <c r="Q11" s="2014"/>
      <c r="R11" s="2014"/>
      <c r="S11" s="2014"/>
      <c r="T11" s="2014"/>
      <c r="U11" s="2014"/>
      <c r="V11" s="2014"/>
    </row>
    <row r="12" spans="1:22" ht="14.25">
      <c r="A12" s="3342" t="s">
        <v>311</v>
      </c>
      <c r="B12" s="3343">
        <v>15</v>
      </c>
      <c r="C12" s="3351"/>
      <c r="D12" s="3354"/>
      <c r="E12" s="261" t="s">
        <v>312</v>
      </c>
      <c r="F12" s="262"/>
      <c r="G12" s="262"/>
      <c r="H12" s="262"/>
      <c r="I12" s="263"/>
      <c r="J12" s="2015"/>
      <c r="K12" s="2014"/>
      <c r="L12" s="2014"/>
      <c r="M12" s="2014"/>
      <c r="N12" s="2014"/>
      <c r="O12" s="2014"/>
      <c r="P12" s="2014"/>
      <c r="Q12" s="2014"/>
      <c r="R12" s="2014"/>
      <c r="S12" s="2014"/>
      <c r="T12" s="2014"/>
      <c r="U12" s="2014"/>
      <c r="V12" s="2014"/>
    </row>
    <row r="13" spans="1:22" ht="14.25">
      <c r="A13" s="3342"/>
      <c r="B13" s="3343"/>
      <c r="C13" s="3353"/>
      <c r="D13" s="3354"/>
      <c r="E13" s="261" t="s">
        <v>313</v>
      </c>
      <c r="F13" s="262"/>
      <c r="G13" s="262"/>
      <c r="H13" s="262"/>
      <c r="I13" s="263"/>
      <c r="J13" s="2015"/>
      <c r="K13" s="2014"/>
      <c r="L13" s="2014"/>
      <c r="M13" s="2014"/>
      <c r="N13" s="2014"/>
      <c r="O13" s="2014"/>
      <c r="P13" s="2014"/>
      <c r="Q13" s="2014"/>
      <c r="R13" s="2014"/>
      <c r="S13" s="2014"/>
      <c r="T13" s="2014"/>
      <c r="U13" s="2014"/>
      <c r="V13" s="2014"/>
    </row>
    <row r="14" spans="1:22" ht="14.25">
      <c r="A14" s="3342" t="s">
        <v>314</v>
      </c>
      <c r="B14" s="3343">
        <v>30</v>
      </c>
      <c r="C14" s="3351">
        <v>4</v>
      </c>
      <c r="D14" s="3354">
        <v>6</v>
      </c>
      <c r="E14" s="261" t="s">
        <v>315</v>
      </c>
      <c r="F14" s="262"/>
      <c r="G14" s="262"/>
      <c r="H14" s="262"/>
      <c r="I14" s="263"/>
      <c r="J14" s="2015"/>
      <c r="K14" s="2014"/>
      <c r="L14" s="2014"/>
      <c r="M14" s="2014"/>
      <c r="N14" s="2014"/>
      <c r="O14" s="2014"/>
      <c r="P14" s="2014"/>
      <c r="Q14" s="2014"/>
      <c r="R14" s="2014"/>
      <c r="S14" s="2014"/>
      <c r="T14" s="2014"/>
      <c r="U14" s="2014"/>
      <c r="V14" s="2014"/>
    </row>
    <row r="15" spans="1:22" ht="14.25">
      <c r="A15" s="3342"/>
      <c r="B15" s="3343"/>
      <c r="C15" s="3352"/>
      <c r="D15" s="3354"/>
      <c r="E15" s="261" t="s">
        <v>316</v>
      </c>
      <c r="F15" s="262"/>
      <c r="G15" s="262"/>
      <c r="H15" s="262"/>
      <c r="I15" s="263"/>
      <c r="J15" s="2015"/>
      <c r="K15" s="2014"/>
      <c r="L15" s="2014"/>
      <c r="M15" s="2014"/>
      <c r="N15" s="2014"/>
      <c r="O15" s="2014"/>
      <c r="P15" s="2014"/>
      <c r="Q15" s="2014"/>
      <c r="R15" s="2014"/>
      <c r="S15" s="2014"/>
      <c r="T15" s="2014"/>
      <c r="U15" s="2014"/>
      <c r="V15" s="2014"/>
    </row>
    <row r="16" spans="1:22" ht="14.25">
      <c r="A16" s="3342"/>
      <c r="B16" s="3343"/>
      <c r="C16" s="3353"/>
      <c r="D16" s="3354"/>
      <c r="E16" s="261" t="s">
        <v>317</v>
      </c>
      <c r="F16" s="262"/>
      <c r="G16" s="262"/>
      <c r="H16" s="262"/>
      <c r="I16" s="263"/>
      <c r="J16" s="2015"/>
      <c r="K16" s="2014"/>
      <c r="L16" s="2014"/>
      <c r="M16" s="2014"/>
      <c r="N16" s="2014"/>
      <c r="O16" s="2014"/>
      <c r="P16" s="2014"/>
      <c r="Q16" s="2014"/>
      <c r="R16" s="2014"/>
      <c r="S16" s="2014"/>
      <c r="T16" s="2014"/>
      <c r="U16" s="2014"/>
      <c r="V16" s="2014"/>
    </row>
    <row r="17" spans="1:26" ht="15">
      <c r="A17" s="264" t="s">
        <v>318</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319</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320</v>
      </c>
      <c r="B19" s="269" t="s">
        <v>321</v>
      </c>
      <c r="C19" s="270">
        <f ca="1">SUMIF(INDIRECT("'"&amp;C4&amp;"'"&amp;"!A:A"),结果表!B19,INDIRECT("'"&amp;C4&amp;"'"&amp;"!B:B"))</f>
        <v>96991</v>
      </c>
      <c r="D19" s="271">
        <f ca="1">SUMIF(INDIRECT("'"&amp;D4&amp;"'"&amp;"!A:A"),结果表!B19,INDIRECT("'"&amp;D4&amp;"'"&amp;"!B:B"))</f>
        <v>192827</v>
      </c>
      <c r="E19" s="268" t="s">
        <v>322</v>
      </c>
      <c r="F19" s="269" t="s">
        <v>321</v>
      </c>
      <c r="G19" s="272">
        <f ca="1">ROUND(C19*$C$18+D19*$D$18,0)</f>
        <v>154493</v>
      </c>
      <c r="H19" s="273" t="s">
        <v>323</v>
      </c>
      <c r="I19" s="311"/>
      <c r="J19" s="2014"/>
      <c r="K19" s="2014"/>
      <c r="L19" s="2014"/>
      <c r="M19" s="2014"/>
      <c r="N19" s="2014"/>
      <c r="O19" s="2014"/>
      <c r="P19" s="2014"/>
      <c r="Q19" s="2014"/>
      <c r="R19" s="2014"/>
      <c r="S19" s="2014"/>
      <c r="T19" s="2014"/>
      <c r="U19" s="2014"/>
      <c r="V19" s="2014"/>
    </row>
    <row r="20" spans="1:26" ht="15">
      <c r="A20" s="274"/>
      <c r="B20" s="275" t="s">
        <v>324</v>
      </c>
      <c r="C20" s="276">
        <f ca="1">SUMIF(INDIRECT("'"&amp;C4&amp;"'"&amp;"!A:A"),结果表!B20,INDIRECT("'"&amp;C4&amp;"'"&amp;"!B:B"))</f>
        <v>1911</v>
      </c>
      <c r="D20" s="277">
        <f ca="1">SUMIF(INDIRECT("'"&amp;D4&amp;"'"&amp;"!A:A"),结果表!B20,INDIRECT("'"&amp;D4&amp;"'"&amp;"!B:B"))</f>
        <v>3799</v>
      </c>
      <c r="E20" s="274"/>
      <c r="F20" s="275" t="s">
        <v>324</v>
      </c>
      <c r="G20" s="278">
        <f ca="1">ROUND(C20*$C$18+D20*$D$18,0)</f>
        <v>3044</v>
      </c>
      <c r="H20" s="279" t="s">
        <v>325</v>
      </c>
      <c r="I20" s="311"/>
      <c r="J20" s="2014"/>
      <c r="K20" s="2014"/>
      <c r="L20" s="2014"/>
      <c r="M20" s="2014"/>
      <c r="N20" s="2014"/>
      <c r="O20" s="2014"/>
      <c r="P20" s="2014"/>
      <c r="Q20" s="2014"/>
      <c r="R20" s="2014"/>
      <c r="S20" s="2014"/>
      <c r="T20" s="2014"/>
      <c r="U20" s="2014"/>
      <c r="V20" s="2014"/>
    </row>
    <row r="21" spans="1:26" ht="15" customHeight="1">
      <c r="A21" s="274"/>
      <c r="B21" s="280" t="s">
        <v>326</v>
      </c>
      <c r="C21" s="281">
        <f ca="1">SUMIF(INDIRECT("'"&amp;C4&amp;"'"&amp;"!A:A"),结果表!B21,INDIRECT("'"&amp;C4&amp;"'"&amp;"!B:B"))</f>
        <v>4829</v>
      </c>
      <c r="D21" s="151">
        <f ca="1">SUMIF(INDIRECT("'"&amp;D4&amp;"'"&amp;"!A:A"),结果表!B21,INDIRECT("'"&amp;D4&amp;"'"&amp;"!B:B"))</f>
        <v>9601</v>
      </c>
      <c r="E21" s="274"/>
      <c r="F21" s="280" t="s">
        <v>326</v>
      </c>
      <c r="G21" s="282">
        <f ca="1">ROUND(C21*$C$18+D21*$D$18,0)</f>
        <v>7692</v>
      </c>
      <c r="H21" s="1247" t="s">
        <v>325</v>
      </c>
      <c r="I21" s="311"/>
      <c r="J21" s="2014"/>
      <c r="K21" s="2014"/>
      <c r="L21" s="2014"/>
      <c r="M21" s="2014"/>
      <c r="N21" s="2014"/>
      <c r="O21" s="2014"/>
      <c r="P21" s="2014"/>
      <c r="Q21" s="2014"/>
      <c r="R21" s="2014"/>
      <c r="S21" s="2014"/>
      <c r="T21" s="2014"/>
      <c r="U21" s="2014"/>
      <c r="V21" s="2014"/>
    </row>
    <row r="22" spans="1:26" ht="15.75" thickBot="1">
      <c r="A22" s="126" t="s">
        <v>327</v>
      </c>
      <c r="B22" s="1248"/>
      <c r="C22" s="1249"/>
      <c r="D22" s="283">
        <f ca="1">IF(C19&lt;D19,D19/C19-1,C19/D19-1)</f>
        <v>0.98809167860935543</v>
      </c>
      <c r="E22" s="284"/>
      <c r="F22" s="285"/>
      <c r="G22" s="286">
        <f ca="1">ROUND(G19/('数据-汇总表'!D3/666.67),0)</f>
        <v>513</v>
      </c>
      <c r="H22" s="287" t="s">
        <v>328</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5" t="s">
        <v>329</v>
      </c>
      <c r="B24" s="269" t="s">
        <v>321</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7"/>
      <c r="B25" s="1317" t="s">
        <v>330</v>
      </c>
      <c r="C25" s="290">
        <f>IF(B30=0,0,C30)</f>
        <v>0</v>
      </c>
      <c r="D25" s="291"/>
      <c r="E25" s="311"/>
      <c r="F25" s="311"/>
      <c r="G25" s="311"/>
      <c r="H25" s="311"/>
      <c r="I25" s="311"/>
      <c r="J25" s="2014"/>
      <c r="K25" s="1251" t="str">
        <f ca="1">项目基本情况!B16&amp;"国有建设用地使用权价格："&amp;O38&amp;"万元"</f>
        <v>出让国有建设用地使用权价格：154493万元</v>
      </c>
      <c r="L25" s="1252"/>
      <c r="M25" s="1252"/>
      <c r="N25" s="1252"/>
      <c r="O25" s="1253"/>
      <c r="P25" s="2014"/>
      <c r="Q25" s="2014"/>
      <c r="R25" s="2014"/>
      <c r="S25" s="2014"/>
      <c r="T25" s="2014"/>
      <c r="U25" s="2014"/>
      <c r="V25" s="2014"/>
    </row>
    <row r="26" spans="1:26" s="1250" customFormat="1" ht="18">
      <c r="A26" s="293" t="s">
        <v>331</v>
      </c>
      <c r="B26" s="294" t="s">
        <v>332</v>
      </c>
      <c r="C26" s="294" t="s">
        <v>333</v>
      </c>
      <c r="D26" s="295" t="s">
        <v>334</v>
      </c>
      <c r="E26" s="311"/>
      <c r="F26" s="311"/>
      <c r="G26" s="311"/>
      <c r="H26" s="311"/>
      <c r="I26" s="311"/>
      <c r="J26" s="2014"/>
      <c r="K26" s="1254" t="str">
        <f ca="1">"大写金额：人民币"&amp;NUMBERSTRING(INT(O38*10000),2)&amp;"元整"</f>
        <v>大写金额：人民币壹拾伍亿肆仟肆佰玖拾叁万元整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单位面积地价：7693元/平方米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楼面地价：3044元/平方米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抵押价格：154493万元</v>
      </c>
      <c r="L29" s="1248"/>
      <c r="M29" s="1248"/>
      <c r="N29" s="1248"/>
      <c r="O29" s="1247"/>
      <c r="P29" s="2014"/>
      <c r="V29" s="2014"/>
    </row>
    <row r="30" spans="1:26" ht="18.75" thickBot="1">
      <c r="A30" s="3082" t="s">
        <v>335</v>
      </c>
      <c r="B30" s="309"/>
      <c r="C30" s="309"/>
      <c r="D30" s="310"/>
      <c r="E30" s="3083" t="s">
        <v>2964</v>
      </c>
      <c r="F30" s="311"/>
      <c r="G30" s="311"/>
      <c r="H30" s="311"/>
      <c r="I30" s="311"/>
      <c r="J30" s="2014"/>
      <c r="K30" s="1254" t="str">
        <f ca="1">IF(K29="——","——","大写金额：人民币"&amp;NUMBERSTRING(INT(O39*10000),2)&amp;"元整")</f>
        <v>大写金额：人民币壹拾伍亿肆仟肆佰玖拾叁万元整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336</v>
      </c>
      <c r="B32" s="1378" t="s">
        <v>1687</v>
      </c>
      <c r="C32" s="1379">
        <f ca="1">G19-C24</f>
        <v>154493</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339</v>
      </c>
      <c r="B33" s="1381" t="s">
        <v>1689</v>
      </c>
      <c r="C33" s="264">
        <f ca="1">ROUND(C32*10000/'数据-汇总表'!E3,0)</f>
        <v>3044</v>
      </c>
      <c r="D33" s="1382" t="s">
        <v>1690</v>
      </c>
      <c r="E33" s="3315"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1691</v>
      </c>
      <c r="C34" s="264">
        <f ca="1">ROUND(C32*10000/'数据-汇总表'!D3,0)</f>
        <v>7693</v>
      </c>
      <c r="D34" s="1384" t="s">
        <v>1690</v>
      </c>
      <c r="E34" s="3316"/>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513</v>
      </c>
      <c r="D35" s="1387" t="s">
        <v>1692</v>
      </c>
      <c r="E35" s="3317"/>
      <c r="F35" s="301" t="s">
        <v>341</v>
      </c>
      <c r="G35" s="982"/>
      <c r="H35" s="981" t="s">
        <v>342</v>
      </c>
      <c r="I35" s="311"/>
      <c r="J35" s="2014"/>
      <c r="K35" s="3321" t="s">
        <v>349</v>
      </c>
      <c r="L35" s="3321" t="s">
        <v>350</v>
      </c>
      <c r="M35" s="1260" t="s">
        <v>351</v>
      </c>
      <c r="N35" s="3321" t="s">
        <v>352</v>
      </c>
      <c r="O35" s="3321" t="s">
        <v>353</v>
      </c>
      <c r="P35" s="2014"/>
      <c r="V35" s="2014"/>
    </row>
    <row r="36" spans="1:26" ht="16.5" customHeight="1">
      <c r="A36" s="303" t="s">
        <v>343</v>
      </c>
      <c r="B36" s="304" t="s">
        <v>332</v>
      </c>
      <c r="C36" s="305" t="s">
        <v>344</v>
      </c>
      <c r="D36" s="305" t="s">
        <v>345</v>
      </c>
      <c r="E36" s="306" t="s">
        <v>346</v>
      </c>
      <c r="F36" s="311"/>
      <c r="G36" s="311"/>
      <c r="H36" s="311"/>
      <c r="I36" s="311"/>
      <c r="J36" s="2016"/>
      <c r="K36" s="3322"/>
      <c r="L36" s="3322"/>
      <c r="M36" s="1262" t="s">
        <v>354</v>
      </c>
      <c r="N36" s="3322"/>
      <c r="O36" s="3322"/>
      <c r="P36" s="2014"/>
      <c r="V36" s="2014"/>
    </row>
    <row r="37" spans="1:26" ht="16.5" customHeight="1" thickBot="1">
      <c r="A37" s="1256" t="s">
        <v>347</v>
      </c>
      <c r="B37" s="307"/>
      <c r="C37" s="294"/>
      <c r="D37" s="294"/>
      <c r="E37" s="295"/>
      <c r="F37" s="311"/>
      <c r="G37" s="311"/>
      <c r="H37" s="311"/>
      <c r="I37" s="311"/>
      <c r="J37" s="2016"/>
      <c r="K37" s="3323"/>
      <c r="L37" s="3323"/>
      <c r="M37" s="1263"/>
      <c r="N37" s="3323"/>
      <c r="O37" s="3323"/>
      <c r="P37" s="2014"/>
      <c r="V37" s="2014"/>
    </row>
    <row r="38" spans="1:26" ht="16.5" customHeight="1" thickBot="1">
      <c r="A38" s="1256" t="s">
        <v>348</v>
      </c>
      <c r="B38" s="307"/>
      <c r="C38" s="294"/>
      <c r="D38" s="294"/>
      <c r="E38" s="295"/>
      <c r="F38" s="311"/>
      <c r="G38" s="311"/>
      <c r="H38" s="311"/>
      <c r="I38" s="311"/>
      <c r="J38" s="2016"/>
      <c r="K38" s="1264">
        <f>'数据-汇总表'!D3</f>
        <v>200833.33</v>
      </c>
      <c r="L38" s="1265">
        <f>'数据-汇总表'!E3</f>
        <v>507605.15100000001</v>
      </c>
      <c r="M38" s="1265">
        <f ca="1">C34</f>
        <v>7693</v>
      </c>
      <c r="N38" s="1265">
        <f ca="1">C33</f>
        <v>3044</v>
      </c>
      <c r="O38" s="1266">
        <f ca="1">C32</f>
        <v>154493</v>
      </c>
      <c r="P38" s="2014"/>
      <c r="V38" s="2014"/>
    </row>
    <row r="39" spans="1:26" ht="16.5" customHeight="1" thickBot="1">
      <c r="A39" s="1261"/>
      <c r="B39" s="308"/>
      <c r="C39" s="309"/>
      <c r="D39" s="309"/>
      <c r="E39" s="310"/>
      <c r="F39" s="311"/>
      <c r="G39" s="311"/>
      <c r="H39" s="311"/>
      <c r="I39" s="311"/>
      <c r="J39" s="2016"/>
      <c r="K39" s="3298" t="str">
        <f>MID(A44,3,LEN(A44)-2)</f>
        <v>抵押价格</v>
      </c>
      <c r="L39" s="3299"/>
      <c r="M39" s="3299"/>
      <c r="N39" s="3300"/>
      <c r="O39" s="1389">
        <f ca="1">C44</f>
        <v>154493</v>
      </c>
      <c r="P39" s="2014"/>
      <c r="V39" s="2014"/>
    </row>
    <row r="40" spans="1:26" ht="19.5" thickBot="1">
      <c r="A40" s="104" t="s">
        <v>872</v>
      </c>
      <c r="B40" s="311"/>
      <c r="C40" s="311"/>
      <c r="D40" s="311"/>
      <c r="E40" s="311"/>
      <c r="F40" s="311"/>
      <c r="G40" s="311"/>
      <c r="H40" s="311"/>
      <c r="I40" s="311"/>
      <c r="J40" s="2016"/>
      <c r="K40" s="3298" t="str">
        <f t="shared" ref="K40:K41" si="0">MID(A45,3,LEN(A45)-2)</f>
        <v/>
      </c>
      <c r="L40" s="3299"/>
      <c r="M40" s="3299"/>
      <c r="N40" s="3300"/>
      <c r="O40" s="1389" t="str">
        <f>C45</f>
        <v>——</v>
      </c>
      <c r="P40" s="2014"/>
      <c r="V40" s="2014"/>
    </row>
    <row r="41" spans="1:26" ht="16.5" thickBot="1">
      <c r="A41" s="312" t="s">
        <v>355</v>
      </c>
      <c r="B41" s="313"/>
      <c r="C41" s="314" t="s">
        <v>356</v>
      </c>
      <c r="D41" s="315" t="s">
        <v>357</v>
      </c>
      <c r="E41" s="315" t="s">
        <v>358</v>
      </c>
      <c r="F41" s="316" t="s">
        <v>359</v>
      </c>
      <c r="G41" s="311"/>
      <c r="H41" s="311"/>
      <c r="I41" s="311"/>
      <c r="J41" s="2016"/>
      <c r="K41" s="3298" t="str">
        <f t="shared" si="0"/>
        <v/>
      </c>
      <c r="L41" s="3299"/>
      <c r="M41" s="3299"/>
      <c r="N41" s="3300"/>
      <c r="O41" s="1389" t="str">
        <f>C46</f>
        <v>——</v>
      </c>
      <c r="P41" s="2014"/>
      <c r="V41" s="2014"/>
    </row>
    <row r="42" spans="1:26" ht="29.25">
      <c r="A42" s="3358" t="s">
        <v>2065</v>
      </c>
      <c r="B42" s="3359"/>
      <c r="C42" s="264">
        <f ca="1">C32</f>
        <v>154493</v>
      </c>
      <c r="D42" s="317">
        <f ca="1">C33</f>
        <v>3044</v>
      </c>
      <c r="E42" s="317">
        <f ca="1">C34</f>
        <v>7693</v>
      </c>
      <c r="F42" s="318">
        <f ca="1">C35</f>
        <v>513</v>
      </c>
      <c r="G42" s="311"/>
      <c r="H42" s="311"/>
      <c r="I42" s="319"/>
      <c r="J42" s="2016"/>
      <c r="K42" s="1267" t="s">
        <v>360</v>
      </c>
      <c r="L42" s="2033" t="s">
        <v>361</v>
      </c>
      <c r="M42" s="1268" t="s">
        <v>362</v>
      </c>
      <c r="N42" s="2034" t="s">
        <v>363</v>
      </c>
      <c r="O42" s="2035" t="s">
        <v>364</v>
      </c>
      <c r="P42" s="2014"/>
      <c r="V42" s="2014"/>
    </row>
    <row r="43" spans="1:26" ht="30">
      <c r="A43" s="3368" t="s">
        <v>2727</v>
      </c>
      <c r="B43" s="3369"/>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96991</v>
      </c>
      <c r="M43" s="1271">
        <f>C18</f>
        <v>0.4</v>
      </c>
      <c r="N43" s="1272">
        <f ca="1">IF(N42="测算结果/万元",G19,G20)</f>
        <v>154493</v>
      </c>
      <c r="O43" s="1273">
        <f ca="1">IF(O42="最终结果/万元",C32,C33)</f>
        <v>154493</v>
      </c>
      <c r="P43" s="2014"/>
      <c r="V43" s="2014"/>
    </row>
    <row r="44" spans="1:26" ht="30.75" thickBot="1">
      <c r="A44" s="3358" t="str">
        <f>IF(OR(项目基本情况!E8="抵押价格",项目基本情况!E8="已注销及未注销"),"3.抵押价格","——")</f>
        <v>3.抵押价格</v>
      </c>
      <c r="B44" s="3359"/>
      <c r="C44" s="264">
        <f ca="1">IF(A44="——","——",C42-C43)</f>
        <v>154493</v>
      </c>
      <c r="D44" s="317">
        <f ca="1">ROUND(C44*10000/'数据-汇总表'!E3,0)</f>
        <v>3044</v>
      </c>
      <c r="E44" s="317">
        <f ca="1">ROUND(C44*10000/'数据-汇总表'!D3,0)</f>
        <v>7693</v>
      </c>
      <c r="F44" s="318">
        <f ca="1">ROUND(C44/('数据-汇总表'!D3/666.67),0)</f>
        <v>513</v>
      </c>
      <c r="G44" s="311"/>
      <c r="H44" s="311"/>
      <c r="I44" s="319"/>
      <c r="J44" s="2016"/>
      <c r="K44" s="1274" t="str">
        <f>D4</f>
        <v>剩余法-待开发</v>
      </c>
      <c r="L44" s="1275">
        <f ca="1">IF(L42="估价结果/万元",D19,D20)</f>
        <v>192827</v>
      </c>
      <c r="M44" s="1276">
        <f>D18</f>
        <v>0.6</v>
      </c>
      <c r="N44" s="1277"/>
      <c r="O44" s="1278"/>
      <c r="P44" s="2014"/>
      <c r="V44" s="2014"/>
    </row>
    <row r="45" spans="1:26" ht="15">
      <c r="A45" s="3363" t="str">
        <f>IF(项目基本情况!E8="已注销及未注销","4.抵押担保权已注销时的抵押价格",IF(项目基本情况!E8="已注销","3.抵押担保权已注销时的抵押价格","——"))</f>
        <v>——</v>
      </c>
      <c r="B45" s="336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0" t="str">
        <f>IF(项目基本情况!E9="抵押净值",IF(A45="——","4.抵押净值","5.抵押净值"),"——")</f>
        <v>——</v>
      </c>
      <c r="B46" s="336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2.75">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2.75">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6" t="s">
        <v>373</v>
      </c>
      <c r="B63" s="3327"/>
      <c r="C63" s="3328"/>
      <c r="D63" s="341">
        <f ca="1">ROUND(C42*F63,0)</f>
        <v>92696</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65" t="s">
        <v>377</v>
      </c>
      <c r="B64" s="3366"/>
      <c r="C64" s="3366"/>
      <c r="D64" s="3366"/>
      <c r="E64" s="3366"/>
      <c r="F64" s="3366"/>
      <c r="G64" s="3367"/>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5.5">
      <c r="A66" s="3362" t="s">
        <v>385</v>
      </c>
      <c r="B66" s="3333"/>
      <c r="C66" s="3333"/>
      <c r="D66" s="261">
        <f ca="1">IF(H66="情况1",0,IF(H66="情况2",D70,IF(H66="情况3",D71,IF(H66="情况4",D72))))</f>
        <v>8419</v>
      </c>
      <c r="E66" s="993" t="str">
        <f>IF(H66="情况4","(销售额-原购置价)×税（费）率","销售额×税（费）率")</f>
        <v>销售额×税（费）率</v>
      </c>
      <c r="F66" s="350">
        <f>IF(H66="情况1","免征",'数据-取费表'!B41)</f>
        <v>9.8999999999999991E-2</v>
      </c>
      <c r="G66" s="351" t="s">
        <v>386</v>
      </c>
      <c r="H66" s="191" t="s">
        <v>387</v>
      </c>
      <c r="I66" s="1284"/>
      <c r="J66" s="2020"/>
      <c r="K66" s="1287">
        <v>1</v>
      </c>
      <c r="L66" s="3302" t="s">
        <v>384</v>
      </c>
      <c r="M66" s="3303"/>
      <c r="N66" s="2423"/>
      <c r="O66" s="2424"/>
      <c r="P66" s="2425"/>
      <c r="Q66" s="2014"/>
      <c r="R66" s="2014"/>
      <c r="S66" s="2014"/>
      <c r="T66" s="2014"/>
      <c r="U66" s="2014"/>
      <c r="V66" s="2014"/>
    </row>
    <row r="67" spans="1:22" ht="25.5" customHeight="1">
      <c r="A67" s="352" t="s">
        <v>389</v>
      </c>
      <c r="B67" s="3345" t="s">
        <v>390</v>
      </c>
      <c r="C67" s="3345"/>
      <c r="D67" s="353">
        <v>0</v>
      </c>
      <c r="E67" s="41" t="s">
        <v>391</v>
      </c>
      <c r="F67" s="62" t="s">
        <v>21</v>
      </c>
      <c r="G67" s="3329"/>
      <c r="H67" s="311"/>
      <c r="I67" s="1288"/>
      <c r="J67" s="2021"/>
      <c r="K67" s="1962">
        <v>2</v>
      </c>
      <c r="L67" s="3301" t="s">
        <v>388</v>
      </c>
      <c r="M67" s="3301"/>
      <c r="N67" s="1321">
        <f>'数据-取费表'!B2</f>
        <v>43606</v>
      </c>
      <c r="O67" s="1321"/>
      <c r="P67" s="1321"/>
      <c r="Q67" s="2014"/>
      <c r="R67" s="2014"/>
      <c r="S67" s="2014"/>
      <c r="T67" s="2014"/>
      <c r="U67" s="2014"/>
      <c r="V67" s="2014"/>
    </row>
    <row r="68" spans="1:22" ht="25.5" customHeight="1">
      <c r="A68" s="354"/>
      <c r="B68" s="3345" t="s">
        <v>393</v>
      </c>
      <c r="C68" s="3345"/>
      <c r="D68" s="355"/>
      <c r="E68" s="77"/>
      <c r="F68" s="356"/>
      <c r="G68" s="3330"/>
      <c r="H68" s="311"/>
      <c r="I68" s="1288"/>
      <c r="J68" s="2021"/>
      <c r="K68" s="1962">
        <v>3</v>
      </c>
      <c r="L68" s="3301" t="s">
        <v>392</v>
      </c>
      <c r="M68" s="3301"/>
      <c r="N68" s="1289">
        <f ca="1">C42</f>
        <v>154493</v>
      </c>
      <c r="O68" s="1289"/>
      <c r="P68" s="1289"/>
      <c r="Q68" s="2014"/>
      <c r="R68" s="2014"/>
      <c r="S68" s="2014"/>
      <c r="T68" s="2014"/>
      <c r="U68" s="2014"/>
      <c r="V68" s="2014"/>
    </row>
    <row r="69" spans="1:22" ht="12" customHeight="1">
      <c r="A69" s="357"/>
      <c r="B69" s="3345" t="s">
        <v>394</v>
      </c>
      <c r="C69" s="3345"/>
      <c r="D69" s="358"/>
      <c r="E69" s="73"/>
      <c r="F69" s="356"/>
      <c r="G69" s="3331"/>
      <c r="H69" s="311"/>
      <c r="I69" s="1288"/>
      <c r="J69" s="2021"/>
      <c r="K69" s="1290">
        <v>4</v>
      </c>
      <c r="L69" s="3307" t="s">
        <v>2880</v>
      </c>
      <c r="M69" s="3308"/>
      <c r="N69" s="1291">
        <f ca="1">C44</f>
        <v>154493</v>
      </c>
      <c r="O69" s="1291"/>
      <c r="P69" s="1291"/>
      <c r="Q69" s="2014"/>
      <c r="R69" s="2014"/>
      <c r="S69" s="2014"/>
      <c r="T69" s="2014"/>
      <c r="U69" s="2014"/>
      <c r="V69" s="2014"/>
    </row>
    <row r="70" spans="1:22" ht="24" customHeight="1">
      <c r="A70" s="359" t="s">
        <v>395</v>
      </c>
      <c r="B70" s="3345" t="s">
        <v>396</v>
      </c>
      <c r="C70" s="3345"/>
      <c r="D70" s="358">
        <f ca="1">ROUND(D63*'数据-取费表'!B41/(1+'数据-取费表'!C42),0)</f>
        <v>8419</v>
      </c>
      <c r="E70" s="17" t="s">
        <v>397</v>
      </c>
      <c r="F70" s="360">
        <f>'数据-取费表'!B41</f>
        <v>9.8999999999999991E-2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403</v>
      </c>
      <c r="B71" s="3344" t="s">
        <v>404</v>
      </c>
      <c r="C71" s="3356"/>
      <c r="D71" s="358">
        <f ca="1">ROUND(D63*'数据-取费表'!B41/(1+'数据-取费表'!C42),0)</f>
        <v>8419</v>
      </c>
      <c r="E71" s="17" t="s">
        <v>397</v>
      </c>
      <c r="F71" s="360">
        <f>'数据-取费表'!B41</f>
        <v>9.8999999999999991E-2</v>
      </c>
      <c r="G71" s="361"/>
      <c r="H71" s="311"/>
      <c r="I71" s="1288"/>
      <c r="J71" s="2021"/>
      <c r="K71" s="3013" t="s">
        <v>398</v>
      </c>
      <c r="L71" s="3309" t="s">
        <v>399</v>
      </c>
      <c r="M71" s="3309"/>
      <c r="N71" s="3013" t="s">
        <v>400</v>
      </c>
      <c r="O71" s="3013" t="s">
        <v>401</v>
      </c>
      <c r="P71" s="3013" t="s">
        <v>402</v>
      </c>
      <c r="Q71" s="2014"/>
      <c r="R71" s="2014"/>
      <c r="S71" s="2014"/>
      <c r="T71" s="2014"/>
      <c r="U71" s="2014"/>
      <c r="V71" s="2014"/>
    </row>
    <row r="72" spans="1:22" ht="12" customHeight="1">
      <c r="A72" s="359" t="s">
        <v>406</v>
      </c>
      <c r="B72" s="3344" t="s">
        <v>407</v>
      </c>
      <c r="C72" s="3356"/>
      <c r="D72" s="358">
        <f ca="1">C86</f>
        <v>8221</v>
      </c>
      <c r="E72" s="73" t="s">
        <v>408</v>
      </c>
      <c r="F72" s="360">
        <f>'数据-取费表'!B41</f>
        <v>9.8999999999999991E-2</v>
      </c>
      <c r="G72" s="361"/>
      <c r="H72" s="1294"/>
      <c r="I72" s="1288"/>
      <c r="J72" s="2021"/>
      <c r="K72" s="1962">
        <v>1</v>
      </c>
      <c r="L72" s="3306" t="s">
        <v>405</v>
      </c>
      <c r="M72" s="3306"/>
      <c r="N72" s="1292">
        <f ca="1">D66</f>
        <v>8419</v>
      </c>
      <c r="O72" s="1845" t="str">
        <f>E66</f>
        <v>销售额×税（费）率</v>
      </c>
      <c r="P72" s="1293">
        <f>F66</f>
        <v>9.8999999999999991E-2</v>
      </c>
      <c r="Q72" s="2014"/>
      <c r="R72" s="2014"/>
      <c r="S72" s="2014"/>
      <c r="T72" s="2014"/>
      <c r="U72" s="2014"/>
      <c r="V72" s="2014"/>
    </row>
    <row r="73" spans="1:22" ht="24" customHeight="1">
      <c r="A73" s="3332" t="s">
        <v>410</v>
      </c>
      <c r="B73" s="3333"/>
      <c r="C73" s="3333"/>
      <c r="D73" s="362">
        <f>IF(H73="个人住宅",0,ROUND(D63*I73,0))</f>
        <v>0</v>
      </c>
      <c r="E73" s="17" t="s">
        <v>411</v>
      </c>
      <c r="F73" s="360" t="str">
        <f>IF(H73="正常",I73,"免征")</f>
        <v>免征</v>
      </c>
      <c r="G73" s="361"/>
      <c r="H73" s="191" t="s">
        <v>2453</v>
      </c>
      <c r="I73" s="360">
        <f>'数据-取费表'!B49</f>
        <v>5.0000000000000001E-4</v>
      </c>
      <c r="J73" s="2021"/>
      <c r="K73" s="1962">
        <v>2</v>
      </c>
      <c r="L73" s="3306" t="s">
        <v>409</v>
      </c>
      <c r="M73" s="3306"/>
      <c r="N73" s="1292">
        <f t="shared" ref="N73:P74" si="1">D73</f>
        <v>0</v>
      </c>
      <c r="O73" s="1845" t="str">
        <f t="shared" si="1"/>
        <v>销售额×税（费）率</v>
      </c>
      <c r="P73" s="1293" t="str">
        <f t="shared" si="1"/>
        <v>免征</v>
      </c>
      <c r="Q73" s="2014"/>
      <c r="R73" s="2014"/>
      <c r="S73" s="2014"/>
      <c r="T73" s="2014"/>
      <c r="U73" s="2014"/>
      <c r="V73" s="2014"/>
    </row>
    <row r="74" spans="1:22" ht="24.75">
      <c r="A74" s="3332" t="s">
        <v>414</v>
      </c>
      <c r="B74" s="3333"/>
      <c r="C74" s="3333"/>
      <c r="D74" s="362">
        <f ca="1">IF(H74="个人住宅",D75,D76)</f>
        <v>49638</v>
      </c>
      <c r="E74" s="17" t="s">
        <v>415</v>
      </c>
      <c r="F74" s="360" t="str">
        <f>IF(H74="正常",F76,"免征")</f>
        <v>——</v>
      </c>
      <c r="G74" s="983" t="s">
        <v>416</v>
      </c>
      <c r="H74" s="363" t="s">
        <v>412</v>
      </c>
      <c r="I74" s="42"/>
      <c r="J74" s="2021"/>
      <c r="K74" s="1962">
        <v>3</v>
      </c>
      <c r="L74" s="3306" t="s">
        <v>413</v>
      </c>
      <c r="M74" s="3306"/>
      <c r="N74" s="1292">
        <f t="shared" ca="1" si="1"/>
        <v>49638</v>
      </c>
      <c r="O74" s="1845" t="str">
        <f t="shared" si="1"/>
        <v>增值额×税（费）率</v>
      </c>
      <c r="P74" s="1295" t="str">
        <f t="shared" si="1"/>
        <v>——</v>
      </c>
      <c r="Q74" s="2014"/>
      <c r="R74" s="2014"/>
      <c r="S74" s="2014"/>
      <c r="T74" s="2014"/>
      <c r="U74" s="2014"/>
      <c r="V74" s="2014"/>
    </row>
    <row r="75" spans="1:22" ht="24">
      <c r="A75" s="359" t="s">
        <v>417</v>
      </c>
      <c r="B75" s="3313" t="s">
        <v>418</v>
      </c>
      <c r="C75" s="3314"/>
      <c r="D75" s="364">
        <v>0</v>
      </c>
      <c r="E75" s="41" t="s">
        <v>419</v>
      </c>
      <c r="F75" s="365"/>
      <c r="G75" s="361"/>
      <c r="H75" s="42"/>
      <c r="I75" s="42"/>
      <c r="J75" s="2021"/>
      <c r="K75" s="3006">
        <f>IF(H77="非个人房产","",4)</f>
        <v>4</v>
      </c>
      <c r="L75" s="3306" t="str">
        <f>IF(H77="非个人房产","——","个人所得税")</f>
        <v>个人所得税</v>
      </c>
      <c r="M75" s="3306"/>
      <c r="N75" s="1296">
        <f ca="1">D77</f>
        <v>927</v>
      </c>
      <c r="O75" s="1858" t="str">
        <f>E77</f>
        <v>销售额×税（费）率</v>
      </c>
      <c r="P75" s="1297">
        <f>F77</f>
        <v>0.01</v>
      </c>
      <c r="Q75" s="2014"/>
      <c r="R75" s="2014"/>
      <c r="S75" s="2014"/>
      <c r="T75" s="2014"/>
      <c r="U75" s="2014"/>
      <c r="V75" s="2014"/>
    </row>
    <row r="76" spans="1:22" ht="24.75">
      <c r="A76" s="359" t="s">
        <v>395</v>
      </c>
      <c r="B76" s="3313" t="s">
        <v>421</v>
      </c>
      <c r="C76" s="3355"/>
      <c r="D76" s="362">
        <f ca="1">IF(H76="转让取得",C99,C115)</f>
        <v>49638</v>
      </c>
      <c r="E76" s="17" t="s">
        <v>422</v>
      </c>
      <c r="F76" s="53" t="s">
        <v>21</v>
      </c>
      <c r="G76" s="361"/>
      <c r="H76" s="363" t="s">
        <v>423</v>
      </c>
      <c r="I76" s="42"/>
      <c r="J76" s="2021"/>
      <c r="K76" s="3006" t="str">
        <f>IF(项目基本情况!K6="上海银行",IF(K75="",4,K75+1),"")</f>
        <v/>
      </c>
      <c r="L76" s="3294" t="str">
        <f>IF(项目基本情况!K6="上海银行","其他处置费用","")</f>
        <v/>
      </c>
      <c r="M76" s="3295"/>
      <c r="N76" s="1292" t="str">
        <f>IF(项目基本情况!K6="上海银行",N89,"")</f>
        <v/>
      </c>
      <c r="O76" s="3296" t="str">
        <f>IF(项目基本情况!K6="上海银行","包含处置中涉及的律师、诉讼、拍卖、评估等费用","")</f>
        <v/>
      </c>
      <c r="P76" s="3297"/>
      <c r="Q76" s="2014"/>
      <c r="R76" s="2014"/>
      <c r="S76" s="2014"/>
      <c r="T76" s="2014"/>
      <c r="U76" s="2014"/>
      <c r="V76" s="2014"/>
    </row>
    <row r="77" spans="1:22" ht="26.25" thickBot="1">
      <c r="A77" s="3324" t="s">
        <v>425</v>
      </c>
      <c r="B77" s="3325"/>
      <c r="C77" s="3325"/>
      <c r="D77" s="366">
        <f ca="1">IF(H77="非个人房产","——",IF(H77="个人住宅",0,ROUND(D63*I77,0)))</f>
        <v>927</v>
      </c>
      <c r="E77" s="367" t="str">
        <f>IF(H77="非个人房产","——","销售额×税（费）率")</f>
        <v>销售额×税（费）率</v>
      </c>
      <c r="F77" s="368">
        <f>IF(H77="非个人房产","——",IF(H77="个人住宅","免征",I77))</f>
        <v>0.01</v>
      </c>
      <c r="G77" s="984" t="s">
        <v>416</v>
      </c>
      <c r="H77" s="363" t="s">
        <v>2881</v>
      </c>
      <c r="I77" s="369">
        <v>0.01</v>
      </c>
      <c r="J77" s="2021"/>
      <c r="K77" s="3320">
        <f>IF(AND(K75="",K76=""),4,IF(项目基本情况!K6="上海银行",K76+1,K75+1))</f>
        <v>5</v>
      </c>
      <c r="L77" s="3306" t="s">
        <v>2882</v>
      </c>
      <c r="M77" s="3012" t="s">
        <v>420</v>
      </c>
      <c r="N77" s="1298"/>
      <c r="O77" s="1299">
        <f ca="1">SUMIF(N72:N76,"&lt;9e307")</f>
        <v>58984</v>
      </c>
      <c r="P77" s="1300"/>
      <c r="Q77" s="3010">
        <f ca="1">O77/N69</f>
        <v>0.38179076074644158</v>
      </c>
      <c r="R77" s="2014"/>
      <c r="S77" s="2014"/>
      <c r="T77" s="2014"/>
      <c r="U77" s="2014"/>
      <c r="V77" s="2014"/>
    </row>
    <row r="78" spans="1:22" ht="12" customHeight="1">
      <c r="A78" s="1301"/>
      <c r="B78" s="311"/>
      <c r="C78" s="311"/>
      <c r="D78" s="311"/>
      <c r="E78" s="42"/>
      <c r="F78" s="42"/>
      <c r="G78" s="42"/>
      <c r="H78" s="1003"/>
      <c r="I78" s="311"/>
      <c r="J78" s="2021"/>
      <c r="K78" s="3320"/>
      <c r="L78" s="3306"/>
      <c r="M78" s="3012" t="s">
        <v>424</v>
      </c>
      <c r="N78" s="1298"/>
      <c r="O78" s="1299" t="str">
        <f ca="1">NUMBERSTRING(INT(O77*10000),2)&amp;"元整"</f>
        <v>伍亿捌仟玖佰捌拾肆万元整</v>
      </c>
      <c r="P78" s="1300"/>
      <c r="Q78" s="2014"/>
      <c r="R78" s="2014"/>
      <c r="S78" s="2014"/>
      <c r="T78" s="2014"/>
      <c r="U78" s="2014"/>
      <c r="V78" s="2014"/>
    </row>
    <row r="79" spans="1:22" ht="13.5" thickBot="1">
      <c r="A79" s="3310" t="s">
        <v>426</v>
      </c>
      <c r="B79" s="3310"/>
      <c r="C79" s="3310"/>
      <c r="D79" s="3310"/>
      <c r="E79" s="3310"/>
      <c r="F79" s="42"/>
      <c r="G79" s="42"/>
      <c r="H79" s="1003"/>
      <c r="I79" s="311"/>
      <c r="J79" s="2021"/>
      <c r="K79" s="3304">
        <f>K77+1</f>
        <v>6</v>
      </c>
      <c r="L79" s="3306" t="s">
        <v>2883</v>
      </c>
      <c r="M79" s="3012" t="s">
        <v>420</v>
      </c>
      <c r="N79" s="1298"/>
      <c r="O79" s="1299">
        <f ca="1">N69-O77</f>
        <v>95509</v>
      </c>
      <c r="P79" s="1300"/>
      <c r="Q79" s="2014"/>
      <c r="R79" s="2014"/>
      <c r="S79" s="2014"/>
      <c r="T79" s="2014"/>
      <c r="U79" s="2014"/>
      <c r="V79" s="2014"/>
    </row>
    <row r="80" spans="1:22" ht="25.5">
      <c r="A80" s="3311" t="s">
        <v>427</v>
      </c>
      <c r="B80" s="3312"/>
      <c r="C80" s="994"/>
      <c r="D80" s="994" t="s">
        <v>428</v>
      </c>
      <c r="E80" s="370" t="s">
        <v>429</v>
      </c>
      <c r="F80" s="42"/>
      <c r="G80" s="42"/>
      <c r="H80" s="1003"/>
      <c r="I80" s="311"/>
      <c r="J80" s="2014"/>
      <c r="K80" s="3305"/>
      <c r="L80" s="3306"/>
      <c r="M80" s="3012" t="s">
        <v>424</v>
      </c>
      <c r="N80" s="1298"/>
      <c r="O80" s="1299" t="str">
        <f ca="1">NUMBERSTRING(INT(O79*10000),2)&amp;"元整"</f>
        <v>玖亿伍仟伍佰零玖万元整</v>
      </c>
      <c r="P80" s="1300"/>
      <c r="Q80" s="2014"/>
      <c r="R80" s="2014"/>
      <c r="S80" s="2014"/>
      <c r="T80" s="2014"/>
      <c r="U80" s="2014"/>
      <c r="V80" s="2014"/>
    </row>
    <row r="81" spans="1:26" ht="13.5" thickBot="1">
      <c r="A81" s="381" t="s">
        <v>1822</v>
      </c>
      <c r="B81" s="371" t="s">
        <v>430</v>
      </c>
      <c r="C81" s="372">
        <f ca="1">ROUND((C82+C83)/(1+'数据-取费表'!C42),0)</f>
        <v>85042</v>
      </c>
      <c r="D81" s="373"/>
      <c r="E81" s="374"/>
      <c r="F81" s="42"/>
      <c r="G81" s="42"/>
      <c r="H81" s="1003"/>
      <c r="I81" s="311"/>
      <c r="J81" s="2014"/>
      <c r="K81" s="3006">
        <f>K79+1</f>
        <v>7</v>
      </c>
      <c r="L81" s="3318" t="s">
        <v>2884</v>
      </c>
      <c r="M81" s="3319"/>
      <c r="N81" s="1302"/>
      <c r="O81" s="1303">
        <f ca="1">ROUND(O79*10000/'数据-汇总表'!E3,0)</f>
        <v>1882</v>
      </c>
      <c r="P81" s="1304"/>
      <c r="Q81" s="2014"/>
      <c r="R81" s="2014"/>
      <c r="S81" s="2014"/>
      <c r="T81" s="2014"/>
      <c r="U81" s="2014"/>
      <c r="V81" s="2014"/>
    </row>
    <row r="82" spans="1:26" ht="13.5" thickTop="1">
      <c r="A82" s="375" t="s">
        <v>1823</v>
      </c>
      <c r="B82" s="376" t="s">
        <v>431</v>
      </c>
      <c r="C82" s="377">
        <f ca="1">D63</f>
        <v>92696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432</v>
      </c>
      <c r="C83" s="380">
        <v>0</v>
      </c>
      <c r="D83" s="378"/>
      <c r="E83" s="379"/>
      <c r="F83" s="42"/>
      <c r="G83" s="42"/>
      <c r="H83" s="1003"/>
      <c r="I83" s="311"/>
      <c r="J83" s="2014"/>
      <c r="K83" s="3293" t="s">
        <v>2871</v>
      </c>
      <c r="L83" s="3018" t="s">
        <v>2872</v>
      </c>
      <c r="M83" s="3008">
        <f ca="1">IF(N69&gt;10000,N69*0.5%,IF(AND(N69&gt;1000,N69&lt;=10000),N69*1%,IF(AND(N69&gt;100,N69&lt;=1000),N69*3%,IF(AND(N69&gt;10,N69&lt;=100),N69*5%,N69*8%))))</f>
        <v>772.46500000000003</v>
      </c>
      <c r="N83" s="53">
        <f ca="1">ROUND(M83,1)</f>
        <v>772.5</v>
      </c>
      <c r="O83" s="3011"/>
      <c r="P83" s="2014"/>
      <c r="Q83" s="2014"/>
      <c r="R83" s="2014"/>
      <c r="S83" s="2014"/>
      <c r="T83" s="2014"/>
      <c r="U83" s="2014"/>
      <c r="V83" s="2014"/>
    </row>
    <row r="84" spans="1:26" ht="12.75">
      <c r="A84" s="381" t="s">
        <v>1825</v>
      </c>
      <c r="B84" s="382" t="s">
        <v>433</v>
      </c>
      <c r="C84" s="383">
        <v>2000</v>
      </c>
      <c r="D84" s="384" t="s">
        <v>19</v>
      </c>
      <c r="E84" s="3053" t="s">
        <v>2936</v>
      </c>
      <c r="F84" s="42"/>
      <c r="G84" s="42"/>
      <c r="H84" s="1003"/>
      <c r="I84" s="311"/>
      <c r="J84" s="2014"/>
      <c r="K84" s="3293"/>
      <c r="L84" s="3018" t="s">
        <v>2873</v>
      </c>
      <c r="M84" s="3008">
        <f ca="1">IF(N69&gt;2000,N69*0.5%,IF(AND(N69&gt;1000,N69&lt;=2000),N69*0.6%,IF(AND(N69&gt;500,N69&lt;=1000),N69*0.7%,IF(AND(N69&gt;200,N69&lt;=500),N69*0.8%,IF(AND(N69&gt;100,N69&lt;=200),N69*0.9%,IF(AND(N69&gt;50,N69&lt;=100),N69*1%,IF(AND(N69&gt;20,N69&lt;=50),N69*1.5%,IF(AND(N69&gt;10,N69&lt;=20),N69*2%,IF(AND(N69&gt;1,N69&lt;=10),N69*2.5%)))))))))</f>
        <v>772.46500000000003</v>
      </c>
      <c r="N84" s="53">
        <f t="shared" ref="N84:N85" ca="1" si="2">ROUND(M84,1)</f>
        <v>772.5</v>
      </c>
      <c r="O84" s="2014" t="s">
        <v>2874</v>
      </c>
      <c r="P84" s="2014"/>
      <c r="Q84" s="2014"/>
      <c r="R84" s="2014"/>
      <c r="S84" s="2014"/>
      <c r="T84" s="2014"/>
      <c r="U84" s="2014"/>
      <c r="V84" s="2014"/>
    </row>
    <row r="85" spans="1:26" ht="12.75">
      <c r="A85" s="381" t="s">
        <v>1826</v>
      </c>
      <c r="B85" s="382" t="s">
        <v>434</v>
      </c>
      <c r="C85" s="385">
        <f ca="1">C81-C84</f>
        <v>83042</v>
      </c>
      <c r="D85" s="378" t="s">
        <v>19</v>
      </c>
      <c r="E85" s="379"/>
      <c r="F85" s="42"/>
      <c r="G85" s="42"/>
      <c r="H85" s="1003"/>
      <c r="I85" s="311"/>
      <c r="J85" s="2014"/>
      <c r="K85" s="3293"/>
      <c r="L85" s="3018" t="s">
        <v>2875</v>
      </c>
      <c r="M85" s="3008">
        <f ca="1">IF(N69&gt;1000,N69*0.1%,IF(AND(N69&gt;500,N69&lt;=1000),N69*0.5%,IF(AND(N69&gt;50,N69&lt;=500),N69*1%,IF(AND(N69&gt;1,N69&lt;=50),N69*1.5%))))</f>
        <v>154.49299999999999</v>
      </c>
      <c r="N85" s="53">
        <f t="shared" ca="1" si="2"/>
        <v>154.5</v>
      </c>
      <c r="O85" s="2014" t="s">
        <v>2874</v>
      </c>
      <c r="P85" s="2014"/>
      <c r="Q85" s="2014"/>
      <c r="R85" s="2014"/>
      <c r="S85" s="2014"/>
      <c r="T85" s="2014"/>
      <c r="U85" s="2014"/>
      <c r="V85" s="2014"/>
    </row>
    <row r="86" spans="1:26" ht="13.5" thickBot="1">
      <c r="A86" s="386" t="s">
        <v>1827</v>
      </c>
      <c r="B86" s="387" t="s">
        <v>435</v>
      </c>
      <c r="C86" s="388">
        <f ca="1">IF(C85&lt;=0,0,ROUND(C85*D86,0))</f>
        <v>8221</v>
      </c>
      <c r="D86" s="389">
        <f>'数据-取费表'!B41</f>
        <v>9.8999999999999991E-2</v>
      </c>
      <c r="E86" s="390"/>
      <c r="F86" s="42"/>
      <c r="G86" s="42"/>
      <c r="H86" s="1003"/>
      <c r="I86" s="311"/>
      <c r="J86" s="2014"/>
      <c r="K86" s="3293"/>
      <c r="L86" s="3018" t="s">
        <v>2876</v>
      </c>
      <c r="M86" s="3008">
        <f ca="1">N69*0.5%</f>
        <v>772.46500000000003</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3"/>
      <c r="L87" s="3018" t="s">
        <v>2878</v>
      </c>
      <c r="M87" s="3008">
        <f ca="1">IF(N69&gt;=10000,(8.25+(N69-10000)*0.01%),IF(AND(N69&gt;=8000,N69&lt;10000),(7.85+(N69-8000)*0.02%),IF(AND(N69&gt;=5000,N69&lt;8000),(6.65+(N69-5000)*0.04%),IF(AND(N69&gt;=2000,N69&lt;5000),(4.25+(PN69-2000)*0.08%),IF(AND(N69&gt;=1000,N69&lt;2000),(2.75+(N69-1000)*0.15%),IF(AND(N69&gt;=100,N69&lt;1000),(0.5+(N69-100)*0.25%),IF(AND(N69&gt;0,N69&lt;100),N69*0.5%)))))))</f>
        <v>22.699300000000001</v>
      </c>
      <c r="N87" s="53">
        <f ca="1">ROUND(M87*0.9,1)</f>
        <v>20.399999999999999</v>
      </c>
      <c r="O87" s="3011"/>
      <c r="P87" s="311"/>
      <c r="Q87" s="2014"/>
      <c r="R87" s="2014"/>
      <c r="S87" s="2014"/>
      <c r="T87" s="2014"/>
      <c r="U87" s="2014"/>
      <c r="V87" s="2014"/>
      <c r="W87" s="292"/>
      <c r="X87" s="292"/>
      <c r="Y87" s="292"/>
      <c r="Z87" s="292"/>
    </row>
    <row r="88" spans="1:26" s="1310" customFormat="1" ht="15" thickBot="1">
      <c r="A88" s="3347" t="s">
        <v>436</v>
      </c>
      <c r="B88" s="3348"/>
      <c r="C88" s="3348"/>
      <c r="D88" s="3348"/>
      <c r="E88" s="3348"/>
      <c r="F88" s="3348"/>
      <c r="G88" s="3348"/>
      <c r="H88" s="3348"/>
      <c r="I88" s="1311"/>
      <c r="J88" s="2022"/>
      <c r="K88" s="3293"/>
      <c r="L88" s="3018" t="s">
        <v>2879</v>
      </c>
      <c r="M88" s="3008">
        <f ca="1">IF(N69&gt;10000,N69*0.5%,IF(AND(N69&gt;5000,N69&lt;=10000),N69*1%,IF(AND(N69&gt;1000,N69&lt;=5000),N69*2%,IF(AND(N69&gt;200,N69&lt;=1000),N69*3%,N69*5%))))</f>
        <v>772.46500000000003</v>
      </c>
      <c r="N88" s="53">
        <f ca="1">ROUND(M88,1)</f>
        <v>772.5</v>
      </c>
      <c r="O88" s="3011"/>
      <c r="P88" s="11"/>
      <c r="Q88" s="2019"/>
      <c r="R88" s="2019"/>
      <c r="S88" s="2019"/>
      <c r="T88" s="2019"/>
      <c r="U88" s="2019"/>
      <c r="V88" s="2019"/>
      <c r="W88" s="2023"/>
      <c r="X88" s="2023"/>
      <c r="Y88" s="2023"/>
      <c r="Z88" s="2023"/>
    </row>
    <row r="89" spans="1:26" s="1310" customFormat="1" ht="14.25">
      <c r="A89" s="3311" t="s">
        <v>427</v>
      </c>
      <c r="B89" s="3312"/>
      <c r="C89" s="994"/>
      <c r="D89" s="994" t="s">
        <v>428</v>
      </c>
      <c r="E89" s="391" t="s">
        <v>437</v>
      </c>
      <c r="F89" s="392"/>
      <c r="G89" s="392"/>
      <c r="H89" s="393"/>
      <c r="I89" s="1312"/>
      <c r="J89" s="2024"/>
      <c r="K89" s="3293"/>
      <c r="L89" s="3018" t="s">
        <v>27</v>
      </c>
      <c r="M89" s="3009"/>
      <c r="N89" s="53">
        <f ca="1">ROUND(SUM(N83:N88),0)</f>
        <v>2493</v>
      </c>
      <c r="O89" s="3019">
        <f ca="1">N89/N69</f>
        <v>1.613665344060896E-2</v>
      </c>
      <c r="P89" s="2019"/>
      <c r="Q89" s="2019"/>
      <c r="R89" s="2019"/>
      <c r="S89" s="2019"/>
      <c r="T89" s="2019"/>
      <c r="U89" s="2019"/>
      <c r="V89" s="2019"/>
      <c r="W89" s="2023"/>
      <c r="X89" s="2023"/>
      <c r="Y89" s="2023"/>
      <c r="Z89" s="2023"/>
    </row>
    <row r="90" spans="1:26" s="1310" customFormat="1" ht="14.25">
      <c r="A90" s="381" t="s">
        <v>1822</v>
      </c>
      <c r="B90" s="382" t="s">
        <v>438</v>
      </c>
      <c r="C90" s="385">
        <f ca="1">ROUND(D63/(1+'数据-取费表'!C42),0)</f>
        <v>85042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439</v>
      </c>
      <c r="C91" s="385">
        <f ca="1">C92+C96</f>
        <v>3346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2581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44" t="s">
        <v>446</v>
      </c>
      <c r="F94" s="3345"/>
      <c r="G94" s="3345"/>
      <c r="H94" s="334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765</v>
      </c>
      <c r="D96" s="406">
        <f>'数据-取费表'!B43</f>
        <v>8.9999999999999993E-3</v>
      </c>
      <c r="E96" s="3334" t="s">
        <v>2426</v>
      </c>
      <c r="F96" s="3335"/>
      <c r="G96" s="3335"/>
      <c r="H96" s="333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450</v>
      </c>
      <c r="C97" s="385">
        <f ca="1">C90-C91</f>
        <v>81696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24.416019127316197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452</v>
      </c>
      <c r="C99" s="408">
        <f ca="1">ROUND(IF(C97&lt;=0,0,IF(C98&gt;=200%,C97*60%-C91*35%,IF(C98&gt;=100%,C97*50%-C91*15%,IF(C98&gt;=50%,C97*40%-C91*5%,IF(C98&lt;50%,C97*30%,0))))),0)</f>
        <v>47847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7" t="s">
        <v>453</v>
      </c>
      <c r="B101" s="3348"/>
      <c r="C101" s="3348"/>
      <c r="D101" s="3348"/>
      <c r="E101" s="3348"/>
      <c r="F101" s="3348"/>
      <c r="G101" s="3348"/>
      <c r="H101" s="334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1" t="s">
        <v>427</v>
      </c>
      <c r="B102" s="3312"/>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438</v>
      </c>
      <c r="C103" s="385">
        <f ca="1">ROUND(D63/(1+'数据-取费表'!C42),0)</f>
        <v>85042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439</v>
      </c>
      <c r="C104" s="385">
        <f ca="1">IF(H106="仅含出让金",C105+C108+C109+C110+C111+C112,C105+C109+C110+C111+C112)</f>
        <v>1460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454</v>
      </c>
      <c r="C105" s="405">
        <f>C106+C107</f>
        <v>577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455</v>
      </c>
      <c r="C106" s="416">
        <v>555</v>
      </c>
      <c r="D106" s="406"/>
      <c r="E106" s="417" t="s">
        <v>456</v>
      </c>
      <c r="F106" s="986"/>
      <c r="G106" s="418" t="s">
        <v>457</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447</v>
      </c>
      <c r="C107" s="405">
        <f>ROUND(C106*D107,0)</f>
        <v>22</v>
      </c>
      <c r="D107" s="406">
        <f>'数据-取费表'!B48+'数据-取费表'!B49</f>
        <v>4.0500000000000001E-2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37" t="s">
        <v>461</v>
      </c>
      <c r="F109" s="3335"/>
      <c r="G109" s="3335"/>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37" t="s">
        <v>463</v>
      </c>
      <c r="F110" s="3335"/>
      <c r="G110" s="3335"/>
      <c r="H110" s="333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765</v>
      </c>
      <c r="D111" s="406">
        <f>'数据-取费表'!B43</f>
        <v>8.9999999999999993E-3</v>
      </c>
      <c r="E111" s="3334" t="s">
        <v>2426</v>
      </c>
      <c r="F111" s="3335"/>
      <c r="G111" s="3335"/>
      <c r="H111" s="333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37" t="s">
        <v>2451</v>
      </c>
      <c r="F112" s="3335"/>
      <c r="G112" s="3335"/>
      <c r="H112" s="333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450</v>
      </c>
      <c r="C113" s="385">
        <f ca="1">ROUND(C103-C104,0)</f>
        <v>83582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57.247945205479454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452</v>
      </c>
      <c r="C115" s="408">
        <f ca="1">ROUND(IF(C113&lt;=0,0,IF(C114&gt;=200%,C113*60%-C104*35%,IF(C114&gt;=100%,C113*50%-C104*15%,IF(C114&gt;=50%,C113*40%-C104*5%,IF(C114&lt;50%,C113*30%,0))))),0)</f>
        <v>49638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68" sqref="F6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96991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1911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4829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322</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520</v>
      </c>
      <c r="B6" s="513"/>
      <c r="C6" s="3392" t="s">
        <v>521</v>
      </c>
      <c r="D6" s="3393"/>
      <c r="E6" s="3392" t="s">
        <v>522</v>
      </c>
      <c r="F6" s="3393"/>
      <c r="G6" s="3392" t="s">
        <v>523</v>
      </c>
      <c r="H6" s="3393"/>
      <c r="I6" s="3392" t="s">
        <v>524</v>
      </c>
      <c r="J6" s="3393"/>
      <c r="K6" s="514" t="s">
        <v>525</v>
      </c>
      <c r="L6" s="2119"/>
      <c r="M6" s="2118"/>
      <c r="N6" s="2118"/>
      <c r="O6" s="2120"/>
      <c r="P6" s="3394" t="s">
        <v>526</v>
      </c>
      <c r="Q6" s="3395"/>
      <c r="R6" s="3380" t="s">
        <v>522</v>
      </c>
      <c r="S6" s="3381"/>
      <c r="T6" s="3380" t="s">
        <v>523</v>
      </c>
      <c r="U6" s="3381"/>
      <c r="V6" s="3400" t="s">
        <v>524</v>
      </c>
      <c r="W6" s="3400"/>
      <c r="X6" s="1554"/>
      <c r="Y6" s="3380" t="s">
        <v>526</v>
      </c>
      <c r="Z6" s="3381"/>
      <c r="AA6" s="3375" t="s">
        <v>522</v>
      </c>
      <c r="AB6" s="3376" t="s">
        <v>523</v>
      </c>
      <c r="AC6" s="3375" t="s">
        <v>524</v>
      </c>
    </row>
    <row r="7" spans="1:30" ht="20.25">
      <c r="A7" s="515"/>
      <c r="B7" s="516"/>
      <c r="C7" s="3405" t="s">
        <v>2925</v>
      </c>
      <c r="D7" s="3404"/>
      <c r="E7" s="3403" t="s">
        <v>3122</v>
      </c>
      <c r="F7" s="3404"/>
      <c r="G7" s="3403" t="s">
        <v>3103</v>
      </c>
      <c r="H7" s="3404"/>
      <c r="I7" s="3403" t="s">
        <v>3123</v>
      </c>
      <c r="J7" s="3404"/>
      <c r="K7" s="514"/>
      <c r="L7" s="2119"/>
      <c r="M7" s="2118"/>
      <c r="N7" s="2118"/>
      <c r="O7" s="2120"/>
      <c r="P7" s="3396"/>
      <c r="Q7" s="3397"/>
      <c r="R7" s="3382"/>
      <c r="S7" s="3383"/>
      <c r="T7" s="3382"/>
      <c r="U7" s="3383"/>
      <c r="V7" s="3400"/>
      <c r="W7" s="3400"/>
      <c r="X7" s="1554"/>
      <c r="Y7" s="3382"/>
      <c r="Z7" s="3383"/>
      <c r="AA7" s="3376"/>
      <c r="AB7" s="3376"/>
      <c r="AC7" s="3376"/>
    </row>
    <row r="8" spans="1:30" ht="21" thickBot="1">
      <c r="A8" s="515"/>
      <c r="B8" s="516"/>
      <c r="C8" s="3406" t="s">
        <v>2929</v>
      </c>
      <c r="D8" s="3407"/>
      <c r="E8" s="3406" t="s">
        <v>2929</v>
      </c>
      <c r="F8" s="3407"/>
      <c r="G8" s="3401" t="s">
        <v>2929</v>
      </c>
      <c r="H8" s="3402"/>
      <c r="I8" s="3401" t="s">
        <v>2929</v>
      </c>
      <c r="J8" s="3402"/>
      <c r="K8" s="514" t="s">
        <v>527</v>
      </c>
      <c r="L8" s="2119"/>
      <c r="M8" s="2118"/>
      <c r="N8" s="2118"/>
      <c r="O8" s="2120"/>
      <c r="P8" s="3398"/>
      <c r="Q8" s="3399"/>
      <c r="R8" s="3382"/>
      <c r="S8" s="3383"/>
      <c r="T8" s="3384"/>
      <c r="U8" s="3385"/>
      <c r="V8" s="3400"/>
      <c r="W8" s="3400"/>
      <c r="X8" s="1554"/>
      <c r="Y8" s="3384"/>
      <c r="Z8" s="3385"/>
      <c r="AA8" s="3377"/>
      <c r="AB8" s="3377"/>
      <c r="AC8" s="3377"/>
    </row>
    <row r="9" spans="1:30" s="1216" customFormat="1" ht="21" thickBot="1">
      <c r="A9" s="2868"/>
      <c r="B9" s="2875" t="s">
        <v>528</v>
      </c>
      <c r="C9" s="2867">
        <f>'数据-取费表'!B2</f>
        <v>43606</v>
      </c>
      <c r="D9" s="520">
        <v>100</v>
      </c>
      <c r="E9" s="521">
        <v>43539</v>
      </c>
      <c r="F9" s="522">
        <f>SUMIF(72:72,YEAR(E9)&amp;"-"&amp;INT((MONTH(E9)+2)/3),73:73)</f>
        <v>99</v>
      </c>
      <c r="G9" s="521">
        <v>43539</v>
      </c>
      <c r="H9" s="520">
        <f>SUMIF(72:72,YEAR(G9)&amp;"-"&amp;INT((MONTH(G9)+2)/3),73:73)</f>
        <v>99</v>
      </c>
      <c r="I9" s="521">
        <v>43539</v>
      </c>
      <c r="J9" s="520">
        <f>SUMIF(72:72,YEAR(I9)&amp;"-"&amp;INT((MONTH(I9)+2)/3),73:73)</f>
        <v>99</v>
      </c>
      <c r="K9" s="524"/>
      <c r="L9" s="2121"/>
      <c r="M9" s="2118"/>
      <c r="N9" s="2118"/>
      <c r="O9" s="2122"/>
      <c r="P9" s="3378" t="s">
        <v>529</v>
      </c>
      <c r="Q9" s="3387"/>
      <c r="R9" s="1555" t="s">
        <v>8</v>
      </c>
      <c r="S9" s="1556">
        <f t="shared" ref="S9:S17" si="0">F9</f>
        <v>99</v>
      </c>
      <c r="T9" s="1555" t="s">
        <v>8</v>
      </c>
      <c r="U9" s="1556">
        <f t="shared" ref="U9:U17" si="1">H9</f>
        <v>99</v>
      </c>
      <c r="V9" s="1555" t="s">
        <v>8</v>
      </c>
      <c r="W9" s="1556">
        <f t="shared" ref="W9:W17" si="2">J9</f>
        <v>99</v>
      </c>
      <c r="X9" s="1557"/>
      <c r="Y9" s="3378" t="s">
        <v>529</v>
      </c>
      <c r="Z9" s="3379"/>
      <c r="AA9" s="1558">
        <f>D9/F9</f>
        <v>1.0101010101010102</v>
      </c>
      <c r="AB9" s="1558">
        <f>D9/H9</f>
        <v>1.0101010101010102</v>
      </c>
      <c r="AC9" s="1558">
        <f>D9/J9</f>
        <v>1.0101010101010102</v>
      </c>
    </row>
    <row r="10" spans="1:30" s="1216" customFormat="1" ht="21" thickBot="1">
      <c r="A10" s="2869"/>
      <c r="B10" s="2876" t="s">
        <v>530</v>
      </c>
      <c r="C10" s="856" t="s">
        <v>531</v>
      </c>
      <c r="D10" s="520">
        <v>100</v>
      </c>
      <c r="E10" s="525" t="s">
        <v>3027</v>
      </c>
      <c r="F10" s="522">
        <f>SUMIF(75:75,E10,76:76)-SUMIF(75:75,C10,76:76)+100</f>
        <v>100</v>
      </c>
      <c r="G10" s="525" t="s">
        <v>3027</v>
      </c>
      <c r="H10" s="520">
        <f>SUMIF(75:75,G10,76:76)-SUMIF(75:75,C10,76:76)+100</f>
        <v>100</v>
      </c>
      <c r="I10" s="525" t="s">
        <v>3027</v>
      </c>
      <c r="J10" s="520">
        <f>SUMIF(75:75,I10,76:76)-SUMIF(75:75,C10,76:76)+100</f>
        <v>100</v>
      </c>
      <c r="K10" s="524"/>
      <c r="L10" s="2121"/>
      <c r="M10" s="2118"/>
      <c r="N10" s="2118"/>
      <c r="O10" s="2122"/>
      <c r="P10" s="3378" t="s">
        <v>532</v>
      </c>
      <c r="Q10" s="3379"/>
      <c r="R10" s="1555" t="s">
        <v>8</v>
      </c>
      <c r="S10" s="1556">
        <f t="shared" si="0"/>
        <v>100</v>
      </c>
      <c r="T10" s="1555" t="s">
        <v>8</v>
      </c>
      <c r="U10" s="1556">
        <f t="shared" si="1"/>
        <v>100</v>
      </c>
      <c r="V10" s="1555" t="s">
        <v>8</v>
      </c>
      <c r="W10" s="1556">
        <f t="shared" si="2"/>
        <v>100</v>
      </c>
      <c r="X10" s="1557"/>
      <c r="Y10" s="3378" t="s">
        <v>532</v>
      </c>
      <c r="Z10" s="3379"/>
      <c r="AA10" s="1558">
        <f t="shared" ref="AA10:AA47" si="3">D10/F10</f>
        <v>1</v>
      </c>
      <c r="AB10" s="1558">
        <f t="shared" ref="AB10:AB47" si="4">D10/H10</f>
        <v>1</v>
      </c>
      <c r="AC10" s="1558">
        <f t="shared" ref="AC10:AC47" si="5">D10/J10</f>
        <v>1</v>
      </c>
    </row>
    <row r="11" spans="1:30" s="1216" customFormat="1" ht="20.25">
      <c r="A11" s="2870"/>
      <c r="B11" s="2877" t="s">
        <v>2753</v>
      </c>
      <c r="C11" s="2864"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21"/>
      <c r="M11" s="2118"/>
      <c r="N11" s="2118"/>
      <c r="O11" s="2123"/>
      <c r="P11" s="3386" t="s">
        <v>534</v>
      </c>
      <c r="Q11" s="1147" t="str">
        <f t="shared" ref="Q11:Q17" si="6">B11</f>
        <v>用途</v>
      </c>
      <c r="R11" s="1555" t="s">
        <v>8</v>
      </c>
      <c r="S11" s="1556">
        <f t="shared" si="0"/>
        <v>100</v>
      </c>
      <c r="T11" s="1555" t="s">
        <v>8</v>
      </c>
      <c r="U11" s="1556">
        <f t="shared" si="1"/>
        <v>100</v>
      </c>
      <c r="V11" s="1555" t="s">
        <v>8</v>
      </c>
      <c r="W11" s="1556">
        <f t="shared" si="2"/>
        <v>100</v>
      </c>
      <c r="X11" s="1557"/>
      <c r="Y11" s="3343" t="s">
        <v>535</v>
      </c>
      <c r="Z11" s="1146" t="str">
        <f t="shared" ref="Z11:Z17" si="7">Q11</f>
        <v>用途</v>
      </c>
      <c r="AA11" s="1558">
        <f t="shared" si="3"/>
        <v>1</v>
      </c>
      <c r="AB11" s="1558">
        <f t="shared" si="4"/>
        <v>1</v>
      </c>
      <c r="AC11" s="1558">
        <f t="shared" si="5"/>
        <v>1</v>
      </c>
    </row>
    <row r="12" spans="1:30" s="1334" customFormat="1" ht="27">
      <c r="A12" s="2871"/>
      <c r="B12" s="2876" t="s">
        <v>2754</v>
      </c>
      <c r="C12" s="910">
        <v>60.25</v>
      </c>
      <c r="D12" s="255">
        <v>100</v>
      </c>
      <c r="E12" s="529" t="s">
        <v>3107</v>
      </c>
      <c r="F12" s="255">
        <f>ROUND(100/'数据-取费表'!G16,0)</f>
        <v>104</v>
      </c>
      <c r="G12" s="530" t="s">
        <v>3107</v>
      </c>
      <c r="H12" s="255">
        <f>ROUND(100/'数据-取费表'!G16,0)</f>
        <v>104</v>
      </c>
      <c r="I12" s="530" t="s">
        <v>3107</v>
      </c>
      <c r="J12" s="255">
        <f>ROUND(100/'数据-取费表'!G16,0)</f>
        <v>104</v>
      </c>
      <c r="K12" s="531"/>
      <c r="L12" s="2124"/>
      <c r="M12" s="2118"/>
      <c r="N12" s="2118"/>
      <c r="O12" s="2125"/>
      <c r="P12" s="3386"/>
      <c r="Q12" s="1147" t="str">
        <f t="shared" si="6"/>
        <v>土地使用年限（年）</v>
      </c>
      <c r="R12" s="1555" t="s">
        <v>8</v>
      </c>
      <c r="S12" s="1556">
        <f t="shared" si="0"/>
        <v>104</v>
      </c>
      <c r="T12" s="1555" t="s">
        <v>8</v>
      </c>
      <c r="U12" s="1556">
        <f t="shared" si="1"/>
        <v>104</v>
      </c>
      <c r="V12" s="1555" t="s">
        <v>8</v>
      </c>
      <c r="W12" s="1556">
        <f t="shared" si="2"/>
        <v>104</v>
      </c>
      <c r="X12" s="1557"/>
      <c r="Y12" s="3343"/>
      <c r="Z12" s="1146" t="str">
        <f t="shared" si="7"/>
        <v>土地使用年限（年）</v>
      </c>
      <c r="AA12" s="1558">
        <f t="shared" si="3"/>
        <v>0.96153846153846156</v>
      </c>
      <c r="AB12" s="1558">
        <f t="shared" si="4"/>
        <v>0.96153846153846156</v>
      </c>
      <c r="AC12" s="1558">
        <f t="shared" si="5"/>
        <v>0.96153846153846156</v>
      </c>
    </row>
    <row r="13" spans="1:30" ht="20.25">
      <c r="A13" s="2872"/>
      <c r="B13" s="2876" t="s">
        <v>2755</v>
      </c>
      <c r="C13" s="534">
        <v>1.8</v>
      </c>
      <c r="D13" s="255">
        <v>100</v>
      </c>
      <c r="E13" s="533">
        <v>3</v>
      </c>
      <c r="F13" s="255">
        <f>LOOKUP(E13,82:82,83:83)-LOOKUP(C13,82:82,83:83)+100</f>
        <v>94</v>
      </c>
      <c r="G13" s="534">
        <v>3</v>
      </c>
      <c r="H13" s="255">
        <f>LOOKUP(G13,82:82,83:83)-LOOKUP(C13,82:82,83:83)+100</f>
        <v>94</v>
      </c>
      <c r="I13" s="533">
        <v>2</v>
      </c>
      <c r="J13" s="255">
        <f>LOOKUP(I13,82:82,83:83)-LOOKUP(C13,82:82,83:83)+100</f>
        <v>98</v>
      </c>
      <c r="K13" s="535">
        <v>2</v>
      </c>
      <c r="L13" s="2126"/>
      <c r="M13" s="2118"/>
      <c r="N13" s="2118"/>
      <c r="O13" s="2127"/>
      <c r="P13" s="3386"/>
      <c r="Q13" s="1147" t="str">
        <f t="shared" si="6"/>
        <v>容积率</v>
      </c>
      <c r="R13" s="1555" t="s">
        <v>8</v>
      </c>
      <c r="S13" s="1556">
        <f t="shared" si="0"/>
        <v>94</v>
      </c>
      <c r="T13" s="1555" t="s">
        <v>8</v>
      </c>
      <c r="U13" s="1556">
        <f t="shared" si="1"/>
        <v>94</v>
      </c>
      <c r="V13" s="1555" t="s">
        <v>8</v>
      </c>
      <c r="W13" s="1556">
        <f t="shared" si="2"/>
        <v>98</v>
      </c>
      <c r="X13" s="1557"/>
      <c r="Y13" s="3343"/>
      <c r="Z13" s="1146" t="str">
        <f t="shared" si="7"/>
        <v>容积率</v>
      </c>
      <c r="AA13" s="1558">
        <f t="shared" si="3"/>
        <v>1.0638297872340425</v>
      </c>
      <c r="AB13" s="1558">
        <f t="shared" si="4"/>
        <v>1.0638297872340425</v>
      </c>
      <c r="AC13" s="1558">
        <f t="shared" si="5"/>
        <v>1.0204081632653061</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6"/>
      <c r="Q14" s="1147" t="str">
        <f t="shared" si="6"/>
        <v>配建</v>
      </c>
      <c r="R14" s="1555" t="s">
        <v>8</v>
      </c>
      <c r="S14" s="1556">
        <f t="shared" si="0"/>
        <v>100</v>
      </c>
      <c r="T14" s="1555" t="s">
        <v>8</v>
      </c>
      <c r="U14" s="1556">
        <f t="shared" si="1"/>
        <v>100</v>
      </c>
      <c r="V14" s="1555" t="s">
        <v>8</v>
      </c>
      <c r="W14" s="1556">
        <f t="shared" si="2"/>
        <v>100</v>
      </c>
      <c r="X14" s="1557"/>
      <c r="Y14" s="3343"/>
      <c r="Z14" s="1146" t="str">
        <f t="shared" si="7"/>
        <v>配建</v>
      </c>
      <c r="AA14" s="1558">
        <f>D14/F14</f>
        <v>1</v>
      </c>
      <c r="AB14" s="1558">
        <f>D14/H14</f>
        <v>1</v>
      </c>
      <c r="AC14" s="1558">
        <f>D14/J14</f>
        <v>1</v>
      </c>
    </row>
    <row r="15" spans="1:30" ht="20.25">
      <c r="A15" s="2873"/>
      <c r="B15" s="2879"/>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6"/>
      <c r="Q15" s="1147">
        <f t="shared" si="6"/>
        <v>0</v>
      </c>
      <c r="R15" s="1555" t="s">
        <v>8</v>
      </c>
      <c r="S15" s="1556">
        <f t="shared" si="0"/>
        <v>100</v>
      </c>
      <c r="T15" s="1555" t="s">
        <v>8</v>
      </c>
      <c r="U15" s="1556">
        <f t="shared" si="1"/>
        <v>100</v>
      </c>
      <c r="V15" s="1555" t="s">
        <v>8</v>
      </c>
      <c r="W15" s="1556">
        <f t="shared" si="2"/>
        <v>100</v>
      </c>
      <c r="X15" s="1557"/>
      <c r="Y15" s="3343"/>
      <c r="Z15" s="1146">
        <f t="shared" si="7"/>
        <v>0</v>
      </c>
      <c r="AA15" s="1558">
        <f>D15/F15</f>
        <v>1</v>
      </c>
      <c r="AB15" s="1558">
        <f>D15/H15</f>
        <v>1</v>
      </c>
      <c r="AC15" s="1558">
        <f>D15/J15</f>
        <v>1</v>
      </c>
    </row>
    <row r="16" spans="1:30" ht="21" thickBot="1">
      <c r="A16" s="2874"/>
      <c r="B16" s="2880"/>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6"/>
      <c r="Q16" s="1147">
        <f t="shared" si="6"/>
        <v>0</v>
      </c>
      <c r="R16" s="1555" t="s">
        <v>8</v>
      </c>
      <c r="S16" s="1556">
        <f t="shared" si="0"/>
        <v>100</v>
      </c>
      <c r="T16" s="1555" t="s">
        <v>8</v>
      </c>
      <c r="U16" s="1556">
        <f t="shared" si="1"/>
        <v>100</v>
      </c>
      <c r="V16" s="1555" t="s">
        <v>8</v>
      </c>
      <c r="W16" s="1556">
        <f t="shared" si="2"/>
        <v>100</v>
      </c>
      <c r="X16" s="1557"/>
      <c r="Y16" s="3343"/>
      <c r="Z16" s="1146">
        <f t="shared" si="7"/>
        <v>0</v>
      </c>
      <c r="AA16" s="1558">
        <f>D16/F16</f>
        <v>1</v>
      </c>
      <c r="AB16" s="1558">
        <f>D16/H16</f>
        <v>1</v>
      </c>
      <c r="AC16" s="1558">
        <f>D16/J16</f>
        <v>1</v>
      </c>
    </row>
    <row r="17" spans="1:29" ht="99.75">
      <c r="A17" s="2866" t="s">
        <v>2751</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88" t="s">
        <v>539</v>
      </c>
      <c r="Q17" s="1559" t="str">
        <f t="shared" si="6"/>
        <v>居住社区成熟度</v>
      </c>
      <c r="R17" s="1560" t="s">
        <v>8</v>
      </c>
      <c r="S17" s="1561">
        <f t="shared" si="0"/>
        <v>100</v>
      </c>
      <c r="T17" s="1560" t="s">
        <v>8</v>
      </c>
      <c r="U17" s="1561">
        <f t="shared" si="1"/>
        <v>100</v>
      </c>
      <c r="V17" s="1560" t="s">
        <v>8</v>
      </c>
      <c r="W17" s="1561">
        <f t="shared" si="2"/>
        <v>100</v>
      </c>
      <c r="X17" s="1554"/>
      <c r="Y17" s="3388" t="s">
        <v>539</v>
      </c>
      <c r="Z17" s="1562" t="str">
        <f t="shared" si="7"/>
        <v>居住社区成熟度</v>
      </c>
      <c r="AA17" s="1563">
        <f t="shared" si="3"/>
        <v>1</v>
      </c>
      <c r="AB17" s="1563">
        <f t="shared" si="4"/>
        <v>1</v>
      </c>
      <c r="AC17" s="1563">
        <f t="shared" si="5"/>
        <v>1</v>
      </c>
    </row>
    <row r="18" spans="1:29" ht="20.25">
      <c r="A18" s="532"/>
      <c r="B18" s="553"/>
      <c r="C18" s="554" t="s">
        <v>3030</v>
      </c>
      <c r="D18" s="557"/>
      <c r="E18" s="558" t="s">
        <v>3030</v>
      </c>
      <c r="F18" s="555"/>
      <c r="G18" s="556" t="s">
        <v>3030</v>
      </c>
      <c r="H18" s="559"/>
      <c r="I18" s="558" t="s">
        <v>3030</v>
      </c>
      <c r="J18" s="555"/>
      <c r="K18" s="531"/>
      <c r="L18" s="2128"/>
      <c r="M18" s="2118"/>
      <c r="N18" s="2118"/>
      <c r="O18" s="2127"/>
      <c r="P18" s="3389"/>
      <c r="Q18" s="1559"/>
      <c r="R18" s="1560"/>
      <c r="S18" s="1561"/>
      <c r="T18" s="1560"/>
      <c r="U18" s="1561"/>
      <c r="V18" s="1560"/>
      <c r="W18" s="1561"/>
      <c r="X18" s="1554"/>
      <c r="Y18" s="3389"/>
      <c r="Z18" s="1562"/>
      <c r="AA18" s="1563">
        <v>1</v>
      </c>
      <c r="AB18" s="1563">
        <v>1</v>
      </c>
      <c r="AC18" s="1563">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89"/>
      <c r="Q19" s="1559" t="str">
        <f>B19</f>
        <v>商业繁华度</v>
      </c>
      <c r="R19" s="1560" t="s">
        <v>8</v>
      </c>
      <c r="S19" s="1561">
        <f>F19</f>
        <v>100</v>
      </c>
      <c r="T19" s="1560" t="s">
        <v>8</v>
      </c>
      <c r="U19" s="1561">
        <f>H19</f>
        <v>100</v>
      </c>
      <c r="V19" s="1560" t="s">
        <v>8</v>
      </c>
      <c r="W19" s="1561">
        <f>J19</f>
        <v>100</v>
      </c>
      <c r="X19" s="1554"/>
      <c r="Y19" s="3389"/>
      <c r="Z19" s="1562" t="str">
        <f>Q19</f>
        <v>商业繁华度</v>
      </c>
      <c r="AA19" s="1563">
        <f t="shared" si="3"/>
        <v>1</v>
      </c>
      <c r="AB19" s="1563">
        <f t="shared" si="4"/>
        <v>1</v>
      </c>
      <c r="AC19" s="1563">
        <f t="shared" si="5"/>
        <v>1</v>
      </c>
    </row>
    <row r="20" spans="1:29" ht="20.25">
      <c r="A20" s="532"/>
      <c r="B20" s="566"/>
      <c r="C20" s="567" t="s">
        <v>3031</v>
      </c>
      <c r="D20" s="563"/>
      <c r="E20" s="569" t="s">
        <v>3031</v>
      </c>
      <c r="F20" s="559"/>
      <c r="G20" s="568" t="s">
        <v>3031</v>
      </c>
      <c r="H20" s="555"/>
      <c r="I20" s="569" t="s">
        <v>3031</v>
      </c>
      <c r="J20" s="555"/>
      <c r="K20" s="531"/>
      <c r="L20" s="2128"/>
      <c r="M20" s="2118"/>
      <c r="N20" s="2118"/>
      <c r="O20" s="2127"/>
      <c r="P20" s="3389"/>
      <c r="Q20" s="1559"/>
      <c r="R20" s="1560"/>
      <c r="S20" s="1561"/>
      <c r="T20" s="1560"/>
      <c r="U20" s="1561"/>
      <c r="V20" s="1560"/>
      <c r="W20" s="1561"/>
      <c r="X20" s="1554"/>
      <c r="Y20" s="3389"/>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89"/>
      <c r="Q21" s="1559" t="str">
        <f>B21</f>
        <v>办公集聚程度</v>
      </c>
      <c r="R21" s="1560" t="s">
        <v>8</v>
      </c>
      <c r="S21" s="1561">
        <f>F21</f>
        <v>100</v>
      </c>
      <c r="T21" s="1560" t="s">
        <v>8</v>
      </c>
      <c r="U21" s="1561">
        <f>H21</f>
        <v>100</v>
      </c>
      <c r="V21" s="1560" t="s">
        <v>8</v>
      </c>
      <c r="W21" s="1561">
        <f>J21</f>
        <v>100</v>
      </c>
      <c r="X21" s="1554"/>
      <c r="Y21" s="338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89"/>
      <c r="Q22" s="1559"/>
      <c r="R22" s="1560"/>
      <c r="S22" s="1561"/>
      <c r="T22" s="1560"/>
      <c r="U22" s="1561"/>
      <c r="V22" s="1560"/>
      <c r="W22" s="1561"/>
      <c r="X22" s="1554"/>
      <c r="Y22" s="3389"/>
      <c r="Z22" s="1562"/>
      <c r="AA22" s="1563">
        <v>1</v>
      </c>
      <c r="AB22" s="1563">
        <v>1</v>
      </c>
      <c r="AC22" s="1563">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28"/>
      <c r="M23" s="2118"/>
      <c r="N23" s="2118"/>
      <c r="O23" s="2127"/>
      <c r="P23" s="3389"/>
      <c r="Q23" s="1559" t="str">
        <f>B23</f>
        <v>交通便捷度</v>
      </c>
      <c r="R23" s="1560" t="s">
        <v>8</v>
      </c>
      <c r="S23" s="1561">
        <f>F23</f>
        <v>98</v>
      </c>
      <c r="T23" s="1560" t="s">
        <v>8</v>
      </c>
      <c r="U23" s="1561">
        <f>H23</f>
        <v>98</v>
      </c>
      <c r="V23" s="1560" t="s">
        <v>8</v>
      </c>
      <c r="W23" s="1561">
        <f>J23</f>
        <v>98</v>
      </c>
      <c r="X23" s="1554"/>
      <c r="Y23" s="3389"/>
      <c r="Z23" s="1562" t="str">
        <f>Q23</f>
        <v>交通便捷度</v>
      </c>
      <c r="AA23" s="1563">
        <f t="shared" si="3"/>
        <v>1.0204081632653061</v>
      </c>
      <c r="AB23" s="1563">
        <f t="shared" si="4"/>
        <v>1.0204081632653061</v>
      </c>
      <c r="AC23" s="1563">
        <f t="shared" si="5"/>
        <v>1.0204081632653061</v>
      </c>
    </row>
    <row r="24" spans="1:29" ht="20.25">
      <c r="A24" s="532"/>
      <c r="B24" s="578"/>
      <c r="C24" s="554" t="s">
        <v>3030</v>
      </c>
      <c r="D24" s="557"/>
      <c r="E24" s="558" t="s">
        <v>3031</v>
      </c>
      <c r="F24" s="555"/>
      <c r="G24" s="556" t="s">
        <v>3031</v>
      </c>
      <c r="H24" s="555"/>
      <c r="I24" s="558" t="s">
        <v>3031</v>
      </c>
      <c r="J24" s="555"/>
      <c r="K24" s="531"/>
      <c r="L24" s="2128"/>
      <c r="M24" s="2118"/>
      <c r="N24" s="2118"/>
      <c r="O24" s="2127"/>
      <c r="P24" s="3389"/>
      <c r="Q24" s="1559"/>
      <c r="R24" s="1560"/>
      <c r="S24" s="1561"/>
      <c r="T24" s="1560"/>
      <c r="U24" s="1561"/>
      <c r="V24" s="1560"/>
      <c r="W24" s="1561"/>
      <c r="X24" s="1554"/>
      <c r="Y24" s="3389"/>
      <c r="Z24" s="1562"/>
      <c r="AA24" s="1563">
        <v>1</v>
      </c>
      <c r="AB24" s="1563">
        <v>1</v>
      </c>
      <c r="AC24" s="1563">
        <v>1</v>
      </c>
    </row>
    <row r="25" spans="1:29" ht="27">
      <c r="A25" s="515"/>
      <c r="B25" s="259" t="s">
        <v>543</v>
      </c>
      <c r="C25" s="573" t="str">
        <f>估价对象房地状况!C19</f>
        <v>较适合</v>
      </c>
      <c r="D25" s="563">
        <v>100</v>
      </c>
      <c r="E25" s="3203" t="s">
        <v>3108</v>
      </c>
      <c r="F25" s="565">
        <f>SUMIF(98:98,E26,99:99)-SUMIF(98:98,C26,99:99)+100</f>
        <v>100</v>
      </c>
      <c r="G25" s="3203" t="s">
        <v>3108</v>
      </c>
      <c r="H25" s="559">
        <f>SUMIF(98:98,G26,99:99)-SUMIF(98:98,C26,99:99)+100</f>
        <v>100</v>
      </c>
      <c r="I25" s="3203" t="s">
        <v>3108</v>
      </c>
      <c r="J25" s="559">
        <f>SUMIF(98:98,I26,99:99)-SUMIF(98:98,C26,99:99)+100</f>
        <v>100</v>
      </c>
      <c r="K25" s="535">
        <v>1</v>
      </c>
      <c r="L25" s="2128"/>
      <c r="M25" s="2118"/>
      <c r="N25" s="2118"/>
      <c r="O25" s="2127"/>
      <c r="P25" s="3389"/>
      <c r="Q25" s="1559" t="str">
        <f t="shared" ref="Q25:Q39" si="8">B25</f>
        <v>区域土地利用方向</v>
      </c>
      <c r="R25" s="1560" t="s">
        <v>8</v>
      </c>
      <c r="S25" s="1561">
        <f>F25</f>
        <v>100</v>
      </c>
      <c r="T25" s="1560" t="s">
        <v>8</v>
      </c>
      <c r="U25" s="1561">
        <f>H25</f>
        <v>100</v>
      </c>
      <c r="V25" s="1560" t="s">
        <v>8</v>
      </c>
      <c r="W25" s="1561">
        <f>J25</f>
        <v>100</v>
      </c>
      <c r="X25" s="1554"/>
      <c r="Y25" s="3389"/>
      <c r="Z25" s="1562" t="str">
        <f>Q25</f>
        <v>区域土地利用方向</v>
      </c>
      <c r="AA25" s="1563">
        <f t="shared" si="3"/>
        <v>1</v>
      </c>
      <c r="AB25" s="1563">
        <f t="shared" si="4"/>
        <v>1</v>
      </c>
      <c r="AC25" s="1563">
        <f t="shared" si="5"/>
        <v>1</v>
      </c>
    </row>
    <row r="26" spans="1:29" ht="20.25">
      <c r="A26" s="515"/>
      <c r="B26" s="1007"/>
      <c r="C26" s="554" t="s">
        <v>3030</v>
      </c>
      <c r="D26" s="557"/>
      <c r="E26" s="558" t="s">
        <v>3030</v>
      </c>
      <c r="F26" s="555"/>
      <c r="G26" s="556" t="s">
        <v>3030</v>
      </c>
      <c r="H26" s="555"/>
      <c r="I26" s="558" t="s">
        <v>3030</v>
      </c>
      <c r="J26" s="555"/>
      <c r="K26" s="531"/>
      <c r="L26" s="2128"/>
      <c r="M26" s="2118"/>
      <c r="N26" s="2118"/>
      <c r="O26" s="2127"/>
      <c r="P26" s="3389"/>
      <c r="Q26" s="1559"/>
      <c r="R26" s="1560"/>
      <c r="S26" s="1561"/>
      <c r="T26" s="1560"/>
      <c r="U26" s="1561"/>
      <c r="V26" s="1560"/>
      <c r="W26" s="1561"/>
      <c r="X26" s="1554"/>
      <c r="Y26" s="3389"/>
      <c r="Z26" s="1562"/>
      <c r="AA26" s="1563"/>
      <c r="AB26" s="1563"/>
      <c r="AC26" s="1563"/>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8"/>
      <c r="M27" s="2118"/>
      <c r="N27" s="2118"/>
      <c r="O27" s="2127"/>
      <c r="P27" s="3389"/>
      <c r="Q27" s="1559" t="str">
        <f t="shared" si="8"/>
        <v>自然及人文环境状况</v>
      </c>
      <c r="R27" s="1560" t="s">
        <v>8</v>
      </c>
      <c r="S27" s="1561">
        <f>F27</f>
        <v>100</v>
      </c>
      <c r="T27" s="1560" t="s">
        <v>8</v>
      </c>
      <c r="U27" s="1561">
        <f>H27</f>
        <v>100</v>
      </c>
      <c r="V27" s="1560" t="s">
        <v>8</v>
      </c>
      <c r="W27" s="1561">
        <f>J27</f>
        <v>100</v>
      </c>
      <c r="X27" s="1554"/>
      <c r="Y27" s="3389"/>
      <c r="Z27" s="1562" t="str">
        <f>Q27</f>
        <v>自然及人文环境状况</v>
      </c>
      <c r="AA27" s="1563">
        <f t="shared" si="3"/>
        <v>1</v>
      </c>
      <c r="AB27" s="1563">
        <f t="shared" si="4"/>
        <v>1</v>
      </c>
      <c r="AC27" s="1563">
        <f t="shared" si="5"/>
        <v>1</v>
      </c>
    </row>
    <row r="28" spans="1:29" ht="20.25">
      <c r="A28" s="515"/>
      <c r="B28" s="566"/>
      <c r="C28" s="554" t="s">
        <v>3030</v>
      </c>
      <c r="D28" s="557"/>
      <c r="E28" s="576" t="s">
        <v>3030</v>
      </c>
      <c r="F28" s="555"/>
      <c r="G28" s="554" t="s">
        <v>3030</v>
      </c>
      <c r="H28" s="555"/>
      <c r="I28" s="576" t="s">
        <v>3030</v>
      </c>
      <c r="J28" s="555"/>
      <c r="K28" s="531"/>
      <c r="L28" s="2128"/>
      <c r="M28" s="2118"/>
      <c r="N28" s="2118"/>
      <c r="O28" s="2127"/>
      <c r="P28" s="3389"/>
      <c r="Q28" s="1559"/>
      <c r="R28" s="1560"/>
      <c r="S28" s="1561"/>
      <c r="T28" s="1560"/>
      <c r="U28" s="1561"/>
      <c r="V28" s="1560"/>
      <c r="W28" s="1561"/>
      <c r="X28" s="1554"/>
      <c r="Y28" s="3389"/>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89"/>
      <c r="Q29" s="1147" t="str">
        <f t="shared" si="8"/>
        <v>公共配套设施</v>
      </c>
      <c r="R29" s="1555" t="s">
        <v>8</v>
      </c>
      <c r="S29" s="1556">
        <f>F29</f>
        <v>102</v>
      </c>
      <c r="T29" s="1555" t="s">
        <v>8</v>
      </c>
      <c r="U29" s="1556">
        <f>H29</f>
        <v>102</v>
      </c>
      <c r="V29" s="1555" t="s">
        <v>8</v>
      </c>
      <c r="W29" s="1556">
        <f>J29</f>
        <v>102</v>
      </c>
      <c r="X29" s="1557"/>
      <c r="Y29" s="3389"/>
      <c r="Z29" s="1146" t="str">
        <f>Q29</f>
        <v>公共配套设施</v>
      </c>
      <c r="AA29" s="1563">
        <f>D29/F29</f>
        <v>0.98039215686274506</v>
      </c>
      <c r="AB29" s="1563">
        <f>D29/H29</f>
        <v>0.98039215686274506</v>
      </c>
      <c r="AC29" s="1563">
        <f>D29/J29</f>
        <v>0.98039215686274506</v>
      </c>
    </row>
    <row r="30" spans="1:29" s="1216" customFormat="1" ht="20.25">
      <c r="A30" s="577"/>
      <c r="B30" s="566"/>
      <c r="C30" s="579" t="s">
        <v>3031</v>
      </c>
      <c r="D30" s="557"/>
      <c r="E30" s="576" t="s">
        <v>3030</v>
      </c>
      <c r="F30" s="555"/>
      <c r="G30" s="554" t="s">
        <v>3030</v>
      </c>
      <c r="H30" s="555"/>
      <c r="I30" s="576" t="s">
        <v>3030</v>
      </c>
      <c r="J30" s="555"/>
      <c r="K30" s="531"/>
      <c r="L30" s="2121"/>
      <c r="M30" s="2118"/>
      <c r="N30" s="2118"/>
      <c r="O30" s="2123"/>
      <c r="P30" s="3389"/>
      <c r="Q30" s="1147"/>
      <c r="R30" s="1555"/>
      <c r="S30" s="1556"/>
      <c r="T30" s="1555"/>
      <c r="U30" s="1556"/>
      <c r="V30" s="1555"/>
      <c r="W30" s="1556"/>
      <c r="X30" s="1557"/>
      <c r="Y30" s="3389"/>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9"/>
      <c r="Q31" s="2543" t="str">
        <f t="shared" ref="Q31" si="9">B31</f>
        <v>基础设施水平</v>
      </c>
      <c r="R31" s="1555" t="s">
        <v>8</v>
      </c>
      <c r="S31" s="1556">
        <f>F31</f>
        <v>100</v>
      </c>
      <c r="T31" s="1555" t="s">
        <v>8</v>
      </c>
      <c r="U31" s="1556">
        <f>H31</f>
        <v>100</v>
      </c>
      <c r="V31" s="1555" t="s">
        <v>8</v>
      </c>
      <c r="W31" s="1556">
        <f>J31</f>
        <v>100</v>
      </c>
      <c r="X31" s="1557"/>
      <c r="Y31" s="3389"/>
      <c r="Z31" s="2540" t="str">
        <f>Q31</f>
        <v>基础设施水平</v>
      </c>
      <c r="AA31" s="1563">
        <f>D31/F31</f>
        <v>1</v>
      </c>
      <c r="AB31" s="1563">
        <f>D31/H31</f>
        <v>1</v>
      </c>
      <c r="AC31" s="1563">
        <f>D31/J31</f>
        <v>1</v>
      </c>
    </row>
    <row r="32" spans="1:29" s="1216" customFormat="1" ht="20.25">
      <c r="A32" s="577"/>
      <c r="B32" s="566"/>
      <c r="C32" s="579" t="s">
        <v>3110</v>
      </c>
      <c r="D32" s="557"/>
      <c r="E32" s="2557" t="s">
        <v>3110</v>
      </c>
      <c r="F32" s="555"/>
      <c r="G32" s="579" t="s">
        <v>3110</v>
      </c>
      <c r="H32" s="555"/>
      <c r="I32" s="579" t="s">
        <v>3110</v>
      </c>
      <c r="J32" s="555"/>
      <c r="K32" s="531"/>
      <c r="L32" s="2121"/>
      <c r="M32" s="2118"/>
      <c r="N32" s="2118"/>
      <c r="O32" s="2123"/>
      <c r="P32" s="3389"/>
      <c r="Q32" s="2543"/>
      <c r="R32" s="1555"/>
      <c r="S32" s="1556"/>
      <c r="T32" s="1555"/>
      <c r="U32" s="1556"/>
      <c r="V32" s="1555"/>
      <c r="W32" s="1556"/>
      <c r="X32" s="1557"/>
      <c r="Y32" s="3389"/>
      <c r="Z32" s="2540"/>
      <c r="AA32" s="1563">
        <v>1</v>
      </c>
      <c r="AB32" s="1563">
        <v>1</v>
      </c>
      <c r="AC32" s="1563">
        <v>1</v>
      </c>
    </row>
    <row r="33" spans="1:29" ht="20.25">
      <c r="A33" s="532"/>
      <c r="B33" s="566" t="s">
        <v>546</v>
      </c>
      <c r="C33" s="580" t="s">
        <v>3111</v>
      </c>
      <c r="D33" s="575">
        <v>100</v>
      </c>
      <c r="E33" s="583" t="s">
        <v>3112</v>
      </c>
      <c r="F33" s="540">
        <f>SUMIF(106:106,E33,107:107)-SUMIF(106:106,C33,107:107)+100</f>
        <v>102</v>
      </c>
      <c r="G33" s="580" t="s">
        <v>3112</v>
      </c>
      <c r="H33" s="540">
        <f>SUMIF(106:106,G33,107:107)-SUMIF(106:106,C33,107:107)+100</f>
        <v>102</v>
      </c>
      <c r="I33" s="580" t="s">
        <v>3112</v>
      </c>
      <c r="J33" s="540">
        <f>SUMIF(106:106,I33,107:107)-SUMIF(106:106,C33,107:107)+100</f>
        <v>102</v>
      </c>
      <c r="K33" s="535">
        <v>2</v>
      </c>
      <c r="L33" s="2128"/>
      <c r="M33" s="2118"/>
      <c r="N33" s="2118"/>
      <c r="O33" s="2127"/>
      <c r="P33" s="3389"/>
      <c r="Q33" s="1559" t="str">
        <f t="shared" si="8"/>
        <v>临街状况</v>
      </c>
      <c r="R33" s="1560" t="s">
        <v>8</v>
      </c>
      <c r="S33" s="1561">
        <f t="shared" ref="S33:S47" si="10">F33</f>
        <v>102</v>
      </c>
      <c r="T33" s="1560" t="s">
        <v>8</v>
      </c>
      <c r="U33" s="1561">
        <f t="shared" ref="U33:U47" si="11">H33</f>
        <v>102</v>
      </c>
      <c r="V33" s="1560" t="s">
        <v>8</v>
      </c>
      <c r="W33" s="1561">
        <f t="shared" ref="W33:W47" si="12">J33</f>
        <v>102</v>
      </c>
      <c r="X33" s="1554"/>
      <c r="Y33" s="3389"/>
      <c r="Z33" s="1562" t="str">
        <f t="shared" ref="Z33:Z47" si="13">Q33</f>
        <v>临街状况</v>
      </c>
      <c r="AA33" s="1563">
        <f t="shared" si="3"/>
        <v>0.98039215686274506</v>
      </c>
      <c r="AB33" s="1563">
        <f t="shared" si="4"/>
        <v>0.98039215686274506</v>
      </c>
      <c r="AC33" s="1563">
        <f t="shared" si="5"/>
        <v>0.98039215686274506</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98</v>
      </c>
      <c r="K34" s="535">
        <v>2</v>
      </c>
      <c r="L34" s="2128"/>
      <c r="M34" s="2118"/>
      <c r="N34" s="2118"/>
      <c r="O34" s="2127"/>
      <c r="P34" s="3389"/>
      <c r="Q34" s="1559" t="str">
        <f t="shared" si="8"/>
        <v>毗邻道路的类型与等级</v>
      </c>
      <c r="R34" s="1560" t="s">
        <v>8</v>
      </c>
      <c r="S34" s="1561">
        <f t="shared" si="10"/>
        <v>100</v>
      </c>
      <c r="T34" s="1560" t="s">
        <v>8</v>
      </c>
      <c r="U34" s="1561">
        <f t="shared" si="11"/>
        <v>100</v>
      </c>
      <c r="V34" s="1560" t="s">
        <v>8</v>
      </c>
      <c r="W34" s="1561">
        <f t="shared" si="12"/>
        <v>98</v>
      </c>
      <c r="X34" s="1554"/>
      <c r="Y34" s="3389"/>
      <c r="Z34" s="1562" t="str">
        <f t="shared" si="13"/>
        <v>毗邻道路的类型与等级</v>
      </c>
      <c r="AA34" s="1563">
        <f t="shared" si="3"/>
        <v>1</v>
      </c>
      <c r="AB34" s="1563">
        <f t="shared" si="4"/>
        <v>1</v>
      </c>
      <c r="AC34" s="1563">
        <f t="shared" si="5"/>
        <v>1.0204081632653061</v>
      </c>
    </row>
    <row r="35" spans="1:29" ht="20.25">
      <c r="A35" s="532"/>
      <c r="B35" s="566"/>
      <c r="C35" s="554" t="s">
        <v>3113</v>
      </c>
      <c r="D35" s="557"/>
      <c r="E35" s="576" t="s">
        <v>3113</v>
      </c>
      <c r="F35" s="555"/>
      <c r="G35" s="554" t="s">
        <v>3113</v>
      </c>
      <c r="H35" s="555"/>
      <c r="I35" s="576" t="s">
        <v>3114</v>
      </c>
      <c r="J35" s="555"/>
      <c r="K35" s="581"/>
      <c r="L35" s="2128"/>
      <c r="M35" s="2118"/>
      <c r="N35" s="2118"/>
      <c r="O35" s="2127"/>
      <c r="P35" s="3389"/>
      <c r="Q35" s="1559"/>
      <c r="R35" s="1560"/>
      <c r="S35" s="1561"/>
      <c r="T35" s="1560"/>
      <c r="U35" s="1561"/>
      <c r="V35" s="1560"/>
      <c r="W35" s="1561"/>
      <c r="X35" s="1554"/>
      <c r="Y35" s="3389"/>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9"/>
      <c r="Q36" s="1559" t="str">
        <f t="shared" si="8"/>
        <v>土地级别</v>
      </c>
      <c r="R36" s="1560" t="s">
        <v>8</v>
      </c>
      <c r="S36" s="1561">
        <f t="shared" si="10"/>
        <v>100</v>
      </c>
      <c r="T36" s="1560" t="s">
        <v>8</v>
      </c>
      <c r="U36" s="1561">
        <f t="shared" si="11"/>
        <v>100</v>
      </c>
      <c r="V36" s="1560" t="s">
        <v>8</v>
      </c>
      <c r="W36" s="1561">
        <f t="shared" si="12"/>
        <v>100</v>
      </c>
      <c r="X36" s="1554"/>
      <c r="Y36" s="3389"/>
      <c r="Z36" s="1562" t="str">
        <f t="shared" si="13"/>
        <v>土地级别</v>
      </c>
      <c r="AA36" s="1563">
        <f t="shared" si="3"/>
        <v>1</v>
      </c>
      <c r="AB36" s="1563">
        <f t="shared" si="4"/>
        <v>1</v>
      </c>
      <c r="AC36" s="1563">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9"/>
      <c r="Q37" s="1559">
        <f t="shared" si="8"/>
        <v>0</v>
      </c>
      <c r="R37" s="1560" t="s">
        <v>8</v>
      </c>
      <c r="S37" s="1561">
        <f t="shared" si="10"/>
        <v>100</v>
      </c>
      <c r="T37" s="1560" t="s">
        <v>8</v>
      </c>
      <c r="U37" s="1561">
        <f t="shared" si="11"/>
        <v>100</v>
      </c>
      <c r="V37" s="1560" t="s">
        <v>8</v>
      </c>
      <c r="W37" s="1561">
        <f t="shared" si="12"/>
        <v>100</v>
      </c>
      <c r="X37" s="1554"/>
      <c r="Y37" s="3389"/>
      <c r="Z37" s="1562">
        <f t="shared" si="13"/>
        <v>0</v>
      </c>
      <c r="AA37" s="1563">
        <f t="shared" si="3"/>
        <v>1</v>
      </c>
      <c r="AB37" s="1563">
        <f t="shared" si="4"/>
        <v>1</v>
      </c>
      <c r="AC37" s="1563">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0" t="s">
        <v>549</v>
      </c>
      <c r="Q38" s="1559">
        <f t="shared" si="8"/>
        <v>0</v>
      </c>
      <c r="R38" s="1560" t="s">
        <v>8</v>
      </c>
      <c r="S38" s="1561">
        <f t="shared" si="10"/>
        <v>100</v>
      </c>
      <c r="T38" s="1560" t="s">
        <v>8</v>
      </c>
      <c r="U38" s="1561">
        <f t="shared" si="11"/>
        <v>100</v>
      </c>
      <c r="V38" s="1560" t="s">
        <v>8</v>
      </c>
      <c r="W38" s="1561">
        <f t="shared" si="12"/>
        <v>100</v>
      </c>
      <c r="X38" s="1554"/>
      <c r="Y38" s="3391" t="s">
        <v>549</v>
      </c>
      <c r="Z38" s="1562">
        <f t="shared" si="13"/>
        <v>0</v>
      </c>
      <c r="AA38" s="1563">
        <f t="shared" si="3"/>
        <v>1</v>
      </c>
      <c r="AB38" s="1563">
        <f t="shared" si="4"/>
        <v>1</v>
      </c>
      <c r="AC38" s="1563">
        <f t="shared" si="5"/>
        <v>1</v>
      </c>
    </row>
    <row r="39" spans="1:29" s="1335"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1"/>
      <c r="Q39" s="1559">
        <f t="shared" si="8"/>
        <v>0</v>
      </c>
      <c r="R39" s="1564" t="s">
        <v>8</v>
      </c>
      <c r="S39" s="1565">
        <f t="shared" si="10"/>
        <v>100</v>
      </c>
      <c r="T39" s="1564" t="s">
        <v>8</v>
      </c>
      <c r="U39" s="1565">
        <f t="shared" si="11"/>
        <v>100</v>
      </c>
      <c r="V39" s="1564" t="s">
        <v>8</v>
      </c>
      <c r="W39" s="1565">
        <f t="shared" si="12"/>
        <v>100</v>
      </c>
      <c r="X39" s="1566"/>
      <c r="Y39" s="3391"/>
      <c r="Z39" s="1567">
        <f t="shared" si="13"/>
        <v>0</v>
      </c>
      <c r="AA39" s="1563">
        <f t="shared" si="3"/>
        <v>1</v>
      </c>
      <c r="AB39" s="1563">
        <f t="shared" si="4"/>
        <v>1</v>
      </c>
      <c r="AC39" s="1563">
        <f t="shared" si="5"/>
        <v>1</v>
      </c>
    </row>
    <row r="40" spans="1:29" ht="20.25">
      <c r="A40" s="2863" t="s">
        <v>2752</v>
      </c>
      <c r="B40" s="595" t="s">
        <v>551</v>
      </c>
      <c r="C40" s="596">
        <v>200833.33</v>
      </c>
      <c r="D40" s="597">
        <v>100</v>
      </c>
      <c r="E40" s="596">
        <v>715.49</v>
      </c>
      <c r="F40" s="597">
        <f>LOOKUP(E40,119:119,120:120)-LOOKUP(C40,119:119,120:120)+100</f>
        <v>98</v>
      </c>
      <c r="G40" s="596">
        <v>1658.83</v>
      </c>
      <c r="H40" s="597">
        <f>LOOKUP(G40,119:119,120:120)-LOOKUP(C40,119:119,120:120)+100</f>
        <v>98</v>
      </c>
      <c r="I40" s="598">
        <v>5064.74</v>
      </c>
      <c r="J40" s="597">
        <f>LOOKUP(I40,119:119,120:120)-LOOKUP(C40,119:119,120:120)+100</f>
        <v>98</v>
      </c>
      <c r="K40" s="581"/>
      <c r="L40" s="2128"/>
      <c r="M40" s="2118"/>
      <c r="N40" s="2118"/>
      <c r="O40" s="2127"/>
      <c r="P40" s="3391"/>
      <c r="Q40" s="1559" t="str">
        <f>B40</f>
        <v>宗地面积</v>
      </c>
      <c r="R40" s="1560" t="s">
        <v>8</v>
      </c>
      <c r="S40" s="1561">
        <f t="shared" si="10"/>
        <v>98</v>
      </c>
      <c r="T40" s="1560" t="s">
        <v>8</v>
      </c>
      <c r="U40" s="1561">
        <f t="shared" si="11"/>
        <v>98</v>
      </c>
      <c r="V40" s="1560" t="s">
        <v>8</v>
      </c>
      <c r="W40" s="1561">
        <f t="shared" si="12"/>
        <v>98</v>
      </c>
      <c r="X40" s="1554"/>
      <c r="Y40" s="3391"/>
      <c r="Z40" s="1562" t="str">
        <f t="shared" si="13"/>
        <v>宗地面积</v>
      </c>
      <c r="AA40" s="1563">
        <f t="shared" si="3"/>
        <v>1.0204081632653061</v>
      </c>
      <c r="AB40" s="1563">
        <f t="shared" si="4"/>
        <v>1.0204081632653061</v>
      </c>
      <c r="AC40" s="1563">
        <f t="shared" si="5"/>
        <v>1.0204081632653061</v>
      </c>
    </row>
    <row r="41" spans="1:29" ht="20.25">
      <c r="A41" s="594"/>
      <c r="B41" s="527" t="s">
        <v>552</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8"/>
      <c r="M41" s="2118"/>
      <c r="N41" s="2118"/>
      <c r="O41" s="2127"/>
      <c r="P41" s="3391"/>
      <c r="Q41" s="1559" t="str">
        <f t="shared" ref="Q41:Q47" si="14">B41</f>
        <v>宗地形状</v>
      </c>
      <c r="R41" s="1560" t="s">
        <v>8</v>
      </c>
      <c r="S41" s="1561">
        <f t="shared" si="10"/>
        <v>100</v>
      </c>
      <c r="T41" s="1560" t="s">
        <v>8</v>
      </c>
      <c r="U41" s="1561">
        <f t="shared" si="11"/>
        <v>100</v>
      </c>
      <c r="V41" s="1560" t="s">
        <v>8</v>
      </c>
      <c r="W41" s="1561">
        <f t="shared" si="12"/>
        <v>100</v>
      </c>
      <c r="X41" s="1554"/>
      <c r="Y41" s="3391"/>
      <c r="Z41" s="1562" t="str">
        <f t="shared" si="13"/>
        <v>宗地形状</v>
      </c>
      <c r="AA41" s="1563">
        <f t="shared" si="3"/>
        <v>1</v>
      </c>
      <c r="AB41" s="1563">
        <f t="shared" si="4"/>
        <v>1</v>
      </c>
      <c r="AC41" s="1563">
        <f t="shared" si="5"/>
        <v>1</v>
      </c>
    </row>
    <row r="42" spans="1:29" ht="20.25">
      <c r="A42" s="594"/>
      <c r="B42" s="527" t="s">
        <v>553</v>
      </c>
      <c r="C42" s="599" t="s">
        <v>3030</v>
      </c>
      <c r="D42" s="540">
        <v>100</v>
      </c>
      <c r="E42" s="599" t="s">
        <v>3030</v>
      </c>
      <c r="F42" s="540">
        <f>SUMIF(123:123,E42,124:124)-SUMIF(123:123,C42,124:124)+100</f>
        <v>100</v>
      </c>
      <c r="G42" s="599" t="s">
        <v>3030</v>
      </c>
      <c r="H42" s="540">
        <f>SUMIF(123:123,G42,124:124)-SUMIF(123:123,C42,124:124)+100</f>
        <v>100</v>
      </c>
      <c r="I42" s="599" t="s">
        <v>3030</v>
      </c>
      <c r="J42" s="540">
        <f>SUMIF(123:123,I42,124:124)-SUMIF(123:123,C42,124:124)+100</f>
        <v>100</v>
      </c>
      <c r="K42" s="584">
        <v>1</v>
      </c>
      <c r="L42" s="2128"/>
      <c r="M42" s="2118"/>
      <c r="N42" s="2118"/>
      <c r="O42" s="2127"/>
      <c r="P42" s="3391"/>
      <c r="Q42" s="1559" t="str">
        <f t="shared" si="14"/>
        <v>临街宽度及深度</v>
      </c>
      <c r="R42" s="1560" t="s">
        <v>8</v>
      </c>
      <c r="S42" s="1561">
        <f t="shared" si="10"/>
        <v>100</v>
      </c>
      <c r="T42" s="1560" t="s">
        <v>8</v>
      </c>
      <c r="U42" s="1561">
        <f t="shared" si="11"/>
        <v>100</v>
      </c>
      <c r="V42" s="1560" t="s">
        <v>8</v>
      </c>
      <c r="W42" s="1561">
        <f t="shared" si="12"/>
        <v>100</v>
      </c>
      <c r="X42" s="1554"/>
      <c r="Y42" s="3391"/>
      <c r="Z42" s="1562" t="str">
        <f t="shared" si="13"/>
        <v>临街宽度及深度</v>
      </c>
      <c r="AA42" s="1563">
        <f t="shared" si="3"/>
        <v>1</v>
      </c>
      <c r="AB42" s="1563">
        <f t="shared" si="4"/>
        <v>1</v>
      </c>
      <c r="AC42" s="1563">
        <f t="shared" si="5"/>
        <v>1</v>
      </c>
    </row>
    <row r="43" spans="1:29" s="1216" customFormat="1" ht="20.25">
      <c r="A43" s="600"/>
      <c r="B43" s="1881" t="s">
        <v>2422</v>
      </c>
      <c r="C43" s="601" t="s">
        <v>3110</v>
      </c>
      <c r="D43" s="255">
        <v>100</v>
      </c>
      <c r="E43" s="601" t="s">
        <v>3110</v>
      </c>
      <c r="F43" s="540">
        <f>SUMIF(125:125,E43,126:126)-SUMIF(125:125,C43,126:126)+100</f>
        <v>100</v>
      </c>
      <c r="G43" s="601" t="s">
        <v>3110</v>
      </c>
      <c r="H43" s="540">
        <f>SUMIF(125:125,G43,126:126)-SUMIF(125:125,C43,126:126)+100</f>
        <v>100</v>
      </c>
      <c r="I43" s="601" t="s">
        <v>3110</v>
      </c>
      <c r="J43" s="540">
        <f>SUMIF(125:125,I43,126:126)-SUMIF(125:125,C43,126:126)+100</f>
        <v>100</v>
      </c>
      <c r="K43" s="584">
        <v>1</v>
      </c>
      <c r="L43" s="2121"/>
      <c r="M43" s="2118"/>
      <c r="N43" s="2118"/>
      <c r="O43" s="2123"/>
      <c r="P43" s="3391"/>
      <c r="Q43" s="1559" t="str">
        <f t="shared" si="14"/>
        <v>宗地开发程度</v>
      </c>
      <c r="R43" s="1555" t="s">
        <v>8</v>
      </c>
      <c r="S43" s="1556">
        <f t="shared" si="10"/>
        <v>100</v>
      </c>
      <c r="T43" s="1555" t="s">
        <v>8</v>
      </c>
      <c r="U43" s="1556">
        <f t="shared" si="11"/>
        <v>100</v>
      </c>
      <c r="V43" s="1555" t="s">
        <v>8</v>
      </c>
      <c r="W43" s="1556">
        <f t="shared" si="12"/>
        <v>100</v>
      </c>
      <c r="X43" s="1557"/>
      <c r="Y43" s="3391"/>
      <c r="Z43" s="1146" t="str">
        <f t="shared" si="13"/>
        <v>宗地开发程度</v>
      </c>
      <c r="AA43" s="1558">
        <f t="shared" si="3"/>
        <v>1</v>
      </c>
      <c r="AB43" s="1558">
        <f t="shared" si="4"/>
        <v>1</v>
      </c>
      <c r="AC43" s="1558">
        <f t="shared" si="5"/>
        <v>1</v>
      </c>
    </row>
    <row r="44" spans="1:29" ht="20.25">
      <c r="A44" s="594"/>
      <c r="B44" s="527" t="s">
        <v>554</v>
      </c>
      <c r="C44" s="599" t="s">
        <v>3030</v>
      </c>
      <c r="D44" s="540">
        <v>100</v>
      </c>
      <c r="E44" s="599" t="s">
        <v>3030</v>
      </c>
      <c r="F44" s="540">
        <f>SUMIF(127:127,E44,128:128)-SUMIF(127:127,C44,128:128)+100</f>
        <v>100</v>
      </c>
      <c r="G44" s="599" t="s">
        <v>3030</v>
      </c>
      <c r="H44" s="540">
        <f>SUMIF(127:127,G44,128:128)-SUMIF(127:127,C44,128:128)+100</f>
        <v>100</v>
      </c>
      <c r="I44" s="599" t="s">
        <v>3030</v>
      </c>
      <c r="J44" s="540">
        <f>SUMIF(127:127,I44,128:128)-SUMIF(127:127,C44,128:128)+100</f>
        <v>100</v>
      </c>
      <c r="K44" s="584">
        <v>1</v>
      </c>
      <c r="L44" s="2128"/>
      <c r="M44" s="2118"/>
      <c r="N44" s="2118"/>
      <c r="O44" s="2127"/>
      <c r="P44" s="3391" t="s">
        <v>549</v>
      </c>
      <c r="Q44" s="1559" t="str">
        <f t="shared" si="14"/>
        <v>工程地质条件</v>
      </c>
      <c r="R44" s="1560" t="s">
        <v>8</v>
      </c>
      <c r="S44" s="1561">
        <f t="shared" si="10"/>
        <v>100</v>
      </c>
      <c r="T44" s="1560" t="s">
        <v>8</v>
      </c>
      <c r="U44" s="1561">
        <f t="shared" si="11"/>
        <v>100</v>
      </c>
      <c r="V44" s="1560" t="s">
        <v>8</v>
      </c>
      <c r="W44" s="1561">
        <f t="shared" si="12"/>
        <v>100</v>
      </c>
      <c r="X44" s="1554"/>
      <c r="Y44" s="3391" t="s">
        <v>549</v>
      </c>
      <c r="Z44" s="1562" t="str">
        <f t="shared" si="13"/>
        <v>工程地质条件</v>
      </c>
      <c r="AA44" s="1563">
        <f t="shared" si="3"/>
        <v>1</v>
      </c>
      <c r="AB44" s="1563">
        <f t="shared" si="4"/>
        <v>1</v>
      </c>
      <c r="AC44" s="1563">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1"/>
      <c r="Q45" s="1559">
        <f t="shared" si="14"/>
        <v>0</v>
      </c>
      <c r="R45" s="1560" t="s">
        <v>8</v>
      </c>
      <c r="S45" s="1561">
        <f t="shared" si="10"/>
        <v>100</v>
      </c>
      <c r="T45" s="1560" t="s">
        <v>8</v>
      </c>
      <c r="U45" s="1561">
        <f t="shared" si="11"/>
        <v>100</v>
      </c>
      <c r="V45" s="1560" t="s">
        <v>8</v>
      </c>
      <c r="W45" s="1561">
        <f t="shared" si="12"/>
        <v>100</v>
      </c>
      <c r="X45" s="1554"/>
      <c r="Y45" s="3391"/>
      <c r="Z45" s="1562">
        <f t="shared" si="13"/>
        <v>0</v>
      </c>
      <c r="AA45" s="1563">
        <f t="shared" si="3"/>
        <v>1</v>
      </c>
      <c r="AB45" s="1563">
        <f t="shared" si="4"/>
        <v>1</v>
      </c>
      <c r="AC45" s="1563">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1"/>
      <c r="Q46" s="1559">
        <f t="shared" si="14"/>
        <v>0</v>
      </c>
      <c r="R46" s="1560" t="s">
        <v>8</v>
      </c>
      <c r="S46" s="1561">
        <f t="shared" si="10"/>
        <v>100</v>
      </c>
      <c r="T46" s="1560" t="s">
        <v>8</v>
      </c>
      <c r="U46" s="1561">
        <f t="shared" si="11"/>
        <v>100</v>
      </c>
      <c r="V46" s="1560" t="s">
        <v>8</v>
      </c>
      <c r="W46" s="1561">
        <f t="shared" si="12"/>
        <v>100</v>
      </c>
      <c r="X46" s="1554"/>
      <c r="Y46" s="3391"/>
      <c r="Z46" s="1562">
        <f t="shared" si="13"/>
        <v>0</v>
      </c>
      <c r="AA46" s="1563">
        <f t="shared" si="3"/>
        <v>1</v>
      </c>
      <c r="AB46" s="1563">
        <f t="shared" si="4"/>
        <v>1</v>
      </c>
      <c r="AC46" s="1563">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1"/>
      <c r="Q47" s="1559">
        <f t="shared" si="14"/>
        <v>0</v>
      </c>
      <c r="R47" s="1564" t="s">
        <v>8</v>
      </c>
      <c r="S47" s="1565">
        <f t="shared" si="10"/>
        <v>100</v>
      </c>
      <c r="T47" s="1564" t="s">
        <v>8</v>
      </c>
      <c r="U47" s="1565">
        <f t="shared" si="11"/>
        <v>100</v>
      </c>
      <c r="V47" s="1564" t="s">
        <v>8</v>
      </c>
      <c r="W47" s="1565">
        <f t="shared" si="12"/>
        <v>100</v>
      </c>
      <c r="X47" s="1566"/>
      <c r="Y47" s="3391"/>
      <c r="Z47" s="1567">
        <f t="shared" si="13"/>
        <v>0</v>
      </c>
      <c r="AA47" s="1563">
        <f t="shared" si="3"/>
        <v>1</v>
      </c>
      <c r="AB47" s="1563">
        <f t="shared" si="4"/>
        <v>1</v>
      </c>
      <c r="AC47" s="1563">
        <f t="shared" si="5"/>
        <v>1</v>
      </c>
    </row>
    <row r="48" spans="1:29" ht="20.25">
      <c r="A48" s="607" t="s">
        <v>555</v>
      </c>
      <c r="B48" s="608" t="s">
        <v>3119</v>
      </c>
      <c r="C48" s="609" t="s">
        <v>1</v>
      </c>
      <c r="D48" s="610"/>
      <c r="E48" s="611">
        <v>2702</v>
      </c>
      <c r="F48" s="612"/>
      <c r="G48" s="613">
        <v>2693</v>
      </c>
      <c r="H48" s="614"/>
      <c r="I48" s="611">
        <v>2540</v>
      </c>
      <c r="J48" s="614"/>
      <c r="K48" s="1336"/>
      <c r="L48" s="2130"/>
      <c r="M48" s="2118"/>
      <c r="N48" s="2118"/>
      <c r="O48" s="2131"/>
      <c r="P48" s="3386" t="str">
        <f>A48</f>
        <v>成交单价</v>
      </c>
      <c r="Q48" s="3386"/>
      <c r="R48" s="3400">
        <f>E48</f>
        <v>2702</v>
      </c>
      <c r="S48" s="3400"/>
      <c r="T48" s="3400">
        <f>G48</f>
        <v>2693</v>
      </c>
      <c r="U48" s="3400"/>
      <c r="V48" s="3400">
        <f>I48</f>
        <v>2540</v>
      </c>
      <c r="W48" s="3400"/>
      <c r="X48" s="1546"/>
      <c r="Y48" s="1568"/>
      <c r="Z48" s="1546"/>
      <c r="AA48" s="1546"/>
      <c r="AB48" s="1546"/>
      <c r="AC48" s="1546"/>
    </row>
    <row r="49" spans="1:29" ht="21" thickBot="1">
      <c r="A49" s="615" t="s">
        <v>2690</v>
      </c>
      <c r="B49" s="616"/>
      <c r="C49" s="617">
        <f>R50</f>
        <v>2717</v>
      </c>
      <c r="D49" s="618"/>
      <c r="E49" s="617">
        <f>R49</f>
        <v>2794</v>
      </c>
      <c r="F49" s="619"/>
      <c r="G49" s="620">
        <f>T49</f>
        <v>2785</v>
      </c>
      <c r="H49" s="618"/>
      <c r="I49" s="617">
        <f>V49</f>
        <v>2571</v>
      </c>
      <c r="J49" s="618"/>
      <c r="K49" s="1337"/>
      <c r="L49" s="2130"/>
      <c r="M49" s="2118"/>
      <c r="N49" s="2118"/>
      <c r="O49" s="2131"/>
      <c r="P49" s="3386" t="str">
        <f>A49</f>
        <v>比较价格（元/平方米）</v>
      </c>
      <c r="Q49" s="3386"/>
      <c r="R49" s="3411">
        <f>ROUND(PRODUCT(R48,AA9:AA47),0)</f>
        <v>2794</v>
      </c>
      <c r="S49" s="3411"/>
      <c r="T49" s="3411">
        <f>ROUND(PRODUCT(T48,AB9:AB47),0)</f>
        <v>2785</v>
      </c>
      <c r="U49" s="3411"/>
      <c r="V49" s="3411">
        <f>ROUND(PRODUCT(V48,AC9:AC47),0)</f>
        <v>2571</v>
      </c>
      <c r="W49" s="3411"/>
      <c r="X49" s="1546"/>
      <c r="Y49" s="1546"/>
      <c r="Z49" s="1546"/>
      <c r="AA49" s="1546"/>
      <c r="AB49" s="1546"/>
      <c r="AC49" s="1546"/>
    </row>
    <row r="50" spans="1:29" ht="21" thickBot="1">
      <c r="A50" s="621" t="s">
        <v>2931</v>
      </c>
      <c r="B50" s="622"/>
      <c r="C50" s="623">
        <f>R50</f>
        <v>2717</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2717</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3.4048852701702437E-2</v>
      </c>
      <c r="F53" s="627" t="str">
        <f>IF(OR(E53&gt;=0.3,E53&lt;=-0.3),"超过30%","")</f>
        <v/>
      </c>
      <c r="G53" s="626">
        <f>IF(G48&lt;G49,G49/G48-1,G48/G49-1)</f>
        <v>3.4162643891570754E-2</v>
      </c>
      <c r="H53" s="627" t="str">
        <f>IF(OR(G53&gt;=0.3,G53&lt;=-0.3),"超过30%","")</f>
        <v/>
      </c>
      <c r="I53" s="626">
        <f>IF(I48&lt;I49,I49/I48-1,I48/I49-1)</f>
        <v>1.2204724409448753E-2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3.2315978456014527E-3</v>
      </c>
      <c r="F54" s="627" t="str">
        <f>IF(OR(E54&gt;=0.2,E54&lt;=-0.2),"超过20%","")</f>
        <v/>
      </c>
      <c r="G54" s="626">
        <f>IF(G49&lt;I49,I49/G49-1,G49/I49-1)</f>
        <v>8.3236094904706404E-2</v>
      </c>
      <c r="H54" s="627" t="str">
        <f>IF(OR(G54&gt;=0.2,G54&lt;=-0.2),"超过20%","")</f>
        <v/>
      </c>
      <c r="I54" s="626">
        <f>IF(I49&lt;E49,E49/I49-1,I49/E49-1)</f>
        <v>8.6736678335278095E-2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3.3419977720015037E-3</v>
      </c>
      <c r="F55" s="627" t="str">
        <f>IF(OR(E55&gt;=0.3,E55&lt;=-0.3),"超过30%","")</f>
        <v/>
      </c>
      <c r="G55" s="626">
        <f>IF(G48&lt;I48,I48/G48-1,G48/I48-1)</f>
        <v>6.0236220472440927E-2</v>
      </c>
      <c r="H55" s="627" t="str">
        <f>IF(OR(G55&gt;=0.3,G55&lt;=-0.3),"超过30%","")</f>
        <v/>
      </c>
      <c r="I55" s="626">
        <f>IF(I48&lt;E48,E48/I48-1,I48/E48-1)</f>
        <v>6.3779527559055138E-2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2291</v>
      </c>
      <c r="E57" s="631" t="s">
        <v>561</v>
      </c>
      <c r="F57" s="632" t="s">
        <v>562</v>
      </c>
      <c r="G57" s="3370" t="s">
        <v>2279</v>
      </c>
      <c r="H57" s="3371"/>
      <c r="I57" s="1542" t="s">
        <v>1721</v>
      </c>
      <c r="J57" s="1542" t="str">
        <f>项目基本情况!F41</f>
        <v>河北省廊坊市</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563</v>
      </c>
      <c r="B58" s="634">
        <f>C50</f>
        <v>2717</v>
      </c>
      <c r="C58" s="635">
        <v>1</v>
      </c>
      <c r="D58" s="2214">
        <v>1</v>
      </c>
      <c r="E58" s="635">
        <f>'数据-汇总表'!E8+'数据-汇总表'!E9</f>
        <v>356979.4</v>
      </c>
      <c r="F58" s="636">
        <f t="shared" ref="F58:F67" si="15">ROUND(B58*E58/10000,0)</f>
        <v>96991</v>
      </c>
      <c r="G58" s="3372"/>
      <c r="H58" s="337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564</v>
      </c>
      <c r="B59" s="638">
        <f>ROUND($C$50*C59*D59,0)</f>
        <v>0</v>
      </c>
      <c r="C59" s="378">
        <f t="shared" ref="C59:C67" si="16">IF($C$57="北京市系数",I59,J59)</f>
        <v>0</v>
      </c>
      <c r="D59" s="2215">
        <v>0.25</v>
      </c>
      <c r="E59" s="639">
        <v>0</v>
      </c>
      <c r="F59" s="636">
        <f t="shared" si="15"/>
        <v>0</v>
      </c>
      <c r="G59" s="3374"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565</v>
      </c>
      <c r="B60" s="638">
        <f t="shared" ref="B60:B67" si="17">ROUND($C$50*C60*D60,0)</f>
        <v>0</v>
      </c>
      <c r="C60" s="378">
        <f t="shared" si="16"/>
        <v>0</v>
      </c>
      <c r="D60" s="2215">
        <v>0.25</v>
      </c>
      <c r="E60" s="639">
        <v>0</v>
      </c>
      <c r="F60" s="636">
        <f t="shared" si="15"/>
        <v>0</v>
      </c>
      <c r="G60" s="337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566</v>
      </c>
      <c r="B61" s="638">
        <f t="shared" si="17"/>
        <v>0</v>
      </c>
      <c r="C61" s="378">
        <f t="shared" si="16"/>
        <v>0</v>
      </c>
      <c r="D61" s="2215">
        <v>0.25</v>
      </c>
      <c r="E61" s="639">
        <v>0</v>
      </c>
      <c r="F61" s="636">
        <f t="shared" si="15"/>
        <v>0</v>
      </c>
      <c r="G61" s="337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567</v>
      </c>
      <c r="B62" s="638">
        <f t="shared" si="17"/>
        <v>0</v>
      </c>
      <c r="C62" s="378">
        <f t="shared" si="16"/>
        <v>0</v>
      </c>
      <c r="D62" s="2215">
        <v>0.25</v>
      </c>
      <c r="E62" s="639">
        <v>0</v>
      </c>
      <c r="F62" s="636">
        <f t="shared" si="15"/>
        <v>0</v>
      </c>
      <c r="G62" s="337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569</v>
      </c>
      <c r="B65" s="638">
        <f t="shared" si="17"/>
        <v>0</v>
      </c>
      <c r="C65" s="378">
        <f t="shared" si="16"/>
        <v>0</v>
      </c>
      <c r="D65" s="2215">
        <v>0.25</v>
      </c>
      <c r="E65" s="641">
        <f>'数据-汇总表'!E13</f>
        <v>135260.769</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570</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571</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572</v>
      </c>
      <c r="B68" s="643" t="s">
        <v>17</v>
      </c>
      <c r="C68" s="643" t="s">
        <v>18</v>
      </c>
      <c r="D68" s="643" t="s">
        <v>2292</v>
      </c>
      <c r="E68" s="643">
        <f>IF(B48="楼面地价",SUM(E58:E67),'数据-汇总表'!D3)</f>
        <v>492240.16899999999</v>
      </c>
      <c r="F68" s="644">
        <f>IF(B48="楼面地价",SUM(F58:F67),ROUND(C50*E68/10000,0))</f>
        <v>96991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922</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576</v>
      </c>
      <c r="B77" s="665" t="s">
        <v>533</v>
      </c>
      <c r="C77" s="3194" t="s">
        <v>3104</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537</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0</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0</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547</v>
      </c>
      <c r="C108" s="3195" t="s">
        <v>3105</v>
      </c>
      <c r="D108" s="3195" t="s">
        <v>3106</v>
      </c>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0</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0</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0</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550</v>
      </c>
      <c r="B118" s="665" t="s">
        <v>592</v>
      </c>
      <c r="C118" s="704" t="str">
        <f t="shared" ref="C118:L118" si="25">C119&amp;"(含)"&amp;"-"&amp;D119</f>
        <v>0(含)-10000</v>
      </c>
      <c r="D118" s="704" t="str">
        <f t="shared" si="25"/>
        <v>10000(含)-20000</v>
      </c>
      <c r="E118" s="704" t="str">
        <f t="shared" si="25"/>
        <v>20000(含)-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96" t="s">
        <v>3116</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95" t="s">
        <v>3117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t="s">
        <v>3118</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95" t="s">
        <v>3117</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0</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0</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0</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6"/>
  <sheetViews>
    <sheetView workbookViewId="0">
      <selection activeCell="F23" sqref="F23"/>
    </sheetView>
  </sheetViews>
  <sheetFormatPr defaultRowHeight="13.5"/>
  <cols>
    <col min="1" max="1" width="29.875" style="2895" customWidth="1"/>
    <col min="2" max="2" width="7.375" style="2895" customWidth="1"/>
    <col min="3" max="3" width="9.375" style="2895" customWidth="1"/>
    <col min="4" max="4" width="13.875" style="2895" customWidth="1"/>
    <col min="5" max="5" width="17.25" style="2895" customWidth="1"/>
    <col min="6" max="6" width="14.75" style="2895" customWidth="1"/>
    <col min="7" max="7" width="7.875" style="2895" customWidth="1"/>
    <col min="8" max="8" width="15" style="2895" customWidth="1"/>
    <col min="9" max="10" width="10.625" style="2895" customWidth="1"/>
    <col min="11" max="11" width="14.375" style="2895" customWidth="1"/>
    <col min="12" max="12" width="6.25" style="2895" customWidth="1"/>
    <col min="13" max="13" width="34.375" style="2895" customWidth="1"/>
    <col min="14" max="14" width="7.875" style="2895" customWidth="1"/>
    <col min="15" max="256" width="9" style="2895"/>
    <col min="257" max="257" width="23.5" style="2895" customWidth="1"/>
    <col min="258" max="258" width="6.25" style="2895" customWidth="1"/>
    <col min="259" max="259" width="7.875" style="2895" customWidth="1"/>
    <col min="260" max="261" width="13.875" style="2895" customWidth="1"/>
    <col min="262" max="262" width="8.375"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4.375" style="2895" customWidth="1"/>
    <col min="270" max="270" width="7.875" style="2895" customWidth="1"/>
    <col min="271" max="512" width="9" style="2895"/>
    <col min="513" max="513" width="23.5" style="2895" customWidth="1"/>
    <col min="514" max="514" width="6.25" style="2895" customWidth="1"/>
    <col min="515" max="515" width="7.875" style="2895" customWidth="1"/>
    <col min="516" max="517" width="13.875" style="2895" customWidth="1"/>
    <col min="518" max="518" width="8.375"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4.375" style="2895" customWidth="1"/>
    <col min="526" max="526" width="7.875" style="2895" customWidth="1"/>
    <col min="527" max="768" width="9" style="2895"/>
    <col min="769" max="769" width="23.5" style="2895" customWidth="1"/>
    <col min="770" max="770" width="6.25" style="2895" customWidth="1"/>
    <col min="771" max="771" width="7.875" style="2895" customWidth="1"/>
    <col min="772" max="773" width="13.875" style="2895" customWidth="1"/>
    <col min="774" max="774" width="8.375"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4.375" style="2895" customWidth="1"/>
    <col min="782" max="782" width="7.875" style="2895" customWidth="1"/>
    <col min="783" max="1024" width="9" style="2895"/>
    <col min="1025" max="1025" width="23.5" style="2895" customWidth="1"/>
    <col min="1026" max="1026" width="6.25" style="2895" customWidth="1"/>
    <col min="1027" max="1027" width="7.875" style="2895" customWidth="1"/>
    <col min="1028" max="1029" width="13.875" style="2895" customWidth="1"/>
    <col min="1030" max="1030" width="8.375"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4.375" style="2895" customWidth="1"/>
    <col min="1038" max="1038" width="7.875" style="2895" customWidth="1"/>
    <col min="1039" max="1280" width="9" style="2895"/>
    <col min="1281" max="1281" width="23.5" style="2895" customWidth="1"/>
    <col min="1282" max="1282" width="6.25" style="2895" customWidth="1"/>
    <col min="1283" max="1283" width="7.875" style="2895" customWidth="1"/>
    <col min="1284" max="1285" width="13.875" style="2895" customWidth="1"/>
    <col min="1286" max="1286" width="8.375"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4.375" style="2895" customWidth="1"/>
    <col min="1294" max="1294" width="7.875" style="2895" customWidth="1"/>
    <col min="1295" max="1536" width="9" style="2895"/>
    <col min="1537" max="1537" width="23.5" style="2895" customWidth="1"/>
    <col min="1538" max="1538" width="6.25" style="2895" customWidth="1"/>
    <col min="1539" max="1539" width="7.875" style="2895" customWidth="1"/>
    <col min="1540" max="1541" width="13.875" style="2895" customWidth="1"/>
    <col min="1542" max="1542" width="8.375"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4.375" style="2895" customWidth="1"/>
    <col min="1550" max="1550" width="7.875" style="2895" customWidth="1"/>
    <col min="1551" max="1792" width="9" style="2895"/>
    <col min="1793" max="1793" width="23.5" style="2895" customWidth="1"/>
    <col min="1794" max="1794" width="6.25" style="2895" customWidth="1"/>
    <col min="1795" max="1795" width="7.875" style="2895" customWidth="1"/>
    <col min="1796" max="1797" width="13.875" style="2895" customWidth="1"/>
    <col min="1798" max="1798" width="8.375"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4.375" style="2895" customWidth="1"/>
    <col min="1806" max="1806" width="7.875" style="2895" customWidth="1"/>
    <col min="1807" max="2048" width="9" style="2895"/>
    <col min="2049" max="2049" width="23.5" style="2895" customWidth="1"/>
    <col min="2050" max="2050" width="6.25" style="2895" customWidth="1"/>
    <col min="2051" max="2051" width="7.875" style="2895" customWidth="1"/>
    <col min="2052" max="2053" width="13.875" style="2895" customWidth="1"/>
    <col min="2054" max="2054" width="8.375"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4.375" style="2895" customWidth="1"/>
    <col min="2062" max="2062" width="7.875" style="2895" customWidth="1"/>
    <col min="2063" max="2304" width="9" style="2895"/>
    <col min="2305" max="2305" width="23.5" style="2895" customWidth="1"/>
    <col min="2306" max="2306" width="6.25" style="2895" customWidth="1"/>
    <col min="2307" max="2307" width="7.875" style="2895" customWidth="1"/>
    <col min="2308" max="2309" width="13.875" style="2895" customWidth="1"/>
    <col min="2310" max="2310" width="8.375"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4.375" style="2895" customWidth="1"/>
    <col min="2318" max="2318" width="7.875" style="2895" customWidth="1"/>
    <col min="2319" max="2560" width="9" style="2895"/>
    <col min="2561" max="2561" width="23.5" style="2895" customWidth="1"/>
    <col min="2562" max="2562" width="6.25" style="2895" customWidth="1"/>
    <col min="2563" max="2563" width="7.875" style="2895" customWidth="1"/>
    <col min="2564" max="2565" width="13.875" style="2895" customWidth="1"/>
    <col min="2566" max="2566" width="8.375"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4.375" style="2895" customWidth="1"/>
    <col min="2574" max="2574" width="7.875" style="2895" customWidth="1"/>
    <col min="2575" max="2816" width="9" style="2895"/>
    <col min="2817" max="2817" width="23.5" style="2895" customWidth="1"/>
    <col min="2818" max="2818" width="6.25" style="2895" customWidth="1"/>
    <col min="2819" max="2819" width="7.875" style="2895" customWidth="1"/>
    <col min="2820" max="2821" width="13.875" style="2895" customWidth="1"/>
    <col min="2822" max="2822" width="8.375"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4.375" style="2895" customWidth="1"/>
    <col min="2830" max="2830" width="7.875" style="2895" customWidth="1"/>
    <col min="2831" max="3072" width="9" style="2895"/>
    <col min="3073" max="3073" width="23.5" style="2895" customWidth="1"/>
    <col min="3074" max="3074" width="6.25" style="2895" customWidth="1"/>
    <col min="3075" max="3075" width="7.875" style="2895" customWidth="1"/>
    <col min="3076" max="3077" width="13.875" style="2895" customWidth="1"/>
    <col min="3078" max="3078" width="8.375"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4.375" style="2895" customWidth="1"/>
    <col min="3086" max="3086" width="7.875" style="2895" customWidth="1"/>
    <col min="3087" max="3328" width="9" style="2895"/>
    <col min="3329" max="3329" width="23.5" style="2895" customWidth="1"/>
    <col min="3330" max="3330" width="6.25" style="2895" customWidth="1"/>
    <col min="3331" max="3331" width="7.875" style="2895" customWidth="1"/>
    <col min="3332" max="3333" width="13.875" style="2895" customWidth="1"/>
    <col min="3334" max="3334" width="8.375"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4.375" style="2895" customWidth="1"/>
    <col min="3342" max="3342" width="7.875" style="2895" customWidth="1"/>
    <col min="3343" max="3584" width="9" style="2895"/>
    <col min="3585" max="3585" width="23.5" style="2895" customWidth="1"/>
    <col min="3586" max="3586" width="6.25" style="2895" customWidth="1"/>
    <col min="3587" max="3587" width="7.875" style="2895" customWidth="1"/>
    <col min="3588" max="3589" width="13.875" style="2895" customWidth="1"/>
    <col min="3590" max="3590" width="8.375"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4.375" style="2895" customWidth="1"/>
    <col min="3598" max="3598" width="7.875" style="2895" customWidth="1"/>
    <col min="3599" max="3840" width="9" style="2895"/>
    <col min="3841" max="3841" width="23.5" style="2895" customWidth="1"/>
    <col min="3842" max="3842" width="6.25" style="2895" customWidth="1"/>
    <col min="3843" max="3843" width="7.875" style="2895" customWidth="1"/>
    <col min="3844" max="3845" width="13.875" style="2895" customWidth="1"/>
    <col min="3846" max="3846" width="8.375"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4.375" style="2895" customWidth="1"/>
    <col min="3854" max="3854" width="7.875" style="2895" customWidth="1"/>
    <col min="3855" max="4096" width="9" style="2895"/>
    <col min="4097" max="4097" width="23.5" style="2895" customWidth="1"/>
    <col min="4098" max="4098" width="6.25" style="2895" customWidth="1"/>
    <col min="4099" max="4099" width="7.875" style="2895" customWidth="1"/>
    <col min="4100" max="4101" width="13.875" style="2895" customWidth="1"/>
    <col min="4102" max="4102" width="8.375"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4.375" style="2895" customWidth="1"/>
    <col min="4110" max="4110" width="7.875" style="2895" customWidth="1"/>
    <col min="4111" max="4352" width="9" style="2895"/>
    <col min="4353" max="4353" width="23.5" style="2895" customWidth="1"/>
    <col min="4354" max="4354" width="6.25" style="2895" customWidth="1"/>
    <col min="4355" max="4355" width="7.875" style="2895" customWidth="1"/>
    <col min="4356" max="4357" width="13.875" style="2895" customWidth="1"/>
    <col min="4358" max="4358" width="8.375"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4.375" style="2895" customWidth="1"/>
    <col min="4366" max="4366" width="7.875" style="2895" customWidth="1"/>
    <col min="4367" max="4608" width="9" style="2895"/>
    <col min="4609" max="4609" width="23.5" style="2895" customWidth="1"/>
    <col min="4610" max="4610" width="6.25" style="2895" customWidth="1"/>
    <col min="4611" max="4611" width="7.875" style="2895" customWidth="1"/>
    <col min="4612" max="4613" width="13.875" style="2895" customWidth="1"/>
    <col min="4614" max="4614" width="8.375"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4.375" style="2895" customWidth="1"/>
    <col min="4622" max="4622" width="7.875" style="2895" customWidth="1"/>
    <col min="4623" max="4864" width="9" style="2895"/>
    <col min="4865" max="4865" width="23.5" style="2895" customWidth="1"/>
    <col min="4866" max="4866" width="6.25" style="2895" customWidth="1"/>
    <col min="4867" max="4867" width="7.875" style="2895" customWidth="1"/>
    <col min="4868" max="4869" width="13.875" style="2895" customWidth="1"/>
    <col min="4870" max="4870" width="8.375"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4.375" style="2895" customWidth="1"/>
    <col min="4878" max="4878" width="7.875" style="2895" customWidth="1"/>
    <col min="4879" max="5120" width="9" style="2895"/>
    <col min="5121" max="5121" width="23.5" style="2895" customWidth="1"/>
    <col min="5122" max="5122" width="6.25" style="2895" customWidth="1"/>
    <col min="5123" max="5123" width="7.875" style="2895" customWidth="1"/>
    <col min="5124" max="5125" width="13.875" style="2895" customWidth="1"/>
    <col min="5126" max="5126" width="8.375"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4.375" style="2895" customWidth="1"/>
    <col min="5134" max="5134" width="7.875" style="2895" customWidth="1"/>
    <col min="5135" max="5376" width="9" style="2895"/>
    <col min="5377" max="5377" width="23.5" style="2895" customWidth="1"/>
    <col min="5378" max="5378" width="6.25" style="2895" customWidth="1"/>
    <col min="5379" max="5379" width="7.875" style="2895" customWidth="1"/>
    <col min="5380" max="5381" width="13.875" style="2895" customWidth="1"/>
    <col min="5382" max="5382" width="8.375"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4.375" style="2895" customWidth="1"/>
    <col min="5390" max="5390" width="7.875" style="2895" customWidth="1"/>
    <col min="5391" max="5632" width="9" style="2895"/>
    <col min="5633" max="5633" width="23.5" style="2895" customWidth="1"/>
    <col min="5634" max="5634" width="6.25" style="2895" customWidth="1"/>
    <col min="5635" max="5635" width="7.875" style="2895" customWidth="1"/>
    <col min="5636" max="5637" width="13.875" style="2895" customWidth="1"/>
    <col min="5638" max="5638" width="8.375"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4.375" style="2895" customWidth="1"/>
    <col min="5646" max="5646" width="7.875" style="2895" customWidth="1"/>
    <col min="5647" max="5888" width="9" style="2895"/>
    <col min="5889" max="5889" width="23.5" style="2895" customWidth="1"/>
    <col min="5890" max="5890" width="6.25" style="2895" customWidth="1"/>
    <col min="5891" max="5891" width="7.875" style="2895" customWidth="1"/>
    <col min="5892" max="5893" width="13.875" style="2895" customWidth="1"/>
    <col min="5894" max="5894" width="8.375"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4.375" style="2895" customWidth="1"/>
    <col min="5902" max="5902" width="7.875" style="2895" customWidth="1"/>
    <col min="5903" max="6144" width="9" style="2895"/>
    <col min="6145" max="6145" width="23.5" style="2895" customWidth="1"/>
    <col min="6146" max="6146" width="6.25" style="2895" customWidth="1"/>
    <col min="6147" max="6147" width="7.875" style="2895" customWidth="1"/>
    <col min="6148" max="6149" width="13.875" style="2895" customWidth="1"/>
    <col min="6150" max="6150" width="8.375"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4.375" style="2895" customWidth="1"/>
    <col min="6158" max="6158" width="7.875" style="2895" customWidth="1"/>
    <col min="6159" max="6400" width="9" style="2895"/>
    <col min="6401" max="6401" width="23.5" style="2895" customWidth="1"/>
    <col min="6402" max="6402" width="6.25" style="2895" customWidth="1"/>
    <col min="6403" max="6403" width="7.875" style="2895" customWidth="1"/>
    <col min="6404" max="6405" width="13.875" style="2895" customWidth="1"/>
    <col min="6406" max="6406" width="8.375"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4.375" style="2895" customWidth="1"/>
    <col min="6414" max="6414" width="7.875" style="2895" customWidth="1"/>
    <col min="6415" max="6656" width="9" style="2895"/>
    <col min="6657" max="6657" width="23.5" style="2895" customWidth="1"/>
    <col min="6658" max="6658" width="6.25" style="2895" customWidth="1"/>
    <col min="6659" max="6659" width="7.875" style="2895" customWidth="1"/>
    <col min="6660" max="6661" width="13.875" style="2895" customWidth="1"/>
    <col min="6662" max="6662" width="8.375"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4.375" style="2895" customWidth="1"/>
    <col min="6670" max="6670" width="7.875" style="2895" customWidth="1"/>
    <col min="6671" max="6912" width="9" style="2895"/>
    <col min="6913" max="6913" width="23.5" style="2895" customWidth="1"/>
    <col min="6914" max="6914" width="6.25" style="2895" customWidth="1"/>
    <col min="6915" max="6915" width="7.875" style="2895" customWidth="1"/>
    <col min="6916" max="6917" width="13.875" style="2895" customWidth="1"/>
    <col min="6918" max="6918" width="8.375"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4.375" style="2895" customWidth="1"/>
    <col min="6926" max="6926" width="7.875" style="2895" customWidth="1"/>
    <col min="6927" max="7168" width="9" style="2895"/>
    <col min="7169" max="7169" width="23.5" style="2895" customWidth="1"/>
    <col min="7170" max="7170" width="6.25" style="2895" customWidth="1"/>
    <col min="7171" max="7171" width="7.875" style="2895" customWidth="1"/>
    <col min="7172" max="7173" width="13.875" style="2895" customWidth="1"/>
    <col min="7174" max="7174" width="8.375"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4.375" style="2895" customWidth="1"/>
    <col min="7182" max="7182" width="7.875" style="2895" customWidth="1"/>
    <col min="7183" max="7424" width="9" style="2895"/>
    <col min="7425" max="7425" width="23.5" style="2895" customWidth="1"/>
    <col min="7426" max="7426" width="6.25" style="2895" customWidth="1"/>
    <col min="7427" max="7427" width="7.875" style="2895" customWidth="1"/>
    <col min="7428" max="7429" width="13.875" style="2895" customWidth="1"/>
    <col min="7430" max="7430" width="8.375"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4.375" style="2895" customWidth="1"/>
    <col min="7438" max="7438" width="7.875" style="2895" customWidth="1"/>
    <col min="7439" max="7680" width="9" style="2895"/>
    <col min="7681" max="7681" width="23.5" style="2895" customWidth="1"/>
    <col min="7682" max="7682" width="6.25" style="2895" customWidth="1"/>
    <col min="7683" max="7683" width="7.875" style="2895" customWidth="1"/>
    <col min="7684" max="7685" width="13.875" style="2895" customWidth="1"/>
    <col min="7686" max="7686" width="8.375"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4.375" style="2895" customWidth="1"/>
    <col min="7694" max="7694" width="7.875" style="2895" customWidth="1"/>
    <col min="7695" max="7936" width="9" style="2895"/>
    <col min="7937" max="7937" width="23.5" style="2895" customWidth="1"/>
    <col min="7938" max="7938" width="6.25" style="2895" customWidth="1"/>
    <col min="7939" max="7939" width="7.875" style="2895" customWidth="1"/>
    <col min="7940" max="7941" width="13.875" style="2895" customWidth="1"/>
    <col min="7942" max="7942" width="8.375"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4.375" style="2895" customWidth="1"/>
    <col min="7950" max="7950" width="7.875" style="2895" customWidth="1"/>
    <col min="7951" max="8192" width="9" style="2895"/>
    <col min="8193" max="8193" width="23.5" style="2895" customWidth="1"/>
    <col min="8194" max="8194" width="6.25" style="2895" customWidth="1"/>
    <col min="8195" max="8195" width="7.875" style="2895" customWidth="1"/>
    <col min="8196" max="8197" width="13.875" style="2895" customWidth="1"/>
    <col min="8198" max="8198" width="8.375"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4.375" style="2895" customWidth="1"/>
    <col min="8206" max="8206" width="7.875" style="2895" customWidth="1"/>
    <col min="8207" max="8448" width="9" style="2895"/>
    <col min="8449" max="8449" width="23.5" style="2895" customWidth="1"/>
    <col min="8450" max="8450" width="6.25" style="2895" customWidth="1"/>
    <col min="8451" max="8451" width="7.875" style="2895" customWidth="1"/>
    <col min="8452" max="8453" width="13.875" style="2895" customWidth="1"/>
    <col min="8454" max="8454" width="8.375"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4.375" style="2895" customWidth="1"/>
    <col min="8462" max="8462" width="7.875" style="2895" customWidth="1"/>
    <col min="8463" max="8704" width="9" style="2895"/>
    <col min="8705" max="8705" width="23.5" style="2895" customWidth="1"/>
    <col min="8706" max="8706" width="6.25" style="2895" customWidth="1"/>
    <col min="8707" max="8707" width="7.875" style="2895" customWidth="1"/>
    <col min="8708" max="8709" width="13.875" style="2895" customWidth="1"/>
    <col min="8710" max="8710" width="8.375"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4.375" style="2895" customWidth="1"/>
    <col min="8718" max="8718" width="7.875" style="2895" customWidth="1"/>
    <col min="8719" max="8960" width="9" style="2895"/>
    <col min="8961" max="8961" width="23.5" style="2895" customWidth="1"/>
    <col min="8962" max="8962" width="6.25" style="2895" customWidth="1"/>
    <col min="8963" max="8963" width="7.875" style="2895" customWidth="1"/>
    <col min="8964" max="8965" width="13.875" style="2895" customWidth="1"/>
    <col min="8966" max="8966" width="8.375"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4.375" style="2895" customWidth="1"/>
    <col min="8974" max="8974" width="7.875" style="2895" customWidth="1"/>
    <col min="8975" max="9216" width="9" style="2895"/>
    <col min="9217" max="9217" width="23.5" style="2895" customWidth="1"/>
    <col min="9218" max="9218" width="6.25" style="2895" customWidth="1"/>
    <col min="9219" max="9219" width="7.875" style="2895" customWidth="1"/>
    <col min="9220" max="9221" width="13.875" style="2895" customWidth="1"/>
    <col min="9222" max="9222" width="8.375"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4.375" style="2895" customWidth="1"/>
    <col min="9230" max="9230" width="7.875" style="2895" customWidth="1"/>
    <col min="9231" max="9472" width="9" style="2895"/>
    <col min="9473" max="9473" width="23.5" style="2895" customWidth="1"/>
    <col min="9474" max="9474" width="6.25" style="2895" customWidth="1"/>
    <col min="9475" max="9475" width="7.875" style="2895" customWidth="1"/>
    <col min="9476" max="9477" width="13.875" style="2895" customWidth="1"/>
    <col min="9478" max="9478" width="8.375"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4.375" style="2895" customWidth="1"/>
    <col min="9486" max="9486" width="7.875" style="2895" customWidth="1"/>
    <col min="9487" max="9728" width="9" style="2895"/>
    <col min="9729" max="9729" width="23.5" style="2895" customWidth="1"/>
    <col min="9730" max="9730" width="6.25" style="2895" customWidth="1"/>
    <col min="9731" max="9731" width="7.875" style="2895" customWidth="1"/>
    <col min="9732" max="9733" width="13.875" style="2895" customWidth="1"/>
    <col min="9734" max="9734" width="8.375"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4.375" style="2895" customWidth="1"/>
    <col min="9742" max="9742" width="7.875" style="2895" customWidth="1"/>
    <col min="9743" max="9984" width="9" style="2895"/>
    <col min="9985" max="9985" width="23.5" style="2895" customWidth="1"/>
    <col min="9986" max="9986" width="6.25" style="2895" customWidth="1"/>
    <col min="9987" max="9987" width="7.875" style="2895" customWidth="1"/>
    <col min="9988" max="9989" width="13.875" style="2895" customWidth="1"/>
    <col min="9990" max="9990" width="8.375"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4.375" style="2895" customWidth="1"/>
    <col min="9998" max="9998" width="7.875" style="2895" customWidth="1"/>
    <col min="9999" max="10240" width="9" style="2895"/>
    <col min="10241" max="10241" width="23.5" style="2895" customWidth="1"/>
    <col min="10242" max="10242" width="6.25" style="2895" customWidth="1"/>
    <col min="10243" max="10243" width="7.875" style="2895" customWidth="1"/>
    <col min="10244" max="10245" width="13.875" style="2895" customWidth="1"/>
    <col min="10246" max="10246" width="8.375"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4.375" style="2895" customWidth="1"/>
    <col min="10254" max="10254" width="7.875" style="2895" customWidth="1"/>
    <col min="10255" max="10496" width="9" style="2895"/>
    <col min="10497" max="10497" width="23.5" style="2895" customWidth="1"/>
    <col min="10498" max="10498" width="6.25" style="2895" customWidth="1"/>
    <col min="10499" max="10499" width="7.875" style="2895" customWidth="1"/>
    <col min="10500" max="10501" width="13.875" style="2895" customWidth="1"/>
    <col min="10502" max="10502" width="8.375"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4.375" style="2895" customWidth="1"/>
    <col min="10510" max="10510" width="7.875" style="2895" customWidth="1"/>
    <col min="10511" max="10752" width="9" style="2895"/>
    <col min="10753" max="10753" width="23.5" style="2895" customWidth="1"/>
    <col min="10754" max="10754" width="6.25" style="2895" customWidth="1"/>
    <col min="10755" max="10755" width="7.875" style="2895" customWidth="1"/>
    <col min="10756" max="10757" width="13.875" style="2895" customWidth="1"/>
    <col min="10758" max="10758" width="8.375"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4.375" style="2895" customWidth="1"/>
    <col min="10766" max="10766" width="7.875" style="2895" customWidth="1"/>
    <col min="10767" max="11008" width="9" style="2895"/>
    <col min="11009" max="11009" width="23.5" style="2895" customWidth="1"/>
    <col min="11010" max="11010" width="6.25" style="2895" customWidth="1"/>
    <col min="11011" max="11011" width="7.875" style="2895" customWidth="1"/>
    <col min="11012" max="11013" width="13.875" style="2895" customWidth="1"/>
    <col min="11014" max="11014" width="8.375"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4.375" style="2895" customWidth="1"/>
    <col min="11022" max="11022" width="7.875" style="2895" customWidth="1"/>
    <col min="11023" max="11264" width="9" style="2895"/>
    <col min="11265" max="11265" width="23.5" style="2895" customWidth="1"/>
    <col min="11266" max="11266" width="6.25" style="2895" customWidth="1"/>
    <col min="11267" max="11267" width="7.875" style="2895" customWidth="1"/>
    <col min="11268" max="11269" width="13.875" style="2895" customWidth="1"/>
    <col min="11270" max="11270" width="8.375"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4.375" style="2895" customWidth="1"/>
    <col min="11278" max="11278" width="7.875" style="2895" customWidth="1"/>
    <col min="11279" max="11520" width="9" style="2895"/>
    <col min="11521" max="11521" width="23.5" style="2895" customWidth="1"/>
    <col min="11522" max="11522" width="6.25" style="2895" customWidth="1"/>
    <col min="11523" max="11523" width="7.875" style="2895" customWidth="1"/>
    <col min="11524" max="11525" width="13.875" style="2895" customWidth="1"/>
    <col min="11526" max="11526" width="8.375"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4.375" style="2895" customWidth="1"/>
    <col min="11534" max="11534" width="7.875" style="2895" customWidth="1"/>
    <col min="11535" max="11776" width="9" style="2895"/>
    <col min="11777" max="11777" width="23.5" style="2895" customWidth="1"/>
    <col min="11778" max="11778" width="6.25" style="2895" customWidth="1"/>
    <col min="11779" max="11779" width="7.875" style="2895" customWidth="1"/>
    <col min="11780" max="11781" width="13.875" style="2895" customWidth="1"/>
    <col min="11782" max="11782" width="8.375"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4.375" style="2895" customWidth="1"/>
    <col min="11790" max="11790" width="7.875" style="2895" customWidth="1"/>
    <col min="11791" max="12032" width="9" style="2895"/>
    <col min="12033" max="12033" width="23.5" style="2895" customWidth="1"/>
    <col min="12034" max="12034" width="6.25" style="2895" customWidth="1"/>
    <col min="12035" max="12035" width="7.875" style="2895" customWidth="1"/>
    <col min="12036" max="12037" width="13.875" style="2895" customWidth="1"/>
    <col min="12038" max="12038" width="8.375"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4.375" style="2895" customWidth="1"/>
    <col min="12046" max="12046" width="7.875" style="2895" customWidth="1"/>
    <col min="12047" max="12288" width="9" style="2895"/>
    <col min="12289" max="12289" width="23.5" style="2895" customWidth="1"/>
    <col min="12290" max="12290" width="6.25" style="2895" customWidth="1"/>
    <col min="12291" max="12291" width="7.875" style="2895" customWidth="1"/>
    <col min="12292" max="12293" width="13.875" style="2895" customWidth="1"/>
    <col min="12294" max="12294" width="8.375"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4.375" style="2895" customWidth="1"/>
    <col min="12302" max="12302" width="7.875" style="2895" customWidth="1"/>
    <col min="12303" max="12544" width="9" style="2895"/>
    <col min="12545" max="12545" width="23.5" style="2895" customWidth="1"/>
    <col min="12546" max="12546" width="6.25" style="2895" customWidth="1"/>
    <col min="12547" max="12547" width="7.875" style="2895" customWidth="1"/>
    <col min="12548" max="12549" width="13.875" style="2895" customWidth="1"/>
    <col min="12550" max="12550" width="8.375"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4.375" style="2895" customWidth="1"/>
    <col min="12558" max="12558" width="7.875" style="2895" customWidth="1"/>
    <col min="12559" max="12800" width="9" style="2895"/>
    <col min="12801" max="12801" width="23.5" style="2895" customWidth="1"/>
    <col min="12802" max="12802" width="6.25" style="2895" customWidth="1"/>
    <col min="12803" max="12803" width="7.875" style="2895" customWidth="1"/>
    <col min="12804" max="12805" width="13.875" style="2895" customWidth="1"/>
    <col min="12806" max="12806" width="8.375"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4.375" style="2895" customWidth="1"/>
    <col min="12814" max="12814" width="7.875" style="2895" customWidth="1"/>
    <col min="12815" max="13056" width="9" style="2895"/>
    <col min="13057" max="13057" width="23.5" style="2895" customWidth="1"/>
    <col min="13058" max="13058" width="6.25" style="2895" customWidth="1"/>
    <col min="13059" max="13059" width="7.875" style="2895" customWidth="1"/>
    <col min="13060" max="13061" width="13.875" style="2895" customWidth="1"/>
    <col min="13062" max="13062" width="8.375"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4.375" style="2895" customWidth="1"/>
    <col min="13070" max="13070" width="7.875" style="2895" customWidth="1"/>
    <col min="13071" max="13312" width="9" style="2895"/>
    <col min="13313" max="13313" width="23.5" style="2895" customWidth="1"/>
    <col min="13314" max="13314" width="6.25" style="2895" customWidth="1"/>
    <col min="13315" max="13315" width="7.875" style="2895" customWidth="1"/>
    <col min="13316" max="13317" width="13.875" style="2895" customWidth="1"/>
    <col min="13318" max="13318" width="8.375"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4.375" style="2895" customWidth="1"/>
    <col min="13326" max="13326" width="7.875" style="2895" customWidth="1"/>
    <col min="13327" max="13568" width="9" style="2895"/>
    <col min="13569" max="13569" width="23.5" style="2895" customWidth="1"/>
    <col min="13570" max="13570" width="6.25" style="2895" customWidth="1"/>
    <col min="13571" max="13571" width="7.875" style="2895" customWidth="1"/>
    <col min="13572" max="13573" width="13.875" style="2895" customWidth="1"/>
    <col min="13574" max="13574" width="8.375"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4.375" style="2895" customWidth="1"/>
    <col min="13582" max="13582" width="7.875" style="2895" customWidth="1"/>
    <col min="13583" max="13824" width="9" style="2895"/>
    <col min="13825" max="13825" width="23.5" style="2895" customWidth="1"/>
    <col min="13826" max="13826" width="6.25" style="2895" customWidth="1"/>
    <col min="13827" max="13827" width="7.875" style="2895" customWidth="1"/>
    <col min="13828" max="13829" width="13.875" style="2895" customWidth="1"/>
    <col min="13830" max="13830" width="8.375"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4.375" style="2895" customWidth="1"/>
    <col min="13838" max="13838" width="7.875" style="2895" customWidth="1"/>
    <col min="13839" max="14080" width="9" style="2895"/>
    <col min="14081" max="14081" width="23.5" style="2895" customWidth="1"/>
    <col min="14082" max="14082" width="6.25" style="2895" customWidth="1"/>
    <col min="14083" max="14083" width="7.875" style="2895" customWidth="1"/>
    <col min="14084" max="14085" width="13.875" style="2895" customWidth="1"/>
    <col min="14086" max="14086" width="8.375"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4.375" style="2895" customWidth="1"/>
    <col min="14094" max="14094" width="7.875" style="2895" customWidth="1"/>
    <col min="14095" max="14336" width="9" style="2895"/>
    <col min="14337" max="14337" width="23.5" style="2895" customWidth="1"/>
    <col min="14338" max="14338" width="6.25" style="2895" customWidth="1"/>
    <col min="14339" max="14339" width="7.875" style="2895" customWidth="1"/>
    <col min="14340" max="14341" width="13.875" style="2895" customWidth="1"/>
    <col min="14342" max="14342" width="8.375"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4.375" style="2895" customWidth="1"/>
    <col min="14350" max="14350" width="7.875" style="2895" customWidth="1"/>
    <col min="14351" max="14592" width="9" style="2895"/>
    <col min="14593" max="14593" width="23.5" style="2895" customWidth="1"/>
    <col min="14594" max="14594" width="6.25" style="2895" customWidth="1"/>
    <col min="14595" max="14595" width="7.875" style="2895" customWidth="1"/>
    <col min="14596" max="14597" width="13.875" style="2895" customWidth="1"/>
    <col min="14598" max="14598" width="8.375"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4.375" style="2895" customWidth="1"/>
    <col min="14606" max="14606" width="7.875" style="2895" customWidth="1"/>
    <col min="14607" max="14848" width="9" style="2895"/>
    <col min="14849" max="14849" width="23.5" style="2895" customWidth="1"/>
    <col min="14850" max="14850" width="6.25" style="2895" customWidth="1"/>
    <col min="14851" max="14851" width="7.875" style="2895" customWidth="1"/>
    <col min="14852" max="14853" width="13.875" style="2895" customWidth="1"/>
    <col min="14854" max="14854" width="8.375"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4.375" style="2895" customWidth="1"/>
    <col min="14862" max="14862" width="7.875" style="2895" customWidth="1"/>
    <col min="14863" max="15104" width="9" style="2895"/>
    <col min="15105" max="15105" width="23.5" style="2895" customWidth="1"/>
    <col min="15106" max="15106" width="6.25" style="2895" customWidth="1"/>
    <col min="15107" max="15107" width="7.875" style="2895" customWidth="1"/>
    <col min="15108" max="15109" width="13.875" style="2895" customWidth="1"/>
    <col min="15110" max="15110" width="8.375"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4.375" style="2895" customWidth="1"/>
    <col min="15118" max="15118" width="7.875" style="2895" customWidth="1"/>
    <col min="15119" max="15360" width="9" style="2895"/>
    <col min="15361" max="15361" width="23.5" style="2895" customWidth="1"/>
    <col min="15362" max="15362" width="6.25" style="2895" customWidth="1"/>
    <col min="15363" max="15363" width="7.875" style="2895" customWidth="1"/>
    <col min="15364" max="15365" width="13.875" style="2895" customWidth="1"/>
    <col min="15366" max="15366" width="8.375"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4.375" style="2895" customWidth="1"/>
    <col min="15374" max="15374" width="7.875" style="2895" customWidth="1"/>
    <col min="15375" max="15616" width="9" style="2895"/>
    <col min="15617" max="15617" width="23.5" style="2895" customWidth="1"/>
    <col min="15618" max="15618" width="6.25" style="2895" customWidth="1"/>
    <col min="15619" max="15619" width="7.875" style="2895" customWidth="1"/>
    <col min="15620" max="15621" width="13.875" style="2895" customWidth="1"/>
    <col min="15622" max="15622" width="8.375"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4.375" style="2895" customWidth="1"/>
    <col min="15630" max="15630" width="7.875" style="2895" customWidth="1"/>
    <col min="15631" max="15872" width="9" style="2895"/>
    <col min="15873" max="15873" width="23.5" style="2895" customWidth="1"/>
    <col min="15874" max="15874" width="6.25" style="2895" customWidth="1"/>
    <col min="15875" max="15875" width="7.875" style="2895" customWidth="1"/>
    <col min="15876" max="15877" width="13.875" style="2895" customWidth="1"/>
    <col min="15878" max="15878" width="8.375"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4.375" style="2895" customWidth="1"/>
    <col min="15886" max="15886" width="7.875" style="2895" customWidth="1"/>
    <col min="15887" max="16128" width="9" style="2895"/>
    <col min="16129" max="16129" width="23.5" style="2895" customWidth="1"/>
    <col min="16130" max="16130" width="6.25" style="2895" customWidth="1"/>
    <col min="16131" max="16131" width="7.875" style="2895" customWidth="1"/>
    <col min="16132" max="16133" width="13.875" style="2895" customWidth="1"/>
    <col min="16134" max="16134" width="8.375"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4.375" style="2895" customWidth="1"/>
    <col min="16142" max="16142" width="7.875" style="2895" customWidth="1"/>
    <col min="16143" max="16384" width="9" style="2895"/>
  </cols>
  <sheetData>
    <row r="1" spans="1:14">
      <c r="A1" s="2895" t="s">
        <v>3058</v>
      </c>
      <c r="B1" s="2895" t="s">
        <v>3059</v>
      </c>
      <c r="C1" s="2895" t="s">
        <v>3060</v>
      </c>
      <c r="D1" s="2895" t="s">
        <v>3061</v>
      </c>
      <c r="E1" s="2895" t="s">
        <v>3062</v>
      </c>
      <c r="F1" s="2895" t="s">
        <v>2030</v>
      </c>
      <c r="G1" s="2895" t="s">
        <v>3063</v>
      </c>
      <c r="H1" s="2895" t="s">
        <v>3064</v>
      </c>
      <c r="I1" s="2895" t="s">
        <v>3065</v>
      </c>
      <c r="J1" s="2895" t="s">
        <v>3066</v>
      </c>
      <c r="K1" s="2895" t="s">
        <v>3067</v>
      </c>
      <c r="L1" s="2895" t="s">
        <v>3068</v>
      </c>
      <c r="M1" s="2895" t="s">
        <v>3069</v>
      </c>
      <c r="N1" s="2895" t="s">
        <v>3070</v>
      </c>
    </row>
    <row r="2" spans="1:14">
      <c r="A2" s="2895" t="s">
        <v>3071</v>
      </c>
      <c r="B2" s="2895" t="s">
        <v>3072</v>
      </c>
      <c r="C2" s="2895" t="s">
        <v>3073</v>
      </c>
      <c r="D2" s="2895">
        <v>37592.089999999997</v>
      </c>
      <c r="E2" s="2895">
        <v>75184.179999999993</v>
      </c>
      <c r="F2" s="2895" t="s">
        <v>3074</v>
      </c>
      <c r="G2" s="2895" t="s">
        <v>3075</v>
      </c>
      <c r="H2" s="2895" t="s">
        <v>3076</v>
      </c>
      <c r="I2" s="2895">
        <v>18921</v>
      </c>
      <c r="J2" s="2895">
        <v>19110</v>
      </c>
      <c r="K2" s="2895">
        <v>2541.7600000000002</v>
      </c>
      <c r="L2" s="2895">
        <v>1</v>
      </c>
      <c r="M2" s="2895" t="s">
        <v>3077</v>
      </c>
      <c r="N2" s="2895" t="s">
        <v>3078</v>
      </c>
    </row>
    <row r="3" spans="1:14" s="3201" customFormat="1">
      <c r="A3" s="3202" t="s">
        <v>3102</v>
      </c>
      <c r="B3" s="3201" t="s">
        <v>3072</v>
      </c>
      <c r="C3" s="3201" t="s">
        <v>3073</v>
      </c>
      <c r="D3" s="3201">
        <v>715.49</v>
      </c>
      <c r="E3" s="3201">
        <v>2146.4699999999998</v>
      </c>
      <c r="F3" s="3201" t="s">
        <v>3080</v>
      </c>
      <c r="G3" s="3201" t="s">
        <v>3075</v>
      </c>
      <c r="H3" s="3201" t="s">
        <v>3076</v>
      </c>
      <c r="I3" s="3201">
        <v>572</v>
      </c>
      <c r="J3" s="3201">
        <v>580</v>
      </c>
      <c r="K3" s="3201">
        <v>2702.11</v>
      </c>
      <c r="L3" s="3201">
        <v>1.4</v>
      </c>
      <c r="M3" s="3201" t="s">
        <v>3077</v>
      </c>
      <c r="N3" s="3201" t="s">
        <v>3081</v>
      </c>
    </row>
    <row r="4" spans="1:14" s="3201" customFormat="1">
      <c r="A4" s="3202" t="s">
        <v>3102</v>
      </c>
      <c r="B4" s="3201" t="s">
        <v>3072</v>
      </c>
      <c r="C4" s="3201" t="s">
        <v>3073</v>
      </c>
      <c r="D4" s="3201">
        <v>1658.83</v>
      </c>
      <c r="E4" s="3201">
        <v>4976.49</v>
      </c>
      <c r="F4" s="3201" t="s">
        <v>3080</v>
      </c>
      <c r="G4" s="3201" t="s">
        <v>3075</v>
      </c>
      <c r="H4" s="3201" t="s">
        <v>3076</v>
      </c>
      <c r="I4" s="3201">
        <v>1326</v>
      </c>
      <c r="J4" s="3201">
        <v>1340</v>
      </c>
      <c r="K4" s="3201">
        <v>2692.65</v>
      </c>
      <c r="L4" s="3201">
        <v>1.06</v>
      </c>
      <c r="M4" s="3201" t="s">
        <v>3077</v>
      </c>
      <c r="N4" s="3201" t="s">
        <v>3081</v>
      </c>
    </row>
    <row r="5" spans="1:14" s="3201" customFormat="1">
      <c r="A5" s="3202" t="s">
        <v>3121</v>
      </c>
      <c r="B5" s="3201" t="s">
        <v>3072</v>
      </c>
      <c r="C5" s="3201" t="s">
        <v>3073</v>
      </c>
      <c r="D5" s="3201">
        <v>5064.74</v>
      </c>
      <c r="E5" s="3201">
        <v>10129.48</v>
      </c>
      <c r="F5" s="3201" t="s">
        <v>3074</v>
      </c>
      <c r="G5" s="3201" t="s">
        <v>3075</v>
      </c>
      <c r="H5" s="3201" t="s">
        <v>3076</v>
      </c>
      <c r="I5" s="3201">
        <v>2547</v>
      </c>
      <c r="J5" s="3201">
        <v>2573</v>
      </c>
      <c r="K5" s="3201">
        <v>2540.11</v>
      </c>
      <c r="L5" s="3201">
        <v>1.02</v>
      </c>
      <c r="M5" s="3201" t="s">
        <v>3077</v>
      </c>
      <c r="N5" s="3201" t="s">
        <v>3082</v>
      </c>
    </row>
    <row r="6" spans="1:14">
      <c r="A6" s="2895" t="s">
        <v>3083</v>
      </c>
      <c r="B6" s="2895" t="s">
        <v>3072</v>
      </c>
      <c r="C6" s="2895" t="s">
        <v>3073</v>
      </c>
      <c r="D6" s="2895">
        <v>18837.54</v>
      </c>
      <c r="E6" s="2895">
        <v>47093.85</v>
      </c>
      <c r="F6" s="2895" t="s">
        <v>3084</v>
      </c>
      <c r="G6" s="2895" t="s">
        <v>3075</v>
      </c>
      <c r="H6" s="2895" t="s">
        <v>3076</v>
      </c>
      <c r="I6" s="2895">
        <v>11671</v>
      </c>
      <c r="J6" s="2895" t="s">
        <v>2815</v>
      </c>
      <c r="K6" s="2895" t="s">
        <v>2815</v>
      </c>
      <c r="L6" s="2895" t="s">
        <v>2815</v>
      </c>
      <c r="M6" s="2895" t="s">
        <v>2815</v>
      </c>
      <c r="N6" s="2895" t="s">
        <v>3082</v>
      </c>
    </row>
    <row r="7" spans="1:14">
      <c r="A7" s="2895" t="s">
        <v>3085</v>
      </c>
      <c r="B7" s="2895" t="s">
        <v>3072</v>
      </c>
      <c r="C7" s="2895" t="s">
        <v>3073</v>
      </c>
      <c r="D7" s="2895">
        <v>3309.77</v>
      </c>
      <c r="E7" s="2895">
        <v>6619.54</v>
      </c>
      <c r="F7" s="2895" t="s">
        <v>3086</v>
      </c>
      <c r="G7" s="2895" t="s">
        <v>3075</v>
      </c>
      <c r="H7" s="2895" t="s">
        <v>3076</v>
      </c>
      <c r="I7" s="2895">
        <v>1649</v>
      </c>
      <c r="J7" s="2895">
        <v>1666</v>
      </c>
      <c r="K7" s="2895">
        <v>2516.7800000000002</v>
      </c>
      <c r="L7" s="2895">
        <v>1.03</v>
      </c>
      <c r="M7" s="2895" t="s">
        <v>3087</v>
      </c>
      <c r="N7" s="2895" t="s">
        <v>3082</v>
      </c>
    </row>
    <row r="8" spans="1:14">
      <c r="A8" s="2895" t="s">
        <v>3088</v>
      </c>
      <c r="B8" s="2895" t="s">
        <v>3072</v>
      </c>
      <c r="C8" s="2895" t="s">
        <v>3073</v>
      </c>
      <c r="D8" s="2895">
        <v>20969.259999999998</v>
      </c>
      <c r="E8" s="2895">
        <v>41938.519999999997</v>
      </c>
      <c r="F8" s="2895" t="s">
        <v>3086</v>
      </c>
      <c r="G8" s="2895" t="s">
        <v>3075</v>
      </c>
      <c r="H8" s="2895" t="s">
        <v>3076</v>
      </c>
      <c r="I8" s="2895">
        <v>11028</v>
      </c>
      <c r="J8" s="2895">
        <v>11200</v>
      </c>
      <c r="K8" s="2895">
        <v>2670.57</v>
      </c>
      <c r="L8" s="2895">
        <v>1.56</v>
      </c>
      <c r="M8" s="2895" t="s">
        <v>3077</v>
      </c>
      <c r="N8" s="2895" t="s">
        <v>3078</v>
      </c>
    </row>
    <row r="9" spans="1:14">
      <c r="A9" s="2895" t="s">
        <v>3079</v>
      </c>
      <c r="B9" s="2895" t="s">
        <v>3072</v>
      </c>
      <c r="C9" s="2895" t="s">
        <v>3073</v>
      </c>
      <c r="D9" s="2895">
        <v>653.23</v>
      </c>
      <c r="E9" s="2895">
        <v>1959.69</v>
      </c>
      <c r="F9" s="2895" t="s">
        <v>3080</v>
      </c>
      <c r="G9" s="2895" t="s">
        <v>3075</v>
      </c>
      <c r="H9" s="2895" t="s">
        <v>3076</v>
      </c>
      <c r="I9" s="2895">
        <v>523</v>
      </c>
      <c r="J9" s="2895">
        <v>528</v>
      </c>
      <c r="K9" s="2895">
        <v>2694.3</v>
      </c>
      <c r="L9" s="2895">
        <v>0.96</v>
      </c>
      <c r="M9" s="2895" t="s">
        <v>3077</v>
      </c>
      <c r="N9" s="2895" t="s">
        <v>3081</v>
      </c>
    </row>
    <row r="10" spans="1:14">
      <c r="A10" s="2895" t="s">
        <v>3089</v>
      </c>
      <c r="B10" s="2895" t="s">
        <v>3072</v>
      </c>
      <c r="C10" s="2895" t="s">
        <v>3073</v>
      </c>
      <c r="D10" s="2895">
        <v>40032.620000000003</v>
      </c>
      <c r="E10" s="2895">
        <v>100081.55</v>
      </c>
      <c r="F10" s="2895" t="s">
        <v>3084</v>
      </c>
      <c r="G10" s="2895" t="s">
        <v>3075</v>
      </c>
      <c r="H10" s="2895" t="s">
        <v>3076</v>
      </c>
      <c r="I10" s="2895">
        <v>24797</v>
      </c>
      <c r="J10" s="2895" t="s">
        <v>2815</v>
      </c>
      <c r="K10" s="2895" t="s">
        <v>2815</v>
      </c>
      <c r="L10" s="2895" t="s">
        <v>2815</v>
      </c>
      <c r="M10" s="2895" t="s">
        <v>2815</v>
      </c>
      <c r="N10" s="2895" t="s">
        <v>3082</v>
      </c>
    </row>
    <row r="11" spans="1:14">
      <c r="A11" s="2895" t="s">
        <v>3090</v>
      </c>
      <c r="B11" s="2895" t="s">
        <v>3072</v>
      </c>
      <c r="C11" s="2895" t="s">
        <v>3073</v>
      </c>
      <c r="D11" s="2895">
        <v>169.35</v>
      </c>
      <c r="E11" s="2895">
        <v>423.38</v>
      </c>
      <c r="F11" s="2895" t="s">
        <v>3084</v>
      </c>
      <c r="G11" s="2895" t="s">
        <v>3075</v>
      </c>
      <c r="H11" s="2895" t="s">
        <v>3076</v>
      </c>
      <c r="I11" s="2895">
        <v>104</v>
      </c>
      <c r="J11" s="2895">
        <v>107</v>
      </c>
      <c r="K11" s="2895">
        <v>2527.2800000000002</v>
      </c>
      <c r="L11" s="2895">
        <v>2.88</v>
      </c>
      <c r="M11" s="2895" t="s">
        <v>3091</v>
      </c>
      <c r="N11" s="2895" t="s">
        <v>3078</v>
      </c>
    </row>
    <row r="12" spans="1:14">
      <c r="A12" s="2895" t="s">
        <v>3092</v>
      </c>
      <c r="B12" s="2895" t="s">
        <v>3072</v>
      </c>
      <c r="C12" s="2895" t="s">
        <v>3073</v>
      </c>
      <c r="D12" s="2895">
        <v>13094.38</v>
      </c>
      <c r="E12" s="2895">
        <v>23569.88</v>
      </c>
      <c r="F12" s="2895" t="s">
        <v>3093</v>
      </c>
      <c r="G12" s="2895" t="s">
        <v>3075</v>
      </c>
      <c r="H12" s="2895" t="s">
        <v>3076</v>
      </c>
      <c r="I12" s="2895">
        <v>6893</v>
      </c>
      <c r="J12" s="2895">
        <v>6965</v>
      </c>
      <c r="K12" s="2895">
        <v>2955.03</v>
      </c>
      <c r="L12" s="2895">
        <v>1.04</v>
      </c>
      <c r="M12" s="2895" t="s">
        <v>3094</v>
      </c>
      <c r="N12" s="2895" t="s">
        <v>3082</v>
      </c>
    </row>
    <row r="13" spans="1:14">
      <c r="A13" s="2895" t="s">
        <v>3095</v>
      </c>
      <c r="B13" s="2895" t="s">
        <v>3072</v>
      </c>
      <c r="C13" s="2895" t="s">
        <v>3073</v>
      </c>
      <c r="D13" s="2895">
        <v>56492.79</v>
      </c>
      <c r="E13" s="2895">
        <v>112985.58</v>
      </c>
      <c r="F13" s="2895" t="s">
        <v>3086</v>
      </c>
      <c r="G13" s="2895" t="s">
        <v>3075</v>
      </c>
      <c r="H13" s="2895" t="s">
        <v>3076</v>
      </c>
      <c r="I13" s="2895">
        <v>29708</v>
      </c>
      <c r="J13" s="2895" t="s">
        <v>2815</v>
      </c>
      <c r="K13" s="2895" t="s">
        <v>2815</v>
      </c>
      <c r="L13" s="2895" t="s">
        <v>2815</v>
      </c>
      <c r="M13" s="2895" t="s">
        <v>2815</v>
      </c>
      <c r="N13" s="2895" t="s">
        <v>3082</v>
      </c>
    </row>
    <row r="14" spans="1:14">
      <c r="A14" s="2895" t="s">
        <v>3092</v>
      </c>
      <c r="B14" s="2895" t="s">
        <v>3072</v>
      </c>
      <c r="C14" s="2895" t="s">
        <v>3073</v>
      </c>
      <c r="D14" s="2895">
        <v>5611.36</v>
      </c>
      <c r="E14" s="2895">
        <v>10100.450000000001</v>
      </c>
      <c r="F14" s="2895" t="s">
        <v>3093</v>
      </c>
      <c r="G14" s="2895" t="s">
        <v>3075</v>
      </c>
      <c r="H14" s="2895" t="s">
        <v>3076</v>
      </c>
      <c r="I14" s="2895">
        <v>2954</v>
      </c>
      <c r="J14" s="2895">
        <v>2986</v>
      </c>
      <c r="K14" s="2895">
        <v>2956.3</v>
      </c>
      <c r="L14" s="2895">
        <v>1.08</v>
      </c>
      <c r="M14" s="2895" t="s">
        <v>3094</v>
      </c>
      <c r="N14" s="2895" t="s">
        <v>3082</v>
      </c>
    </row>
    <row r="15" spans="1:14">
      <c r="A15" s="2895" t="s">
        <v>3096</v>
      </c>
      <c r="B15" s="2895" t="s">
        <v>3072</v>
      </c>
      <c r="C15" s="2895" t="s">
        <v>3073</v>
      </c>
      <c r="D15" s="2895">
        <v>22966.02</v>
      </c>
      <c r="E15" s="2895">
        <v>45932.04</v>
      </c>
      <c r="F15" s="2895" t="s">
        <v>3086</v>
      </c>
      <c r="G15" s="2895" t="s">
        <v>3075</v>
      </c>
      <c r="H15" s="2895" t="s">
        <v>3076</v>
      </c>
      <c r="I15" s="2895">
        <v>12084</v>
      </c>
      <c r="J15" s="2895">
        <v>12191</v>
      </c>
      <c r="K15" s="2895">
        <v>2654.13</v>
      </c>
      <c r="L15" s="2895">
        <v>0.89</v>
      </c>
      <c r="M15" s="2895" t="s">
        <v>3097</v>
      </c>
      <c r="N15" s="2895" t="s">
        <v>3082</v>
      </c>
    </row>
    <row r="16" spans="1:14">
      <c r="A16" s="2895" t="s">
        <v>3098</v>
      </c>
      <c r="B16" s="2895" t="s">
        <v>3072</v>
      </c>
      <c r="C16" s="2895" t="s">
        <v>3073</v>
      </c>
      <c r="D16" s="2895">
        <v>1240</v>
      </c>
      <c r="E16" s="2895">
        <v>2480</v>
      </c>
      <c r="F16" s="2895" t="s">
        <v>3086</v>
      </c>
      <c r="G16" s="2895" t="s">
        <v>3099</v>
      </c>
      <c r="H16" s="2895" t="s">
        <v>3100</v>
      </c>
      <c r="I16" s="2895">
        <v>672.23</v>
      </c>
      <c r="J16" s="2895">
        <v>685</v>
      </c>
      <c r="K16" s="2895">
        <v>2762.09</v>
      </c>
      <c r="L16" s="2895">
        <v>1.9</v>
      </c>
      <c r="M16" s="2895" t="s">
        <v>3101</v>
      </c>
      <c r="N16" s="2895" t="s">
        <v>3082</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5" t="str">
        <f>项目基本情况!B1</f>
        <v>河北省廊坊市香河县周庄村西侧出让国有建设用地使用权抵押价格预评估</v>
      </c>
      <c r="C37" s="3205"/>
      <c r="D37" s="3205"/>
      <c r="E37" s="3205"/>
      <c r="F37" s="3205"/>
      <c r="G37" s="3205"/>
      <c r="H37" s="3205"/>
      <c r="I37" s="3205"/>
    </row>
    <row r="38" spans="1:9">
      <c r="A38" s="1642"/>
      <c r="B38" s="1642"/>
    </row>
    <row r="39" spans="1:9">
      <c r="A39" s="1640" t="s">
        <v>1900</v>
      </c>
      <c r="B39" s="1640" t="s">
        <v>2044</v>
      </c>
    </row>
    <row r="40" spans="1:9">
      <c r="A40" s="1640"/>
      <c r="B40" s="1640" t="str">
        <f>项目基本情况!B5</f>
        <v>五矿信托</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叶凌、刘敬东</v>
      </c>
    </row>
    <row r="47" spans="1:9">
      <c r="A47" s="1640"/>
      <c r="B47" s="1640"/>
    </row>
    <row r="48" spans="1:9">
      <c r="A48" s="1640" t="s">
        <v>1900</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465</v>
      </c>
      <c r="B1" s="2765"/>
      <c r="C1" s="2090"/>
      <c r="D1" s="2090"/>
      <c r="E1" s="2090"/>
      <c r="F1" s="2090"/>
      <c r="G1" s="2090"/>
      <c r="H1" s="2090"/>
      <c r="I1" s="2090"/>
      <c r="J1" s="2090"/>
      <c r="K1" s="422">
        <f>MATCH(B1,'数据-取费表'!A6:A16,0)+5</f>
        <v>9</v>
      </c>
    </row>
    <row r="2" spans="1:31" s="2027" customFormat="1" ht="18" customHeight="1">
      <c r="A2" s="2087" t="s">
        <v>466</v>
      </c>
      <c r="B2" s="2091">
        <f ca="1">C36</f>
        <v>192827</v>
      </c>
      <c r="C2" s="2090"/>
      <c r="D2" s="2090"/>
      <c r="E2" s="2090"/>
      <c r="F2" s="2090"/>
      <c r="G2" s="2090"/>
      <c r="H2" s="2090"/>
      <c r="I2" s="2090"/>
      <c r="J2" s="2090"/>
      <c r="K2" s="2090"/>
    </row>
    <row r="3" spans="1:31" s="2027" customFormat="1" ht="18" customHeight="1">
      <c r="A3" s="2092" t="s">
        <v>1683</v>
      </c>
      <c r="B3" s="2093">
        <f ca="1">ROUND(B2*10000/IF(B1="",'数据-汇总表'!E3,INDIRECT("'数据-取费表'!K"&amp;$K$1)),0)</f>
        <v>3799</v>
      </c>
      <c r="C3" s="2090"/>
      <c r="D3" s="2090"/>
      <c r="E3" s="2090"/>
      <c r="F3" s="2090"/>
      <c r="G3" s="2090"/>
      <c r="H3" s="2090"/>
      <c r="I3" s="2090"/>
      <c r="J3" s="2090"/>
      <c r="K3" s="2090"/>
    </row>
    <row r="4" spans="1:31" s="2027" customFormat="1" ht="18" customHeight="1">
      <c r="A4" s="426" t="s">
        <v>467</v>
      </c>
      <c r="B4" s="427">
        <f ca="1">ROUND(B2*10000/IF(B1="",'数据-汇总表'!D3,INDIRECT("'数据-取费表'!R"&amp;$K$1)),0)</f>
        <v>9601</v>
      </c>
      <c r="C4" s="428"/>
      <c r="D4" s="422"/>
      <c r="E4" s="422"/>
      <c r="F4" s="422"/>
      <c r="G4" s="422"/>
      <c r="H4" s="422"/>
      <c r="I4" s="422"/>
      <c r="J4" s="422"/>
      <c r="K4" s="422"/>
    </row>
    <row r="5" spans="1:31" s="2027" customFormat="1" ht="18" customHeight="1" thickBot="1">
      <c r="A5" s="429"/>
      <c r="B5" s="430">
        <f ca="1">ROUND(B2/(IF(B1="",'数据-汇总表'!D3,INDIRECT("'数据-取费表'!R"&amp;$K$1))/666.67),0)</f>
        <v>640</v>
      </c>
      <c r="C5" s="431" t="s">
        <v>468</v>
      </c>
      <c r="D5" s="422"/>
      <c r="E5" s="422"/>
      <c r="F5" s="422"/>
      <c r="G5" s="422"/>
      <c r="H5" s="422"/>
      <c r="I5" s="422"/>
      <c r="J5" s="422"/>
      <c r="K5" s="422"/>
    </row>
    <row r="6" spans="1:31" s="2097" customFormat="1" ht="16.5" customHeight="1">
      <c r="A6" s="2784" t="s">
        <v>1841</v>
      </c>
      <c r="B6" s="2785"/>
      <c r="C6" s="2786">
        <f ca="1">SUM(C10:K10)</f>
        <v>545704.65919999999</v>
      </c>
      <c r="D6" s="2785"/>
      <c r="E6" s="2785"/>
      <c r="F6" s="2785"/>
      <c r="G6" s="2785"/>
      <c r="H6" s="2785"/>
      <c r="I6" s="2785"/>
      <c r="J6" s="2785"/>
      <c r="K6" s="2787"/>
      <c r="N6" s="3198" t="s">
        <v>3046</v>
      </c>
      <c r="O6" s="3198" t="s">
        <v>3047</v>
      </c>
      <c r="P6" s="3198" t="s">
        <v>3048</v>
      </c>
    </row>
    <row r="7" spans="1:31" s="2099" customFormat="1" ht="15">
      <c r="A7" s="2788" t="s">
        <v>469</v>
      </c>
      <c r="B7" s="2789" t="s">
        <v>470</v>
      </c>
      <c r="C7" s="436" t="s">
        <v>922</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90">
        <f>N14</f>
        <v>15332.245914396886</v>
      </c>
      <c r="D8" s="2790">
        <f ca="1">不动产收益法!B3</f>
        <v>3545</v>
      </c>
      <c r="E8" s="2790">
        <f ca="1">'不动产收益法 (2)'!B3</f>
        <v>530</v>
      </c>
      <c r="F8" s="2790"/>
      <c r="G8" s="2790"/>
      <c r="H8" s="2790"/>
      <c r="I8" s="2790"/>
      <c r="J8" s="2790"/>
      <c r="K8" s="2791"/>
      <c r="L8" s="2100"/>
      <c r="M8" s="3197" t="s">
        <v>3127</v>
      </c>
      <c r="N8" s="2100">
        <f>'不动产比较法-住宅'!B3</f>
        <v>14402</v>
      </c>
      <c r="O8" s="2100">
        <f>'数据-基础表'!I13</f>
        <v>301560</v>
      </c>
      <c r="P8" s="2100">
        <f>N8*O8/10000</f>
        <v>434306.712</v>
      </c>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349520</v>
      </c>
      <c r="D9" s="441">
        <f>SUMIF('数据-汇总表'!$C19:$C33,'剩余法-待开发'!D7,'数据-汇总表'!$E19:$E33)</f>
        <v>7459.4</v>
      </c>
      <c r="E9" s="441">
        <f>SUMIF('数据-汇总表'!$C19:$C33,'剩余法-待开发'!E7,'数据-汇总表'!$E19:$E33)</f>
        <v>135260.769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3197" t="s">
        <v>3128</v>
      </c>
      <c r="N9" s="2100">
        <f>N8*1.4</f>
        <v>20162.8</v>
      </c>
      <c r="O9" s="2100">
        <f>'数据-基础表'!M13</f>
        <v>31000</v>
      </c>
      <c r="P9" s="2100">
        <f t="shared" ref="P9:P10" si="0">N9*O9/10000</f>
        <v>62504.68</v>
      </c>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473</v>
      </c>
      <c r="C10" s="2982">
        <f>P11</f>
        <v>535892.65919999999</v>
      </c>
      <c r="D10" s="2982">
        <f ca="1">不动产收益法!B2</f>
        <v>2644</v>
      </c>
      <c r="E10" s="2982">
        <f ca="1">'不动产收益法 (2)'!B2</f>
        <v>7168</v>
      </c>
      <c r="F10" s="2793"/>
      <c r="G10" s="2793"/>
      <c r="H10" s="2793"/>
      <c r="I10" s="2793"/>
      <c r="J10" s="2793"/>
      <c r="K10" s="2794"/>
      <c r="L10" s="2100"/>
      <c r="M10" s="3197" t="s">
        <v>3129</v>
      </c>
      <c r="N10" s="2100">
        <f>N8*1.6</f>
        <v>23043.200000000001</v>
      </c>
      <c r="O10" s="2100">
        <f>'数据-基础表'!K13</f>
        <v>16960</v>
      </c>
      <c r="P10" s="2100">
        <f t="shared" si="0"/>
        <v>39081.267200000002</v>
      </c>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c r="O11" s="2097">
        <f>SUM(O8:O10)</f>
        <v>349520</v>
      </c>
      <c r="P11" s="2097">
        <f>SUM(P8:P10)</f>
        <v>535892.65919999999</v>
      </c>
    </row>
    <row r="12" spans="1:31" s="2071" customFormat="1" ht="13.5" customHeight="1">
      <c r="A12" s="2796" t="s">
        <v>469</v>
      </c>
      <c r="B12" s="2768" t="s">
        <v>470</v>
      </c>
      <c r="C12" s="2797" t="s">
        <v>474</v>
      </c>
      <c r="D12" s="2764" t="s">
        <v>475</v>
      </c>
      <c r="E12" s="2764" t="s">
        <v>476</v>
      </c>
      <c r="F12" s="2764" t="s">
        <v>477</v>
      </c>
      <c r="G12" s="2768"/>
      <c r="H12" s="2769"/>
      <c r="I12" s="2769"/>
      <c r="J12" s="2769"/>
      <c r="K12" s="2770"/>
    </row>
    <row r="13" spans="1:31" s="2102" customFormat="1" ht="13.5" customHeight="1">
      <c r="A13" s="2798" t="s">
        <v>1847</v>
      </c>
      <c r="B13" s="2799" t="s">
        <v>478</v>
      </c>
      <c r="C13" s="450">
        <f ca="1">IF(B1="",'数据-取费表'!P16,INDIRECT("'数据-取费表'!p"&amp;$K$1)+INDIRECT("'数据-取费表'!t"&amp;$K$1))</f>
        <v>148418</v>
      </c>
      <c r="D13" s="2800"/>
      <c r="E13" s="2801"/>
      <c r="F13" s="2802"/>
      <c r="G13" s="2768"/>
      <c r="H13" s="2769"/>
      <c r="I13" s="2769"/>
      <c r="J13" s="2769"/>
      <c r="K13" s="2770"/>
    </row>
    <row r="14" spans="1:31" s="2102" customFormat="1" ht="13.5" customHeight="1">
      <c r="A14" s="2798" t="s">
        <v>1848</v>
      </c>
      <c r="B14" s="2799" t="s">
        <v>479</v>
      </c>
      <c r="C14" s="53">
        <f ca="1">ROUND(C13*F14,0)</f>
        <v>5937</v>
      </c>
      <c r="D14" s="2800"/>
      <c r="E14" s="2801"/>
      <c r="F14" s="2803">
        <f>'数据-取费表'!B33</f>
        <v>0.04</v>
      </c>
      <c r="G14" s="2768" t="s">
        <v>480</v>
      </c>
      <c r="H14" s="2769"/>
      <c r="I14" s="2769"/>
      <c r="J14" s="2769"/>
      <c r="K14" s="2770"/>
      <c r="M14" s="3199" t="s">
        <v>3049</v>
      </c>
      <c r="N14" s="3200">
        <f>P11*10000/O11</f>
        <v>15332.245914396886</v>
      </c>
    </row>
    <row r="15" spans="1:31" s="2102" customFormat="1" ht="13.5" customHeight="1">
      <c r="A15" s="2798" t="s">
        <v>1849</v>
      </c>
      <c r="B15" s="2799" t="s">
        <v>481</v>
      </c>
      <c r="C15" s="53">
        <f ca="1">ROUND(IF(B1="",SUMIF('数据-取费表'!C:C,"住宅",'数据-取费表'!P:P)*F15,IF(INDIRECT("'数据-取费表'!c"&amp;$K$1)="住宅",INDIRECT("'数据-取费表'!P"&amp;$K$1)*F15,0)),0)</f>
        <v>5243</v>
      </c>
      <c r="D15" s="2800"/>
      <c r="E15" s="2801"/>
      <c r="F15" s="2803">
        <f>'数据-取费表'!B34</f>
        <v>0.05</v>
      </c>
      <c r="G15" s="2768" t="s">
        <v>482</v>
      </c>
      <c r="H15" s="2769"/>
      <c r="I15" s="2769"/>
      <c r="J15" s="2769"/>
      <c r="K15" s="2770"/>
    </row>
    <row r="16" spans="1:31" s="2103" customFormat="1" ht="13.5" customHeight="1">
      <c r="A16" s="2798" t="s">
        <v>1850</v>
      </c>
      <c r="B16" s="2799" t="s">
        <v>483</v>
      </c>
      <c r="C16" s="53">
        <f ca="1">ROUND(D16*E16/10000,0)</f>
        <v>10152</v>
      </c>
      <c r="D16" s="2800">
        <f ca="1">IF(B1="",'数据-汇总表'!E3,INDIRECT("'数据-取费表'!K"&amp;$K$1)+INDIRECT("'数据-取费表'!S"&amp;$K$1))</f>
        <v>507605.15100000001</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484</v>
      </c>
      <c r="C17" s="2804">
        <f ca="1">ROUND(C13*F17,0)</f>
        <v>2226</v>
      </c>
      <c r="D17" s="475"/>
      <c r="E17" s="2804"/>
      <c r="F17" s="2805">
        <f>'数据-取费表'!B36</f>
        <v>1.4999999999999999E-2</v>
      </c>
      <c r="G17" s="261" t="s">
        <v>485</v>
      </c>
      <c r="H17" s="2771"/>
      <c r="I17" s="2771"/>
      <c r="J17" s="2771"/>
      <c r="K17" s="279"/>
    </row>
    <row r="18" spans="1:14" s="2102" customFormat="1" ht="13.5" customHeight="1">
      <c r="A18" s="2806" t="s">
        <v>1852</v>
      </c>
      <c r="B18" s="2807" t="s">
        <v>486</v>
      </c>
      <c r="C18" s="2808">
        <f ca="1">SUM(C13:C17)</f>
        <v>171976</v>
      </c>
      <c r="D18" s="2809"/>
      <c r="E18" s="468"/>
      <c r="F18" s="468"/>
      <c r="G18" s="2772" t="s">
        <v>2428</v>
      </c>
      <c r="H18" s="2773"/>
      <c r="I18" s="2773"/>
      <c r="J18" s="2773"/>
      <c r="K18" s="2774"/>
    </row>
    <row r="19" spans="1:14" s="2102" customFormat="1" ht="13.5" customHeight="1">
      <c r="A19" s="2806" t="s">
        <v>1853</v>
      </c>
      <c r="B19" s="2807" t="s">
        <v>487</v>
      </c>
      <c r="C19" s="2764">
        <f ca="1">ROUND(D19*E19/10000,0)</f>
        <v>5584</v>
      </c>
      <c r="D19" s="2810">
        <f ca="1">D16</f>
        <v>507605.15100000001</v>
      </c>
      <c r="E19" s="2764">
        <f>'数据-取费表'!B32</f>
        <v>110</v>
      </c>
      <c r="F19" s="468"/>
      <c r="G19" s="2768" t="s">
        <v>488</v>
      </c>
      <c r="H19" s="2769"/>
      <c r="I19" s="2773"/>
      <c r="J19" s="2773"/>
      <c r="K19" s="2774"/>
    </row>
    <row r="20" spans="1:14" s="2102" customFormat="1" ht="13.5" customHeight="1">
      <c r="A20" s="2806" t="s">
        <v>1854</v>
      </c>
      <c r="B20" s="2807" t="s">
        <v>489</v>
      </c>
      <c r="C20" s="2764">
        <f ca="1">C21+C22-IF(B1="",'数据-取费表'!B29,IF(G20="已全部缴纳",C21+C22,H20))</f>
        <v>1280</v>
      </c>
      <c r="D20" s="2810"/>
      <c r="E20" s="2764"/>
      <c r="F20" s="2811"/>
      <c r="G20" s="3041"/>
      <c r="H20" s="2766"/>
      <c r="I20" s="2767" t="s">
        <v>2648</v>
      </c>
      <c r="J20" s="2773"/>
      <c r="K20" s="2774"/>
    </row>
    <row r="21" spans="1:14" s="2102" customFormat="1" ht="13.5" customHeight="1">
      <c r="A21" s="2798" t="s">
        <v>1855</v>
      </c>
      <c r="B21" s="2799" t="s">
        <v>490</v>
      </c>
      <c r="C21" s="53">
        <f ca="1">ROUND(D21*E21/10000,0)</f>
        <v>755</v>
      </c>
      <c r="D21" s="2800">
        <f ca="1">IF(B1="",'数据-汇总表'!E5,IF(INDIRECT("'数据-取费表'!c"&amp;$K$1)="住宅",INDIRECT("'数据-取费表'!k"&amp;$K$1),0))</f>
        <v>349520</v>
      </c>
      <c r="E21" s="53">
        <f>'数据-取费表'!B27</f>
        <v>21.6</v>
      </c>
      <c r="F21" s="2803"/>
      <c r="G21" s="26"/>
      <c r="H21" s="51"/>
      <c r="I21" s="51"/>
      <c r="J21" s="51"/>
      <c r="K21" s="2775"/>
    </row>
    <row r="22" spans="1:14" s="2102" customFormat="1" ht="13.5" customHeight="1">
      <c r="A22" s="2798" t="s">
        <v>1856</v>
      </c>
      <c r="B22" s="2799" t="s">
        <v>491</v>
      </c>
      <c r="C22" s="53">
        <f ca="1">ROUND(D22*E22/10000,0)</f>
        <v>525</v>
      </c>
      <c r="D22" s="2800">
        <f ca="1">IF(B1="",'数据-汇总表'!E6,IF(INDIRECT("'数据-取费表'!c"&amp;$K$1)="住宅",INDIRECT("'数据-取费表'!s"&amp;$K$1),INDIRECT("'数据-取费表'!k"&amp;$K$1)+INDIRECT("'数据-取费表'!s"&amp;$K$1)))</f>
        <v>158085.15100000001</v>
      </c>
      <c r="E22" s="53">
        <f>'数据-取费表'!B28</f>
        <v>33.200000000000003</v>
      </c>
      <c r="F22" s="2803"/>
      <c r="G22" s="26"/>
      <c r="H22" s="51"/>
      <c r="I22" s="51"/>
      <c r="J22" s="51"/>
      <c r="K22" s="2775"/>
    </row>
    <row r="23" spans="1:14" s="2102" customFormat="1" ht="13.5" customHeight="1">
      <c r="A23" s="2806" t="s">
        <v>1857</v>
      </c>
      <c r="B23" s="2988" t="s">
        <v>2831</v>
      </c>
      <c r="C23" s="2808">
        <f ca="1">ROUND((C18+C19+C20)*F23,0)</f>
        <v>3577</v>
      </c>
      <c r="D23" s="468"/>
      <c r="E23" s="468"/>
      <c r="F23" s="2812">
        <f>'数据-取费表'!B37</f>
        <v>0.02</v>
      </c>
      <c r="G23" s="2768" t="s">
        <v>2429</v>
      </c>
      <c r="H23" s="2769"/>
      <c r="I23" s="2769"/>
      <c r="J23" s="2769"/>
      <c r="K23" s="2770"/>
      <c r="L23" s="2104"/>
      <c r="M23" s="2104"/>
      <c r="N23" s="2104"/>
    </row>
    <row r="24" spans="1:14" s="2102" customFormat="1" ht="13.5" customHeight="1">
      <c r="A24" s="2806" t="s">
        <v>1858</v>
      </c>
      <c r="B24" s="2988" t="s">
        <v>2834</v>
      </c>
      <c r="C24" s="2808">
        <f ca="1">ROUND(C6*F24,0)</f>
        <v>10914</v>
      </c>
      <c r="D24" s="475"/>
      <c r="E24" s="473"/>
      <c r="F24" s="2812">
        <f>'数据-取费表'!B38</f>
        <v>0.02</v>
      </c>
      <c r="G24" s="2777" t="s">
        <v>498</v>
      </c>
      <c r="H24" s="2771"/>
      <c r="I24" s="2771"/>
      <c r="J24" s="2771"/>
      <c r="K24" s="279"/>
      <c r="L24" s="2104"/>
      <c r="M24" s="2104"/>
      <c r="N24" s="2104"/>
    </row>
    <row r="25" spans="1:14" s="2105" customFormat="1" ht="13.5" customHeight="1">
      <c r="A25" s="2806" t="s">
        <v>1859</v>
      </c>
      <c r="B25" s="2988" t="s">
        <v>2832</v>
      </c>
      <c r="C25" s="467">
        <f>ROUND(F25/(1+'数据-取费表'!C42),4)</f>
        <v>3.7199999999999997E-2</v>
      </c>
      <c r="D25" s="462" t="s">
        <v>2826</v>
      </c>
      <c r="E25" s="469"/>
      <c r="F25" s="2812">
        <f>'数据-取费表'!B48+'数据-取费表'!B49</f>
        <v>4.0500000000000001E-2</v>
      </c>
      <c r="G25" s="2776" t="s">
        <v>2287</v>
      </c>
      <c r="H25" s="2769"/>
      <c r="I25" s="2769"/>
      <c r="J25" s="2769"/>
      <c r="K25" s="2770"/>
    </row>
    <row r="26" spans="1:14" s="2104" customFormat="1" ht="13.5" customHeight="1">
      <c r="A26" s="2806" t="s">
        <v>1860</v>
      </c>
      <c r="B26" s="2989" t="s">
        <v>2833</v>
      </c>
      <c r="C26" s="2813">
        <f ca="1">C28</f>
        <v>13937</v>
      </c>
      <c r="D26" s="467">
        <f ca="1">C27</f>
        <v>0.15490000000000001</v>
      </c>
      <c r="E26" s="469" t="s">
        <v>494</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495</v>
      </c>
      <c r="C27" s="2815">
        <f ca="1">ROUND(IF('数据-取费表'!B22&lt;=1,(1+C25)*F26*'数据-取费表'!B24,(1+C25)*(POWER((1+F26),'数据-取费表'!B24)-1)),4)</f>
        <v>0.15490000000000001</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2835</v>
      </c>
      <c r="C28" s="2816">
        <f ca="1">ROUND(IF('数据-取费表'!B22&lt;=1,(C18+C19+C20+C23+C24)*F26*'数据-取费表'!B24/2,(C18+C19+C20+C23+C24)*(POWER((1+F26),'数据-取费表'!B24/2)-1)),0)</f>
        <v>13937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496</v>
      </c>
      <c r="C29" s="2808">
        <f ca="1">ROUND(C6*F29/(1+'数据-取费表'!C42),0)</f>
        <v>49564</v>
      </c>
      <c r="D29" s="468"/>
      <c r="E29" s="468"/>
      <c r="F29" s="2990">
        <f>'数据-取费表'!B41</f>
        <v>9.8999999999999991E-2</v>
      </c>
      <c r="G29" s="2777" t="s">
        <v>497</v>
      </c>
      <c r="H29" s="2769"/>
      <c r="I29" s="2769"/>
      <c r="J29" s="2769"/>
      <c r="K29" s="2770"/>
    </row>
    <row r="30" spans="1:14" s="2107" customFormat="1" ht="13.5" customHeight="1">
      <c r="A30" s="1621" t="s">
        <v>1862</v>
      </c>
      <c r="B30" s="2818" t="s">
        <v>499</v>
      </c>
      <c r="C30" s="2813">
        <f ca="1">C31</f>
        <v>256832</v>
      </c>
      <c r="D30" s="477">
        <f ca="1">C32</f>
        <v>0.19209999999999999</v>
      </c>
      <c r="E30" s="469" t="s">
        <v>494</v>
      </c>
      <c r="F30" s="471"/>
      <c r="G30" s="2776" t="s">
        <v>2968</v>
      </c>
      <c r="H30" s="2769"/>
      <c r="I30" s="2769"/>
      <c r="J30" s="2769"/>
      <c r="K30" s="2770"/>
    </row>
    <row r="31" spans="1:14" s="2106" customFormat="1" ht="13.5" customHeight="1">
      <c r="A31" s="803" t="s">
        <v>1855</v>
      </c>
      <c r="B31" s="2814"/>
      <c r="C31" s="450">
        <f ca="1">C18+C19+C20+C23+C24+C26+C29</f>
        <v>256832</v>
      </c>
      <c r="D31" s="472"/>
      <c r="E31" s="473"/>
      <c r="F31" s="474"/>
      <c r="G31" s="261"/>
      <c r="H31" s="2771"/>
      <c r="I31" s="2771"/>
      <c r="J31" s="2771"/>
      <c r="K31" s="279"/>
    </row>
    <row r="32" spans="1:14" s="2106" customFormat="1" ht="13.5" customHeight="1">
      <c r="A32" s="803" t="s">
        <v>1856</v>
      </c>
      <c r="B32" s="2814"/>
      <c r="C32" s="53">
        <f ca="1">ROUND(C25+D26,4)</f>
        <v>0.19209999999999999</v>
      </c>
      <c r="D32" s="472"/>
      <c r="E32" s="473"/>
      <c r="F32" s="474"/>
      <c r="G32" s="261"/>
      <c r="H32" s="2771"/>
      <c r="I32" s="2771"/>
      <c r="J32" s="2771"/>
      <c r="K32" s="279"/>
    </row>
    <row r="33" spans="1:11" s="2108" customFormat="1" ht="13.5" customHeight="1">
      <c r="A33" s="2987" t="s">
        <v>2830</v>
      </c>
      <c r="B33" s="2985" t="s">
        <v>2828</v>
      </c>
      <c r="C33" s="478">
        <f ca="1">C35</f>
        <v>29000</v>
      </c>
      <c r="D33" s="467">
        <f ca="1">C34</f>
        <v>0.15559999999999999</v>
      </c>
      <c r="E33" s="469" t="s">
        <v>494</v>
      </c>
      <c r="F33" s="479">
        <f ca="1">IF(B1="",'数据-取费表'!Q16,INDIRECT("'数据-取费表'!q"&amp;$K$1))</f>
        <v>0.15</v>
      </c>
      <c r="G33" s="2772"/>
      <c r="H33" s="2773"/>
      <c r="I33" s="2773"/>
      <c r="J33" s="2773"/>
      <c r="K33" s="2774"/>
    </row>
    <row r="34" spans="1:11" s="2109" customFormat="1" ht="13.5" customHeight="1">
      <c r="A34" s="375" t="s">
        <v>1855</v>
      </c>
      <c r="B34" s="2819" t="s">
        <v>500</v>
      </c>
      <c r="C34" s="472">
        <f ca="1">ROUND((1+C25)*F33,4)</f>
        <v>0.15559999999999999</v>
      </c>
      <c r="D34" s="472"/>
      <c r="E34" s="473"/>
      <c r="F34" s="480"/>
      <c r="G34" s="261" t="s">
        <v>2288</v>
      </c>
      <c r="H34" s="2771"/>
      <c r="I34" s="2771"/>
      <c r="J34" s="2771"/>
      <c r="K34" s="279"/>
    </row>
    <row r="35" spans="1:11" s="2109" customFormat="1" ht="13.5" customHeight="1" thickBot="1">
      <c r="A35" s="1622" t="s">
        <v>1856</v>
      </c>
      <c r="B35" s="2986" t="s">
        <v>2836</v>
      </c>
      <c r="C35" s="1614">
        <f ca="1">ROUND((C18+C19+C20+C23+C24)*F33,0)</f>
        <v>29000</v>
      </c>
      <c r="D35" s="1615"/>
      <c r="E35" s="2820"/>
      <c r="F35" s="1616"/>
      <c r="G35" s="2778"/>
      <c r="H35" s="2779"/>
      <c r="I35" s="2779"/>
      <c r="J35" s="2779"/>
      <c r="K35" s="2780"/>
    </row>
    <row r="36" spans="1:11" s="2071" customFormat="1" ht="13.5" customHeight="1" thickBot="1">
      <c r="A36" s="284" t="s">
        <v>1843</v>
      </c>
      <c r="B36" s="2782"/>
      <c r="C36" s="2821">
        <f ca="1">ROUND((C6-C30-C33)/(1+D30+D33),0)</f>
        <v>192827</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465</v>
      </c>
      <c r="B1" s="2765"/>
      <c r="C1" s="2090"/>
      <c r="D1" s="2090"/>
      <c r="E1" s="2090"/>
      <c r="F1" s="2090"/>
      <c r="G1" s="2090"/>
      <c r="H1" s="2090"/>
      <c r="I1" s="2090"/>
      <c r="J1" s="2090"/>
      <c r="K1" s="422">
        <f>MATCH(B1,'数据-取费表'!A6:A16,0)+5</f>
        <v>9</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148418</v>
      </c>
      <c r="D13" s="451"/>
      <c r="E13" s="365"/>
      <c r="F13" s="452"/>
      <c r="G13" s="444"/>
      <c r="H13" s="447"/>
      <c r="I13" s="447"/>
      <c r="J13" s="447"/>
      <c r="K13" s="448"/>
    </row>
    <row r="14" spans="1:41" s="2102" customFormat="1" ht="13.5" customHeight="1">
      <c r="A14" s="1619" t="s">
        <v>1848</v>
      </c>
      <c r="B14" s="449" t="s">
        <v>479</v>
      </c>
      <c r="C14" s="53">
        <f ca="1">ROUND(C13*F14,0)</f>
        <v>5937</v>
      </c>
      <c r="D14" s="451"/>
      <c r="E14" s="365"/>
      <c r="F14" s="453">
        <f>'数据-取费表'!B33</f>
        <v>0.04</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5243</v>
      </c>
      <c r="D15" s="451"/>
      <c r="E15" s="365"/>
      <c r="F15" s="453">
        <f>'数据-取费表'!B34</f>
        <v>0.05</v>
      </c>
      <c r="G15" s="444" t="s">
        <v>501</v>
      </c>
      <c r="H15" s="447"/>
      <c r="I15" s="447"/>
      <c r="J15" s="447"/>
      <c r="K15" s="448"/>
    </row>
    <row r="16" spans="1:41" s="2103" customFormat="1" ht="13.5" customHeight="1">
      <c r="A16" s="1619" t="s">
        <v>1850</v>
      </c>
      <c r="B16" s="449" t="s">
        <v>483</v>
      </c>
      <c r="C16" s="53">
        <f ca="1">ROUND(D16*E16/10000,0)</f>
        <v>10152</v>
      </c>
      <c r="D16" s="451">
        <f ca="1">IF(B1="",'数据-汇总表'!E3,INDIRECT("'数据-取费表'!K"&amp;$K$1)+INDIRECT("'数据-取费表'!S"&amp;$K$1))</f>
        <v>507605.15100000001</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2226</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171976</v>
      </c>
      <c r="D18" s="461"/>
      <c r="E18" s="462"/>
      <c r="F18" s="462"/>
      <c r="G18" s="1323" t="s">
        <v>2430</v>
      </c>
      <c r="H18" s="447"/>
      <c r="I18" s="447"/>
      <c r="J18" s="447"/>
      <c r="K18" s="448"/>
    </row>
    <row r="19" spans="1:14" s="2105" customFormat="1" ht="13.5" customHeight="1">
      <c r="A19" s="1620" t="s">
        <v>1853</v>
      </c>
      <c r="B19" s="459" t="s">
        <v>492</v>
      </c>
      <c r="C19" s="460">
        <f ca="1">ROUND(C18*F19,0)</f>
        <v>3440</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3">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12646</v>
      </c>
      <c r="D21" s="467">
        <f ca="1">C23</f>
        <v>1.4E-3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1847</v>
      </c>
      <c r="B22" s="1324" t="s">
        <v>2433</v>
      </c>
      <c r="C22" s="487">
        <f ca="1">ROUND(IF('数据-取费表'!B22&lt;=1,(C18+C19)*F21*'数据-取费表'!B20/2,(C18+C19)*(POWER((1+F21),'数据-取费表'!B20/2)-1)),0)</f>
        <v>12646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2829</v>
      </c>
      <c r="C24" s="478">
        <f ca="1">C25</f>
        <v>26312</v>
      </c>
      <c r="D24" s="489">
        <f ca="1">C26</f>
        <v>3.0000000000000001E-3</v>
      </c>
      <c r="E24" s="469" t="s">
        <v>506</v>
      </c>
      <c r="F24" s="479">
        <f ca="1">IF(B1="",'数据-取费表'!Q16,INDIRECT("'数据-取费表'!q"&amp;$K$1))</f>
        <v>0.15</v>
      </c>
      <c r="G24" s="444"/>
      <c r="H24" s="447"/>
      <c r="I24" s="447"/>
      <c r="J24" s="447"/>
      <c r="K24" s="448"/>
    </row>
    <row r="25" spans="1:14" s="2106" customFormat="1" ht="13.5" customHeight="1">
      <c r="A25" s="1619" t="s">
        <v>1847</v>
      </c>
      <c r="B25" s="1324" t="s">
        <v>2434</v>
      </c>
      <c r="C25" s="490">
        <f ca="1">ROUND((C18+C19)*F24,0)</f>
        <v>26312</v>
      </c>
      <c r="D25" s="472"/>
      <c r="E25" s="473"/>
      <c r="F25" s="480"/>
      <c r="G25" s="1322" t="s">
        <v>2431</v>
      </c>
      <c r="H25" s="457"/>
      <c r="I25" s="457"/>
      <c r="J25" s="457"/>
      <c r="K25" s="458"/>
    </row>
    <row r="26" spans="1:14" s="2106" customFormat="1" ht="13.5" customHeight="1">
      <c r="A26" s="1619" t="s">
        <v>1848</v>
      </c>
      <c r="B26" s="1324" t="s">
        <v>508</v>
      </c>
      <c r="C26" s="491">
        <f ca="1">ROUND(F20*F24,4)</f>
        <v>3.0000000000000001E-3</v>
      </c>
      <c r="D26" s="472"/>
      <c r="E26" s="481"/>
      <c r="F26" s="480"/>
      <c r="G26" s="1322" t="s">
        <v>509</v>
      </c>
      <c r="H26" s="457"/>
      <c r="I26" s="457"/>
      <c r="J26" s="457"/>
      <c r="K26" s="458"/>
    </row>
    <row r="27" spans="1:14" s="2106" customFormat="1" ht="13.5" customHeight="1">
      <c r="A27" s="1623" t="s">
        <v>1866</v>
      </c>
      <c r="B27" s="459" t="s">
        <v>510</v>
      </c>
      <c r="C27" s="2984">
        <f>ROUND(F27/(1+'数据-取费表'!C42),4)</f>
        <v>9.0800000000000006E-2</v>
      </c>
      <c r="D27" s="462" t="s">
        <v>2827</v>
      </c>
      <c r="E27" s="462"/>
      <c r="F27" s="466">
        <f>'数据-取费表'!B41</f>
        <v>9.8999999999999991E-2</v>
      </c>
      <c r="G27" s="1946" t="s">
        <v>2289</v>
      </c>
      <c r="H27" s="447"/>
      <c r="I27" s="447"/>
      <c r="J27" s="447"/>
      <c r="K27" s="448"/>
    </row>
    <row r="28" spans="1:14" s="2107" customFormat="1" ht="13.5" customHeight="1">
      <c r="A28" s="1623" t="s">
        <v>1867</v>
      </c>
      <c r="B28" s="476" t="s">
        <v>511</v>
      </c>
      <c r="C28" s="470">
        <f ca="1">ROUND((C18+C19+C21+C24)/(1-C20-D21-D24-C27),0)</f>
        <v>242285</v>
      </c>
      <c r="D28" s="477"/>
      <c r="E28" s="469"/>
      <c r="F28" s="471"/>
      <c r="G28" s="1323" t="s">
        <v>2432</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7" t="s">
        <v>1864</v>
      </c>
      <c r="B31" s="1326"/>
      <c r="C31" s="500">
        <f>ROUND(C6*F31/(1+'数据-取费表'!C42),0)</f>
        <v>0</v>
      </c>
      <c r="D31" s="1327"/>
      <c r="E31" s="1327"/>
      <c r="F31" s="501">
        <f>'数据-取费表'!B41</f>
        <v>9.8999999999999991E-2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520</v>
      </c>
      <c r="B6" s="513"/>
      <c r="C6" s="3392" t="s">
        <v>521</v>
      </c>
      <c r="D6" s="3393"/>
      <c r="E6" s="3417" t="s">
        <v>522</v>
      </c>
      <c r="F6" s="3418"/>
      <c r="G6" s="3392" t="s">
        <v>523</v>
      </c>
      <c r="H6" s="3393"/>
      <c r="I6" s="3392" t="s">
        <v>524</v>
      </c>
      <c r="J6" s="3393"/>
      <c r="K6" s="514" t="s">
        <v>525</v>
      </c>
      <c r="L6" s="2119"/>
      <c r="M6" s="2120"/>
      <c r="N6" s="2120"/>
      <c r="O6" s="2120"/>
      <c r="P6" s="3394" t="s">
        <v>526</v>
      </c>
      <c r="Q6" s="3395"/>
      <c r="R6" s="3380" t="s">
        <v>522</v>
      </c>
      <c r="S6" s="3381"/>
      <c r="T6" s="3380" t="s">
        <v>523</v>
      </c>
      <c r="U6" s="3381"/>
      <c r="V6" s="3400" t="s">
        <v>524</v>
      </c>
      <c r="W6" s="3400"/>
      <c r="X6" s="1554"/>
      <c r="Y6" s="3380" t="s">
        <v>526</v>
      </c>
      <c r="Z6" s="3381"/>
      <c r="AA6" s="3375" t="s">
        <v>522</v>
      </c>
      <c r="AB6" s="3376" t="s">
        <v>523</v>
      </c>
      <c r="AC6" s="3375" t="s">
        <v>524</v>
      </c>
    </row>
    <row r="7" spans="1:29" ht="15">
      <c r="A7" s="515"/>
      <c r="B7" s="516"/>
      <c r="C7" s="3405" t="s">
        <v>2925</v>
      </c>
      <c r="D7" s="3404"/>
      <c r="E7" s="3419" t="s">
        <v>2926</v>
      </c>
      <c r="F7" s="3420"/>
      <c r="G7" s="3405" t="s">
        <v>2927</v>
      </c>
      <c r="H7" s="3404"/>
      <c r="I7" s="3405" t="s">
        <v>2928</v>
      </c>
      <c r="J7" s="3404"/>
      <c r="K7" s="514"/>
      <c r="L7" s="2119"/>
      <c r="M7" s="2120"/>
      <c r="N7" s="2120"/>
      <c r="O7" s="2120"/>
      <c r="P7" s="3396"/>
      <c r="Q7" s="3397"/>
      <c r="R7" s="3382"/>
      <c r="S7" s="3383"/>
      <c r="T7" s="3382"/>
      <c r="U7" s="3383"/>
      <c r="V7" s="3400"/>
      <c r="W7" s="3400"/>
      <c r="X7" s="1554"/>
      <c r="Y7" s="3382"/>
      <c r="Z7" s="3383"/>
      <c r="AA7" s="3376"/>
      <c r="AB7" s="3376"/>
      <c r="AC7" s="3376"/>
    </row>
    <row r="8" spans="1:29" ht="15.75" thickBot="1">
      <c r="A8" s="517"/>
      <c r="B8" s="518"/>
      <c r="C8" s="3401" t="s">
        <v>2929</v>
      </c>
      <c r="D8" s="3402"/>
      <c r="E8" s="3421" t="s">
        <v>2929</v>
      </c>
      <c r="F8" s="3422"/>
      <c r="G8" s="3401" t="s">
        <v>2929</v>
      </c>
      <c r="H8" s="3402"/>
      <c r="I8" s="3401" t="s">
        <v>2929</v>
      </c>
      <c r="J8" s="3402"/>
      <c r="K8" s="514" t="s">
        <v>527</v>
      </c>
      <c r="L8" s="2119"/>
      <c r="M8" s="2120"/>
      <c r="N8" s="2120"/>
      <c r="O8" s="2120"/>
      <c r="P8" s="3398"/>
      <c r="Q8" s="3399"/>
      <c r="R8" s="3382"/>
      <c r="S8" s="3383"/>
      <c r="T8" s="3384"/>
      <c r="U8" s="3385"/>
      <c r="V8" s="3400"/>
      <c r="W8" s="3400"/>
      <c r="X8" s="1554"/>
      <c r="Y8" s="3384"/>
      <c r="Z8" s="3385"/>
      <c r="AA8" s="3377"/>
      <c r="AB8" s="3377"/>
      <c r="AC8" s="3377"/>
    </row>
    <row r="9" spans="1:29" s="1216" customFormat="1" ht="15.75" thickBot="1">
      <c r="A9" s="2868"/>
      <c r="B9" s="2875" t="s">
        <v>528</v>
      </c>
      <c r="C9" s="519">
        <f>'数据-取费表'!B2</f>
        <v>43606</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8" t="s">
        <v>529</v>
      </c>
      <c r="Q9" s="3387"/>
      <c r="R9" s="1555" t="s">
        <v>8</v>
      </c>
      <c r="S9" s="1556">
        <f t="shared" ref="S9:S17" si="0">F9</f>
        <v>0</v>
      </c>
      <c r="T9" s="1555" t="s">
        <v>8</v>
      </c>
      <c r="U9" s="1556">
        <f t="shared" ref="U9:U17" si="1">H9</f>
        <v>0</v>
      </c>
      <c r="V9" s="1555" t="s">
        <v>8</v>
      </c>
      <c r="W9" s="1556">
        <f t="shared" ref="W9:W17" si="2">J9</f>
        <v>0</v>
      </c>
      <c r="X9" s="1557"/>
      <c r="Y9" s="3378" t="s">
        <v>529</v>
      </c>
      <c r="Z9" s="3379"/>
      <c r="AA9" s="1558" t="e">
        <f>D9/F9</f>
        <v>#DIV/0!</v>
      </c>
      <c r="AB9" s="1558" t="e">
        <f>D9/H9</f>
        <v>#DIV/0!</v>
      </c>
      <c r="AC9" s="1558" t="e">
        <f>D9/J9</f>
        <v>#DIV/0!</v>
      </c>
    </row>
    <row r="10" spans="1:29" s="1216" customFormat="1" ht="15.75" thickBot="1">
      <c r="A10" s="2869"/>
      <c r="B10" s="287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8" t="s">
        <v>532</v>
      </c>
      <c r="Q10" s="3379"/>
      <c r="R10" s="1555" t="s">
        <v>8</v>
      </c>
      <c r="S10" s="1556">
        <f t="shared" si="0"/>
        <v>0</v>
      </c>
      <c r="T10" s="1555" t="s">
        <v>8</v>
      </c>
      <c r="U10" s="1556">
        <f t="shared" si="1"/>
        <v>0</v>
      </c>
      <c r="V10" s="1555" t="s">
        <v>8</v>
      </c>
      <c r="W10" s="1556">
        <f t="shared" si="2"/>
        <v>0</v>
      </c>
      <c r="X10" s="1557"/>
      <c r="Y10" s="3378" t="s">
        <v>532</v>
      </c>
      <c r="Z10" s="3379"/>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6" t="s">
        <v>534</v>
      </c>
      <c r="Q11" s="1147" t="str">
        <f t="shared" ref="Q11:Q17" si="6">B11</f>
        <v>用途</v>
      </c>
      <c r="R11" s="1555" t="s">
        <v>8</v>
      </c>
      <c r="S11" s="1556">
        <f t="shared" si="0"/>
        <v>100</v>
      </c>
      <c r="T11" s="1555" t="s">
        <v>8</v>
      </c>
      <c r="U11" s="1556">
        <f t="shared" si="1"/>
        <v>100</v>
      </c>
      <c r="V11" s="1555" t="s">
        <v>8</v>
      </c>
      <c r="W11" s="1556">
        <f t="shared" si="2"/>
        <v>100</v>
      </c>
      <c r="X11" s="1557"/>
      <c r="Y11" s="3343" t="s">
        <v>535</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86"/>
      <c r="Q12" s="1147" t="str">
        <f t="shared" si="6"/>
        <v>土地使用年限（年）</v>
      </c>
      <c r="R12" s="1555" t="s">
        <v>8</v>
      </c>
      <c r="S12" s="1556">
        <f t="shared" si="0"/>
        <v>104</v>
      </c>
      <c r="T12" s="1555" t="s">
        <v>8</v>
      </c>
      <c r="U12" s="1556">
        <f t="shared" si="1"/>
        <v>104</v>
      </c>
      <c r="V12" s="1555" t="s">
        <v>8</v>
      </c>
      <c r="W12" s="1556">
        <f t="shared" si="2"/>
        <v>104</v>
      </c>
      <c r="X12" s="1557"/>
      <c r="Y12" s="3343"/>
      <c r="Z12" s="1146" t="str">
        <f t="shared" si="7"/>
        <v>土地使用年限（年）</v>
      </c>
      <c r="AA12" s="1558">
        <f t="shared" si="3"/>
        <v>0.96153846153846156</v>
      </c>
      <c r="AB12" s="1558">
        <f t="shared" si="4"/>
        <v>0.96153846153846156</v>
      </c>
      <c r="AC12" s="1558">
        <f t="shared" si="5"/>
        <v>0.96153846153846156</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6"/>
      <c r="Q13" s="1147" t="str">
        <f t="shared" si="6"/>
        <v>容积率</v>
      </c>
      <c r="R13" s="1555" t="s">
        <v>8</v>
      </c>
      <c r="S13" s="1556" t="e">
        <f t="shared" si="0"/>
        <v>#N/A</v>
      </c>
      <c r="T13" s="1555" t="s">
        <v>8</v>
      </c>
      <c r="U13" s="1556" t="e">
        <f t="shared" si="1"/>
        <v>#N/A</v>
      </c>
      <c r="V13" s="1555" t="s">
        <v>8</v>
      </c>
      <c r="W13" s="1556" t="e">
        <f t="shared" si="2"/>
        <v>#N/A</v>
      </c>
      <c r="X13" s="1557"/>
      <c r="Y13" s="334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6"/>
      <c r="Q15" s="1147">
        <f t="shared" si="6"/>
        <v>111</v>
      </c>
      <c r="R15" s="1555" t="s">
        <v>8</v>
      </c>
      <c r="S15" s="1556">
        <f t="shared" si="0"/>
        <v>100</v>
      </c>
      <c r="T15" s="1555" t="s">
        <v>8</v>
      </c>
      <c r="U15" s="1556">
        <f t="shared" si="1"/>
        <v>100</v>
      </c>
      <c r="V15" s="1555" t="s">
        <v>8</v>
      </c>
      <c r="W15" s="1556">
        <f t="shared" si="2"/>
        <v>100</v>
      </c>
      <c r="X15" s="1557"/>
      <c r="Y15" s="3343"/>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6"/>
      <c r="Q16" s="1147">
        <f t="shared" si="6"/>
        <v>111</v>
      </c>
      <c r="R16" s="1555" t="s">
        <v>8</v>
      </c>
      <c r="S16" s="1556">
        <f t="shared" si="0"/>
        <v>100</v>
      </c>
      <c r="T16" s="1555" t="s">
        <v>8</v>
      </c>
      <c r="U16" s="1556">
        <f t="shared" si="1"/>
        <v>100</v>
      </c>
      <c r="V16" s="1555" t="s">
        <v>8</v>
      </c>
      <c r="W16" s="1556">
        <f t="shared" si="2"/>
        <v>100</v>
      </c>
      <c r="X16" s="1557"/>
      <c r="Y16" s="3343"/>
      <c r="Z16" s="1146">
        <f t="shared" si="7"/>
        <v>111</v>
      </c>
      <c r="AA16" s="1558">
        <f t="shared" si="3"/>
        <v>1</v>
      </c>
      <c r="AB16" s="1558">
        <f t="shared" si="4"/>
        <v>1</v>
      </c>
      <c r="AC16" s="1558">
        <f t="shared" si="5"/>
        <v>1</v>
      </c>
    </row>
    <row r="17" spans="1:29" ht="57">
      <c r="A17" s="2866"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8" t="s">
        <v>539</v>
      </c>
      <c r="Q17" s="1559" t="str">
        <f t="shared" si="6"/>
        <v>产业集聚程度</v>
      </c>
      <c r="R17" s="1560" t="s">
        <v>8</v>
      </c>
      <c r="S17" s="1561">
        <f t="shared" si="0"/>
        <v>100</v>
      </c>
      <c r="T17" s="1560" t="s">
        <v>8</v>
      </c>
      <c r="U17" s="1561">
        <f t="shared" si="1"/>
        <v>100</v>
      </c>
      <c r="V17" s="1560" t="s">
        <v>8</v>
      </c>
      <c r="W17" s="1561">
        <f t="shared" si="2"/>
        <v>100</v>
      </c>
      <c r="X17" s="1554"/>
      <c r="Y17" s="3388"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9"/>
      <c r="Q18" s="1559"/>
      <c r="R18" s="1560"/>
      <c r="S18" s="1561"/>
      <c r="T18" s="1560"/>
      <c r="U18" s="1561"/>
      <c r="V18" s="1560"/>
      <c r="W18" s="1561"/>
      <c r="X18" s="1554"/>
      <c r="Y18" s="3389"/>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9"/>
      <c r="Q19" s="1559" t="str">
        <f>B19</f>
        <v>交通便捷度</v>
      </c>
      <c r="R19" s="1560" t="s">
        <v>8</v>
      </c>
      <c r="S19" s="1561">
        <f>F19</f>
        <v>100</v>
      </c>
      <c r="T19" s="1560" t="s">
        <v>8</v>
      </c>
      <c r="U19" s="1561">
        <f>H19</f>
        <v>100</v>
      </c>
      <c r="V19" s="1560" t="s">
        <v>8</v>
      </c>
      <c r="W19" s="1561">
        <f>J19</f>
        <v>100</v>
      </c>
      <c r="X19" s="1554"/>
      <c r="Y19" s="338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9"/>
      <c r="Q21" s="1559" t="str">
        <f t="shared" ref="Q21:Q35" si="8">B21</f>
        <v>区域土地利用方向</v>
      </c>
      <c r="R21" s="1560" t="s">
        <v>8</v>
      </c>
      <c r="S21" s="1561">
        <f>F21</f>
        <v>100</v>
      </c>
      <c r="T21" s="1560" t="s">
        <v>8</v>
      </c>
      <c r="U21" s="1561">
        <f>H21</f>
        <v>100</v>
      </c>
      <c r="V21" s="1560" t="s">
        <v>8</v>
      </c>
      <c r="W21" s="1561">
        <f>J21</f>
        <v>100</v>
      </c>
      <c r="X21" s="1554"/>
      <c r="Y21" s="338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9"/>
      <c r="Q22" s="1559"/>
      <c r="R22" s="1560"/>
      <c r="S22" s="1561"/>
      <c r="T22" s="1560"/>
      <c r="U22" s="1561"/>
      <c r="V22" s="1560"/>
      <c r="W22" s="1561"/>
      <c r="X22" s="1554"/>
      <c r="Y22" s="3389"/>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9"/>
      <c r="Q23" s="1559" t="str">
        <f t="shared" si="8"/>
        <v>环境状况</v>
      </c>
      <c r="R23" s="1560" t="s">
        <v>8</v>
      </c>
      <c r="S23" s="1561">
        <f>F23</f>
        <v>100</v>
      </c>
      <c r="T23" s="1560" t="s">
        <v>8</v>
      </c>
      <c r="U23" s="1561">
        <f>H23</f>
        <v>100</v>
      </c>
      <c r="V23" s="1560" t="s">
        <v>8</v>
      </c>
      <c r="W23" s="1561">
        <f>J23</f>
        <v>100</v>
      </c>
      <c r="X23" s="1554"/>
      <c r="Y23" s="338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9"/>
      <c r="Q24" s="1559"/>
      <c r="R24" s="1560"/>
      <c r="S24" s="1561"/>
      <c r="T24" s="1560"/>
      <c r="U24" s="1561"/>
      <c r="V24" s="1560"/>
      <c r="W24" s="1561"/>
      <c r="X24" s="1554"/>
      <c r="Y24" s="3389"/>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9"/>
      <c r="Q25" s="1147" t="str">
        <f t="shared" si="8"/>
        <v>公共配套设施</v>
      </c>
      <c r="R25" s="1555" t="s">
        <v>8</v>
      </c>
      <c r="S25" s="1556">
        <f>F25</f>
        <v>100</v>
      </c>
      <c r="T25" s="1555" t="s">
        <v>8</v>
      </c>
      <c r="U25" s="1556">
        <f>H25</f>
        <v>100</v>
      </c>
      <c r="V25" s="1555" t="s">
        <v>8</v>
      </c>
      <c r="W25" s="1556">
        <f>J25</f>
        <v>100</v>
      </c>
      <c r="X25" s="1557"/>
      <c r="Y25" s="338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9"/>
      <c r="Q26" s="1147"/>
      <c r="R26" s="1555"/>
      <c r="S26" s="1556"/>
      <c r="T26" s="1555"/>
      <c r="U26" s="1556"/>
      <c r="V26" s="1555"/>
      <c r="W26" s="1556"/>
      <c r="X26" s="1557"/>
      <c r="Y26" s="3389"/>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9"/>
      <c r="Q27" s="2543" t="str">
        <f t="shared" ref="Q27" si="9">B27</f>
        <v>基础设施水平</v>
      </c>
      <c r="R27" s="1555" t="s">
        <v>8</v>
      </c>
      <c r="S27" s="1556">
        <f>F27</f>
        <v>100</v>
      </c>
      <c r="T27" s="1555" t="s">
        <v>8</v>
      </c>
      <c r="U27" s="1556">
        <f>H27</f>
        <v>100</v>
      </c>
      <c r="V27" s="1555" t="s">
        <v>8</v>
      </c>
      <c r="W27" s="1556">
        <f>J27</f>
        <v>100</v>
      </c>
      <c r="X27" s="1557"/>
      <c r="Y27" s="338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9"/>
      <c r="Q28" s="2543"/>
      <c r="R28" s="1555"/>
      <c r="S28" s="1556"/>
      <c r="T28" s="1555"/>
      <c r="U28" s="1556"/>
      <c r="V28" s="1555"/>
      <c r="W28" s="1556"/>
      <c r="X28" s="1557"/>
      <c r="Y28" s="3389"/>
      <c r="Z28" s="2540"/>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9"/>
      <c r="Z29" s="1562" t="str">
        <f t="shared" ref="Z29:Z42" si="13">Q29</f>
        <v>临街状况</v>
      </c>
      <c r="AA29" s="1563">
        <f t="shared" si="3"/>
        <v>1</v>
      </c>
      <c r="AB29" s="1563">
        <f t="shared" si="4"/>
        <v>1</v>
      </c>
      <c r="AC29" s="1563">
        <f t="shared" si="5"/>
        <v>1</v>
      </c>
    </row>
    <row r="30" spans="1:29" ht="27">
      <c r="A30" s="532"/>
      <c r="B30" s="922" t="s">
        <v>547</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9"/>
      <c r="Q30" s="1559" t="str">
        <f t="shared" si="8"/>
        <v>毗邻道路的类型与等级</v>
      </c>
      <c r="R30" s="1560" t="s">
        <v>8</v>
      </c>
      <c r="S30" s="1561">
        <f t="shared" si="10"/>
        <v>100</v>
      </c>
      <c r="T30" s="1560" t="s">
        <v>8</v>
      </c>
      <c r="U30" s="1561">
        <f t="shared" si="11"/>
        <v>100</v>
      </c>
      <c r="V30" s="1560" t="s">
        <v>8</v>
      </c>
      <c r="W30" s="1561">
        <f t="shared" si="12"/>
        <v>100</v>
      </c>
      <c r="X30" s="1554"/>
      <c r="Y30" s="338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9"/>
      <c r="Q31" s="1559"/>
      <c r="R31" s="1560"/>
      <c r="S31" s="1561"/>
      <c r="T31" s="1560"/>
      <c r="U31" s="1561"/>
      <c r="V31" s="1560"/>
      <c r="W31" s="1561"/>
      <c r="X31" s="1554"/>
      <c r="Y31" s="3389"/>
      <c r="Z31" s="1562"/>
      <c r="AA31" s="1563">
        <v>1</v>
      </c>
      <c r="AB31" s="1563">
        <v>1</v>
      </c>
      <c r="AC31" s="1563">
        <v>1</v>
      </c>
    </row>
    <row r="32" spans="1:29" ht="15">
      <c r="A32" s="532"/>
      <c r="B32" s="527" t="s">
        <v>548</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9"/>
      <c r="Q32" s="1559" t="str">
        <f t="shared" si="8"/>
        <v>土地级别</v>
      </c>
      <c r="R32" s="1560" t="s">
        <v>8</v>
      </c>
      <c r="S32" s="1561">
        <f t="shared" si="10"/>
        <v>100</v>
      </c>
      <c r="T32" s="1560" t="s">
        <v>8</v>
      </c>
      <c r="U32" s="1561">
        <f t="shared" si="11"/>
        <v>100</v>
      </c>
      <c r="V32" s="1560" t="s">
        <v>8</v>
      </c>
      <c r="W32" s="1561">
        <f t="shared" si="12"/>
        <v>100</v>
      </c>
      <c r="X32" s="1554"/>
      <c r="Y32" s="338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9"/>
      <c r="Q33" s="1559">
        <f t="shared" si="8"/>
        <v>111</v>
      </c>
      <c r="R33" s="1560" t="s">
        <v>8</v>
      </c>
      <c r="S33" s="1561">
        <f t="shared" si="10"/>
        <v>100</v>
      </c>
      <c r="T33" s="1560" t="s">
        <v>8</v>
      </c>
      <c r="U33" s="1561">
        <f t="shared" si="11"/>
        <v>100</v>
      </c>
      <c r="V33" s="1560" t="s">
        <v>8</v>
      </c>
      <c r="W33" s="1561">
        <f t="shared" si="12"/>
        <v>100</v>
      </c>
      <c r="X33" s="1554"/>
      <c r="Y33" s="338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0" t="s">
        <v>549</v>
      </c>
      <c r="Q34" s="1559">
        <f t="shared" si="8"/>
        <v>111</v>
      </c>
      <c r="R34" s="1560" t="s">
        <v>8</v>
      </c>
      <c r="S34" s="1561">
        <f t="shared" si="10"/>
        <v>100</v>
      </c>
      <c r="T34" s="1560" t="s">
        <v>8</v>
      </c>
      <c r="U34" s="1561">
        <f t="shared" si="11"/>
        <v>100</v>
      </c>
      <c r="V34" s="1560" t="s">
        <v>8</v>
      </c>
      <c r="W34" s="1561">
        <f t="shared" si="12"/>
        <v>100</v>
      </c>
      <c r="X34" s="1554"/>
      <c r="Y34" s="3391" t="s">
        <v>549</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1"/>
      <c r="Q35" s="1559">
        <f t="shared" si="8"/>
        <v>111</v>
      </c>
      <c r="R35" s="1564" t="s">
        <v>8</v>
      </c>
      <c r="S35" s="1565">
        <f t="shared" si="10"/>
        <v>100</v>
      </c>
      <c r="T35" s="1564" t="s">
        <v>8</v>
      </c>
      <c r="U35" s="1565">
        <f t="shared" si="11"/>
        <v>100</v>
      </c>
      <c r="V35" s="1564" t="s">
        <v>8</v>
      </c>
      <c r="W35" s="1565">
        <f t="shared" si="12"/>
        <v>100</v>
      </c>
      <c r="X35" s="1566"/>
      <c r="Y35" s="3391"/>
      <c r="Z35" s="1567">
        <f t="shared" si="13"/>
        <v>111</v>
      </c>
      <c r="AA35" s="1563">
        <f t="shared" si="3"/>
        <v>1</v>
      </c>
      <c r="AB35" s="1563">
        <f t="shared" si="4"/>
        <v>1</v>
      </c>
      <c r="AC35" s="1563">
        <f t="shared" si="5"/>
        <v>1</v>
      </c>
    </row>
    <row r="36" spans="1:29" ht="15">
      <c r="A36" s="2863"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1"/>
      <c r="Q36" s="1559" t="str">
        <f>B36</f>
        <v>宗地面积</v>
      </c>
      <c r="R36" s="1560" t="s">
        <v>8</v>
      </c>
      <c r="S36" s="1561" t="e">
        <f t="shared" si="10"/>
        <v>#N/A</v>
      </c>
      <c r="T36" s="1560" t="s">
        <v>8</v>
      </c>
      <c r="U36" s="1561" t="e">
        <f t="shared" si="11"/>
        <v>#N/A</v>
      </c>
      <c r="V36" s="1560" t="s">
        <v>8</v>
      </c>
      <c r="W36" s="1561" t="e">
        <f t="shared" si="12"/>
        <v>#N/A</v>
      </c>
      <c r="X36" s="1554"/>
      <c r="Y36" s="3391"/>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1"/>
      <c r="Q37" s="1559" t="str">
        <f t="shared" ref="Q37:Q42" si="14">B37</f>
        <v>宗地形状</v>
      </c>
      <c r="R37" s="1560" t="s">
        <v>8</v>
      </c>
      <c r="S37" s="1561">
        <f t="shared" si="10"/>
        <v>100</v>
      </c>
      <c r="T37" s="1560" t="s">
        <v>8</v>
      </c>
      <c r="U37" s="1561">
        <f t="shared" si="11"/>
        <v>100</v>
      </c>
      <c r="V37" s="1560" t="s">
        <v>8</v>
      </c>
      <c r="W37" s="1561">
        <f t="shared" si="12"/>
        <v>100</v>
      </c>
      <c r="X37" s="1554"/>
      <c r="Y37" s="3391"/>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1"/>
      <c r="Q38" s="1559" t="str">
        <f t="shared" si="14"/>
        <v>宗地开发程度</v>
      </c>
      <c r="R38" s="1555" t="s">
        <v>8</v>
      </c>
      <c r="S38" s="1556">
        <f t="shared" si="10"/>
        <v>100</v>
      </c>
      <c r="T38" s="1555" t="s">
        <v>8</v>
      </c>
      <c r="U38" s="1556">
        <f t="shared" si="11"/>
        <v>100</v>
      </c>
      <c r="V38" s="1555" t="s">
        <v>8</v>
      </c>
      <c r="W38" s="1556">
        <f t="shared" si="12"/>
        <v>100</v>
      </c>
      <c r="X38" s="1557"/>
      <c r="Y38" s="3391"/>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1" t="s">
        <v>600</v>
      </c>
      <c r="Q39" s="1559" t="str">
        <f t="shared" si="14"/>
        <v>工程地质条件</v>
      </c>
      <c r="R39" s="1560" t="s">
        <v>8</v>
      </c>
      <c r="S39" s="1561">
        <f t="shared" si="10"/>
        <v>100</v>
      </c>
      <c r="T39" s="1560" t="s">
        <v>8</v>
      </c>
      <c r="U39" s="1561">
        <f t="shared" si="11"/>
        <v>100</v>
      </c>
      <c r="V39" s="1560" t="s">
        <v>8</v>
      </c>
      <c r="W39" s="1561">
        <f t="shared" si="12"/>
        <v>100</v>
      </c>
      <c r="X39" s="1554"/>
      <c r="Y39" s="3391"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1"/>
      <c r="Q40" s="1559">
        <f t="shared" si="14"/>
        <v>111</v>
      </c>
      <c r="R40" s="1560" t="s">
        <v>8</v>
      </c>
      <c r="S40" s="1561">
        <f t="shared" si="10"/>
        <v>100</v>
      </c>
      <c r="T40" s="1560" t="s">
        <v>8</v>
      </c>
      <c r="U40" s="1561">
        <f t="shared" si="11"/>
        <v>100</v>
      </c>
      <c r="V40" s="1560" t="s">
        <v>8</v>
      </c>
      <c r="W40" s="1561">
        <f t="shared" si="12"/>
        <v>100</v>
      </c>
      <c r="X40" s="1554"/>
      <c r="Y40" s="339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1"/>
      <c r="Q41" s="1559">
        <f t="shared" si="14"/>
        <v>111</v>
      </c>
      <c r="R41" s="1560" t="s">
        <v>8</v>
      </c>
      <c r="S41" s="1561">
        <f t="shared" si="10"/>
        <v>100</v>
      </c>
      <c r="T41" s="1560" t="s">
        <v>8</v>
      </c>
      <c r="U41" s="1561">
        <f t="shared" si="11"/>
        <v>100</v>
      </c>
      <c r="V41" s="1560" t="s">
        <v>8</v>
      </c>
      <c r="W41" s="1561">
        <f t="shared" si="12"/>
        <v>100</v>
      </c>
      <c r="X41" s="1554"/>
      <c r="Y41" s="339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1"/>
      <c r="Q42" s="1559">
        <f t="shared" si="14"/>
        <v>111</v>
      </c>
      <c r="R42" s="1564" t="s">
        <v>8</v>
      </c>
      <c r="S42" s="1565">
        <f t="shared" si="10"/>
        <v>100</v>
      </c>
      <c r="T42" s="1564" t="s">
        <v>8</v>
      </c>
      <c r="U42" s="1565">
        <f t="shared" si="11"/>
        <v>100</v>
      </c>
      <c r="V42" s="1564" t="s">
        <v>8</v>
      </c>
      <c r="W42" s="1565">
        <f t="shared" si="12"/>
        <v>100</v>
      </c>
      <c r="X42" s="1566"/>
      <c r="Y42" s="3391"/>
      <c r="Z42" s="1567">
        <f t="shared" si="13"/>
        <v>111</v>
      </c>
      <c r="AA42" s="1563">
        <f t="shared" si="3"/>
        <v>1</v>
      </c>
      <c r="AB42" s="1563">
        <f t="shared" si="4"/>
        <v>1</v>
      </c>
      <c r="AC42" s="1563">
        <f t="shared" si="5"/>
        <v>1</v>
      </c>
    </row>
    <row r="43" spans="1:29" ht="15">
      <c r="A43" s="607" t="s">
        <v>555</v>
      </c>
      <c r="B43" s="608" t="s">
        <v>2930</v>
      </c>
      <c r="C43" s="609" t="s">
        <v>1</v>
      </c>
      <c r="D43" s="610"/>
      <c r="E43" s="611"/>
      <c r="F43" s="612"/>
      <c r="G43" s="613"/>
      <c r="H43" s="614"/>
      <c r="I43" s="611"/>
      <c r="J43" s="614"/>
      <c r="K43" s="1336"/>
      <c r="L43" s="2130"/>
      <c r="M43" s="2120"/>
      <c r="N43" s="2120"/>
      <c r="O43" s="2131"/>
      <c r="P43" s="3386" t="str">
        <f>A43</f>
        <v>成交单价</v>
      </c>
      <c r="Q43" s="3386"/>
      <c r="R43" s="3400">
        <f>E43</f>
        <v>0</v>
      </c>
      <c r="S43" s="3400"/>
      <c r="T43" s="3400">
        <f>G43</f>
        <v>0</v>
      </c>
      <c r="U43" s="3400"/>
      <c r="V43" s="3400">
        <f>I43</f>
        <v>0</v>
      </c>
      <c r="W43" s="3400"/>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86" t="str">
        <f>A44</f>
        <v>比较价格（元/平方米）</v>
      </c>
      <c r="Q44" s="3386"/>
      <c r="R44" s="3411" t="e">
        <f>ROUND(PRODUCT(R43,AA9:AA42),0)</f>
        <v>#DIV/0!</v>
      </c>
      <c r="S44" s="3411"/>
      <c r="T44" s="3411" t="e">
        <f>ROUND(PRODUCT(T43,AB9:AB42),0)</f>
        <v>#DIV/0!</v>
      </c>
      <c r="U44" s="3411"/>
      <c r="V44" s="3411" t="e">
        <f>ROUND(PRODUCT(V43,AC9:AC42),0)</f>
        <v>#DIV/0!</v>
      </c>
      <c r="W44" s="3411"/>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408" t="str">
        <f>A45</f>
        <v>估价对象XX用房的比较价格（楼面单价，元/平方米）</v>
      </c>
      <c r="Q45" s="3409"/>
      <c r="R45" s="3410" t="e">
        <f>ROUND(AVERAGE(R44:V44),0)</f>
        <v>#DIV/0!</v>
      </c>
      <c r="S45" s="3410"/>
      <c r="T45" s="3410"/>
      <c r="U45" s="3410"/>
      <c r="V45" s="3410"/>
      <c r="W45" s="341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559</v>
      </c>
      <c r="B52" s="630" t="s">
        <v>560</v>
      </c>
      <c r="C52" s="1547" t="s">
        <v>1723</v>
      </c>
      <c r="D52" s="2213" t="s">
        <v>2291</v>
      </c>
      <c r="E52" s="631" t="s">
        <v>561</v>
      </c>
      <c r="F52" s="1937" t="s">
        <v>562</v>
      </c>
      <c r="G52" s="3412" t="s">
        <v>2282</v>
      </c>
      <c r="H52" s="3413"/>
      <c r="I52" s="1938" t="s">
        <v>1944</v>
      </c>
      <c r="J52" s="1542" t="str">
        <f>项目基本情况!F41</f>
        <v>河北省廊坊市</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563</v>
      </c>
      <c r="B53" s="634" t="e">
        <f>C45</f>
        <v>#DIV/0!</v>
      </c>
      <c r="C53" s="635">
        <v>1</v>
      </c>
      <c r="D53" s="2214">
        <v>1</v>
      </c>
      <c r="E53" s="635">
        <f>'数据-汇总表'!E8+'数据-汇总表'!E9</f>
        <v>356979.4</v>
      </c>
      <c r="F53" s="1936" t="e">
        <f t="shared" ref="F53:F62" si="15">ROUND(B53*E53/10000,0)</f>
        <v>#DIV/0!</v>
      </c>
      <c r="G53" s="3414"/>
      <c r="H53" s="341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564</v>
      </c>
      <c r="B54" s="638" t="e">
        <f>ROUND($C$45*C54*D54,0)</f>
        <v>#DIV/0!</v>
      </c>
      <c r="C54" s="378">
        <f t="shared" ref="C54:C62" si="16">IF($C$52="北京市系数",I54,J54)</f>
        <v>0</v>
      </c>
      <c r="D54" s="2215">
        <v>0.25</v>
      </c>
      <c r="E54" s="639"/>
      <c r="F54" s="1936" t="e">
        <f t="shared" si="15"/>
        <v>#DIV/0!</v>
      </c>
      <c r="G54" s="3416"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565</v>
      </c>
      <c r="B55" s="638" t="e">
        <f t="shared" ref="B55:B62" si="17">ROUND($C$45*C55*D55,0)</f>
        <v>#DIV/0!</v>
      </c>
      <c r="C55" s="378">
        <f t="shared" si="16"/>
        <v>0</v>
      </c>
      <c r="D55" s="2215">
        <v>0.25</v>
      </c>
      <c r="E55" s="639"/>
      <c r="F55" s="1936" t="e">
        <f t="shared" si="15"/>
        <v>#DIV/0!</v>
      </c>
      <c r="G55" s="341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566</v>
      </c>
      <c r="B56" s="638" t="e">
        <f t="shared" si="17"/>
        <v>#DIV/0!</v>
      </c>
      <c r="C56" s="378">
        <f t="shared" si="16"/>
        <v>0</v>
      </c>
      <c r="D56" s="2215">
        <v>0.25</v>
      </c>
      <c r="E56" s="639"/>
      <c r="F56" s="1936" t="e">
        <f t="shared" si="15"/>
        <v>#DIV/0!</v>
      </c>
      <c r="G56" s="341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567</v>
      </c>
      <c r="B57" s="638" t="e">
        <f t="shared" si="17"/>
        <v>#DIV/0!</v>
      </c>
      <c r="C57" s="378">
        <f t="shared" si="16"/>
        <v>0</v>
      </c>
      <c r="D57" s="2215">
        <v>0.25</v>
      </c>
      <c r="E57" s="639"/>
      <c r="F57" s="1936" t="e">
        <f t="shared" si="15"/>
        <v>#DIV/0!</v>
      </c>
      <c r="G57" s="341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569</v>
      </c>
      <c r="B60" s="638" t="e">
        <f t="shared" si="17"/>
        <v>#DIV/0!</v>
      </c>
      <c r="C60" s="378">
        <f t="shared" si="16"/>
        <v>0</v>
      </c>
      <c r="D60" s="2215">
        <v>0.25</v>
      </c>
      <c r="E60" s="641">
        <f>'数据-汇总表'!E13</f>
        <v>135260.769</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570</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571</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572</v>
      </c>
      <c r="B63" s="643" t="s">
        <v>17</v>
      </c>
      <c r="C63" s="643" t="s">
        <v>18</v>
      </c>
      <c r="D63" s="643" t="s">
        <v>2292</v>
      </c>
      <c r="E63" s="643">
        <f>IF(B43="楼面地价",SUM(E53:E62),'数据-汇总表'!D3)</f>
        <v>200833.33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574</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32" sqref="G32"/>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4"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
      <c r="A8" s="3425"/>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5" t="s">
        <v>2780</v>
      </c>
      <c r="X8" s="3436"/>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25"/>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4"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5"/>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5"/>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4"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24"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4"/>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6"/>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3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6"/>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7"/>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4" t="s">
        <v>1837</v>
      </c>
      <c r="B16" s="1424" t="s">
        <v>949</v>
      </c>
      <c r="C16" s="1052" t="e">
        <f>ROUND(IF(F17="与级别开发程度一致",0,(G17-E17)/C17),0)</f>
        <v>#DIV/0!</v>
      </c>
      <c r="D16" s="3442" t="s">
        <v>953</v>
      </c>
      <c r="E16" s="3443"/>
      <c r="F16" s="3442" t="s">
        <v>950</v>
      </c>
      <c r="G16" s="344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8"/>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43606</v>
      </c>
      <c r="H19" s="1464"/>
      <c r="I19" s="2741" t="str">
        <f>IF(H19="季度增幅（自定义）",SUMIF(N21:N24,E2,O21:O24),"")</f>
        <v/>
      </c>
      <c r="J19" s="1460"/>
      <c r="K19" s="3155"/>
      <c r="L19" s="2993" t="s">
        <v>2838</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2839</v>
      </c>
      <c r="M20" s="3164">
        <f>ROUND(SUMPRODUCT((地价!A4:A26=YEAR(G19)&amp;"-"&amp;ROUNDUP(MONTH(G19)/3,0))*(地价!B2:F2=E2)*(地价!B4:F26)),0)</f>
        <v>0</v>
      </c>
      <c r="N20" s="2746" t="s">
        <v>2643</v>
      </c>
      <c r="O20" s="2744" t="s">
        <v>2642</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2758</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2645</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1"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2984</v>
      </c>
      <c r="C41" s="839" t="e">
        <f>ROUND(POWER(1+E41,H41-G41)*(POWER(1+E41,G41)-1)/(POWER(1+E41,H41)-1),4)</f>
        <v>#DIV/0!</v>
      </c>
      <c r="D41" s="378" t="s">
        <v>2982</v>
      </c>
      <c r="E41" s="3150">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2416</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t="str">
        <f>估价对象房地状况!C19</f>
        <v>较适合</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2416</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t="str">
        <f>估价对象房地状况!C19</f>
        <v>较适合</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2416</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t="str">
        <f>估价对象房地状况!C19</f>
        <v>较适合</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2416</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9" t="s">
        <v>1632</v>
      </c>
      <c r="B90" s="3429"/>
      <c r="C90" s="3429"/>
      <c r="D90" s="3429"/>
      <c r="E90" s="3429"/>
      <c r="F90" s="3429"/>
      <c r="G90" s="3429"/>
      <c r="H90" s="3429"/>
      <c r="I90" s="3429"/>
      <c r="J90" s="3429"/>
      <c r="K90" s="2415"/>
      <c r="L90" s="2415"/>
      <c r="M90" s="2415"/>
      <c r="N90" s="2415"/>
    </row>
    <row r="91" spans="1:40">
      <c r="A91" s="3430" t="s">
        <v>1442</v>
      </c>
      <c r="B91" s="3430" t="s">
        <v>1633</v>
      </c>
      <c r="C91" s="1136" t="s">
        <v>1634</v>
      </c>
      <c r="D91" s="1137"/>
      <c r="E91" s="1137"/>
      <c r="F91" s="1137"/>
      <c r="G91" s="1137"/>
      <c r="H91" s="1137"/>
      <c r="I91" s="1137"/>
      <c r="J91" s="1138"/>
      <c r="K91" s="1130"/>
      <c r="L91" s="1130"/>
      <c r="M91" s="1130"/>
      <c r="N91" s="1130"/>
    </row>
    <row r="92" spans="1:40">
      <c r="A92" s="3430"/>
      <c r="B92" s="343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3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8"/>
      <c r="B108" s="344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3" t="s">
        <v>1638</v>
      </c>
      <c r="B110" s="3423"/>
      <c r="C110" s="3423"/>
      <c r="D110" s="3423"/>
      <c r="E110" s="3423"/>
      <c r="F110" s="3423"/>
      <c r="G110" s="3423"/>
      <c r="H110" s="3423"/>
      <c r="I110" s="3423"/>
      <c r="J110" s="3423"/>
      <c r="K110" s="2413"/>
      <c r="L110" s="2413"/>
      <c r="M110" s="2413"/>
      <c r="N110" s="2413"/>
    </row>
    <row r="112" spans="1:14" ht="12.75" thickBot="1"/>
    <row r="113" spans="1:13" ht="25.5" thickBot="1">
      <c r="A113" s="1016" t="s">
        <v>895</v>
      </c>
      <c r="B113" s="2416">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0" t="s">
        <v>1006</v>
      </c>
      <c r="B18" s="1150" t="s">
        <v>1445</v>
      </c>
      <c r="C18" s="1127" t="s">
        <v>1446</v>
      </c>
      <c r="D18" s="1128"/>
      <c r="E18" s="1150">
        <v>1</v>
      </c>
      <c r="F18" s="1129" t="s">
        <v>1447</v>
      </c>
      <c r="G18" s="1130"/>
      <c r="H18" s="1101"/>
      <c r="I18" s="1101"/>
    </row>
    <row r="19" spans="1:9" s="1585" customFormat="1" ht="19.5" customHeight="1">
      <c r="A19" s="3430"/>
      <c r="B19" s="3430" t="s">
        <v>1448</v>
      </c>
      <c r="C19" s="1127" t="s">
        <v>1449</v>
      </c>
      <c r="D19" s="1128"/>
      <c r="E19" s="1150">
        <v>0.9</v>
      </c>
      <c r="F19" s="1129" t="s">
        <v>1450</v>
      </c>
      <c r="G19" s="1130"/>
      <c r="H19" s="1101"/>
      <c r="I19" s="1101"/>
    </row>
    <row r="20" spans="1:9" s="1585" customFormat="1" ht="19.5" customHeight="1">
      <c r="A20" s="3430"/>
      <c r="B20" s="3430"/>
      <c r="C20" s="1127" t="s">
        <v>1451</v>
      </c>
      <c r="D20" s="1128"/>
      <c r="E20" s="1150">
        <v>1.1000000000000001</v>
      </c>
      <c r="F20" s="1129" t="s">
        <v>1452</v>
      </c>
      <c r="G20" s="1130"/>
      <c r="H20" s="1101"/>
      <c r="I20" s="1101"/>
    </row>
    <row r="21" spans="1:9" s="1585" customFormat="1" ht="19.5" customHeight="1">
      <c r="A21" s="3430"/>
      <c r="B21" s="3430"/>
      <c r="C21" s="1127" t="s">
        <v>1453</v>
      </c>
      <c r="D21" s="1128"/>
      <c r="E21" s="1150">
        <v>0.8</v>
      </c>
      <c r="F21" s="1129" t="s">
        <v>1454</v>
      </c>
      <c r="G21" s="1130"/>
      <c r="H21" s="1101"/>
      <c r="I21" s="1101"/>
    </row>
    <row r="22" spans="1:9" s="1585" customFormat="1" ht="19.5" customHeight="1">
      <c r="A22" s="3430"/>
      <c r="B22" s="3430"/>
      <c r="C22" s="1127" t="s">
        <v>1455</v>
      </c>
      <c r="D22" s="1128"/>
      <c r="E22" s="1150">
        <v>0.5</v>
      </c>
      <c r="F22" s="1129"/>
      <c r="G22" s="1130"/>
      <c r="H22" s="1101"/>
      <c r="I22" s="1101"/>
    </row>
    <row r="23" spans="1:9" s="1585" customFormat="1" ht="19.5" customHeight="1">
      <c r="A23" s="3430" t="s">
        <v>1028</v>
      </c>
      <c r="B23" s="1150" t="s">
        <v>1445</v>
      </c>
      <c r="C23" s="1127" t="s">
        <v>1456</v>
      </c>
      <c r="D23" s="1128"/>
      <c r="E23" s="1150">
        <v>1</v>
      </c>
      <c r="F23" s="1129" t="s">
        <v>1457</v>
      </c>
      <c r="G23" s="1130"/>
      <c r="H23" s="1101"/>
      <c r="I23" s="1101"/>
    </row>
    <row r="24" spans="1:9" s="1585" customFormat="1" ht="19.5" customHeight="1">
      <c r="A24" s="3430"/>
      <c r="B24" s="3430" t="s">
        <v>1448</v>
      </c>
      <c r="C24" s="1127" t="s">
        <v>1458</v>
      </c>
      <c r="D24" s="1128"/>
      <c r="E24" s="1150">
        <v>0.5</v>
      </c>
      <c r="F24" s="1129"/>
      <c r="G24" s="1130"/>
      <c r="H24" s="1101"/>
      <c r="I24" s="1101"/>
    </row>
    <row r="25" spans="1:9" s="1585" customFormat="1" ht="19.5" customHeight="1">
      <c r="A25" s="3430"/>
      <c r="B25" s="3430"/>
      <c r="C25" s="1127" t="s">
        <v>1459</v>
      </c>
      <c r="D25" s="1128"/>
      <c r="E25" s="1150">
        <v>1.1000000000000001</v>
      </c>
      <c r="F25" s="1129"/>
      <c r="G25" s="1130"/>
      <c r="H25" s="1101"/>
      <c r="I25" s="1101"/>
    </row>
    <row r="26" spans="1:9" s="1585" customFormat="1" ht="19.5" customHeight="1">
      <c r="A26" s="3430"/>
      <c r="B26" s="3430"/>
      <c r="C26" s="1127" t="s">
        <v>1460</v>
      </c>
      <c r="D26" s="1128"/>
      <c r="E26" s="1150">
        <v>1.1000000000000001</v>
      </c>
      <c r="F26" s="1129"/>
      <c r="G26" s="1130"/>
      <c r="H26" s="1101"/>
      <c r="I26" s="1101"/>
    </row>
    <row r="27" spans="1:9" s="1585" customFormat="1" ht="19.5" customHeight="1">
      <c r="A27" s="3430"/>
      <c r="B27" s="3430"/>
      <c r="C27" s="1127" t="s">
        <v>1461</v>
      </c>
      <c r="D27" s="1128"/>
      <c r="E27" s="1150">
        <v>0.9</v>
      </c>
      <c r="F27" s="1129" t="s">
        <v>1462</v>
      </c>
      <c r="G27" s="1130"/>
      <c r="H27" s="1101"/>
      <c r="I27" s="1101"/>
    </row>
    <row r="28" spans="1:9" s="1585" customFormat="1" ht="19.5" customHeight="1">
      <c r="A28" s="3430"/>
      <c r="B28" s="3430"/>
      <c r="C28" s="1127" t="s">
        <v>1463</v>
      </c>
      <c r="D28" s="1128"/>
      <c r="E28" s="1150">
        <v>0.9</v>
      </c>
      <c r="F28" s="1129" t="s">
        <v>1464</v>
      </c>
      <c r="G28" s="1130"/>
      <c r="H28" s="1101"/>
      <c r="I28" s="1101"/>
    </row>
    <row r="29" spans="1:9" s="1585" customFormat="1" ht="19.5" customHeight="1">
      <c r="A29" s="3430"/>
      <c r="B29" s="3430"/>
      <c r="C29" s="1127" t="s">
        <v>1465</v>
      </c>
      <c r="D29" s="1128"/>
      <c r="E29" s="1150">
        <v>0.9</v>
      </c>
      <c r="F29" s="1129" t="s">
        <v>1466</v>
      </c>
      <c r="G29" s="1130"/>
      <c r="H29" s="1101"/>
      <c r="I29" s="1101"/>
    </row>
    <row r="30" spans="1:9" s="1585" customFormat="1" ht="19.5" customHeight="1">
      <c r="A30" s="3430"/>
      <c r="B30" s="3430"/>
      <c r="C30" s="1127" t="s">
        <v>1467</v>
      </c>
      <c r="D30" s="1128"/>
      <c r="E30" s="1150">
        <v>0.9</v>
      </c>
      <c r="F30" s="1129" t="s">
        <v>1468</v>
      </c>
      <c r="G30" s="1130"/>
      <c r="H30" s="1101"/>
      <c r="I30" s="1101"/>
    </row>
    <row r="31" spans="1:9" s="1585" customFormat="1" ht="19.5" customHeight="1">
      <c r="A31" s="3430"/>
      <c r="B31" s="3430"/>
      <c r="C31" s="1127" t="s">
        <v>1469</v>
      </c>
      <c r="D31" s="1128"/>
      <c r="E31" s="1150">
        <v>0.8</v>
      </c>
      <c r="F31" s="1129" t="s">
        <v>1470</v>
      </c>
      <c r="G31" s="1130"/>
      <c r="H31" s="1101"/>
      <c r="I31" s="1101"/>
    </row>
    <row r="32" spans="1:9" s="1585" customFormat="1" ht="19.5" customHeight="1">
      <c r="A32" s="3430"/>
      <c r="B32" s="3430"/>
      <c r="C32" s="1127" t="s">
        <v>1471</v>
      </c>
      <c r="D32" s="1128"/>
      <c r="E32" s="1150">
        <v>0.8</v>
      </c>
      <c r="F32" s="1129" t="s">
        <v>1472</v>
      </c>
      <c r="G32" s="1130"/>
      <c r="H32" s="1101"/>
      <c r="I32" s="1101"/>
    </row>
    <row r="33" spans="1:9" s="1585" customFormat="1" ht="19.5" customHeight="1">
      <c r="A33" s="3430" t="s">
        <v>1473</v>
      </c>
      <c r="B33" s="1150" t="s">
        <v>1445</v>
      </c>
      <c r="C33" s="1127" t="s">
        <v>1474</v>
      </c>
      <c r="D33" s="1128"/>
      <c r="E33" s="1150">
        <v>1</v>
      </c>
      <c r="F33" s="1129" t="s">
        <v>1475</v>
      </c>
      <c r="G33" s="1130"/>
      <c r="H33" s="1101"/>
      <c r="I33" s="1101"/>
    </row>
    <row r="34" spans="1:9" s="1585" customFormat="1" ht="19.5" customHeight="1">
      <c r="A34" s="3430"/>
      <c r="B34" s="1150" t="s">
        <v>1448</v>
      </c>
      <c r="C34" s="1127" t="s">
        <v>1476</v>
      </c>
      <c r="D34" s="1128"/>
      <c r="E34" s="1150">
        <v>1.5</v>
      </c>
      <c r="F34" s="1129" t="s">
        <v>1477</v>
      </c>
      <c r="G34" s="1130"/>
      <c r="H34" s="1101"/>
      <c r="I34" s="1101"/>
    </row>
    <row r="35" spans="1:9" s="1585" customFormat="1" ht="19.5" customHeight="1">
      <c r="A35" s="3430" t="s">
        <v>1431</v>
      </c>
      <c r="B35" s="1150" t="s">
        <v>1445</v>
      </c>
      <c r="C35" s="1127" t="s">
        <v>1478</v>
      </c>
      <c r="D35" s="1128"/>
      <c r="E35" s="1150">
        <v>1</v>
      </c>
      <c r="F35" s="1129" t="s">
        <v>1479</v>
      </c>
      <c r="G35" s="1130"/>
      <c r="H35" s="1101"/>
      <c r="I35" s="1101"/>
    </row>
    <row r="36" spans="1:9" s="1585" customFormat="1" ht="19.5" customHeight="1">
      <c r="A36" s="3430"/>
      <c r="B36" s="3430" t="s">
        <v>1448</v>
      </c>
      <c r="C36" s="1127" t="s">
        <v>1480</v>
      </c>
      <c r="D36" s="1128"/>
      <c r="E36" s="1150">
        <v>1</v>
      </c>
      <c r="F36" s="1129" t="s">
        <v>1481</v>
      </c>
      <c r="G36" s="1130"/>
      <c r="H36" s="1101"/>
      <c r="I36" s="1101"/>
    </row>
    <row r="37" spans="1:9" s="1585" customFormat="1" ht="19.5" customHeight="1">
      <c r="A37" s="3430"/>
      <c r="B37" s="3430"/>
      <c r="C37" s="1127" t="s">
        <v>1482</v>
      </c>
      <c r="D37" s="1128"/>
      <c r="E37" s="1150">
        <v>1.5</v>
      </c>
      <c r="F37" s="1129" t="s">
        <v>1483</v>
      </c>
      <c r="G37" s="1130"/>
      <c r="H37" s="1101"/>
      <c r="I37" s="1101"/>
    </row>
    <row r="38" spans="1:9" s="1585" customFormat="1" ht="19.5" customHeight="1">
      <c r="A38" s="3430"/>
      <c r="B38" s="3430"/>
      <c r="C38" s="1127" t="s">
        <v>1484</v>
      </c>
      <c r="D38" s="1128"/>
      <c r="E38" s="1150">
        <v>1</v>
      </c>
      <c r="F38" s="1129" t="s">
        <v>1485</v>
      </c>
      <c r="G38" s="1130"/>
      <c r="H38" s="1101"/>
      <c r="I38" s="1101"/>
    </row>
    <row r="39" spans="1:9" s="1585" customFormat="1" ht="19.5" customHeight="1">
      <c r="A39" s="3430"/>
      <c r="B39" s="343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0" t="s">
        <v>1500</v>
      </c>
      <c r="C61" s="1064" t="s">
        <v>1501</v>
      </c>
      <c r="D61" s="1064" t="s">
        <v>1502</v>
      </c>
      <c r="E61" s="1135">
        <v>0.5</v>
      </c>
      <c r="F61" s="1150">
        <v>80</v>
      </c>
      <c r="H61" s="1101">
        <f>SUMIF(C59:C119,基准地价!C8,E59:E119)</f>
        <v>0</v>
      </c>
    </row>
    <row r="62" spans="1:8" s="1101" customFormat="1" ht="24">
      <c r="A62" s="1150">
        <v>2</v>
      </c>
      <c r="B62" s="3430"/>
      <c r="C62" s="1064" t="s">
        <v>1503</v>
      </c>
      <c r="D62" s="1064" t="s">
        <v>1504</v>
      </c>
      <c r="E62" s="1135">
        <v>0.5</v>
      </c>
      <c r="F62" s="1150">
        <v>80</v>
      </c>
    </row>
    <row r="63" spans="1:8" s="1101" customFormat="1" ht="36">
      <c r="A63" s="1150">
        <v>3</v>
      </c>
      <c r="B63" s="3430"/>
      <c r="C63" s="1064" t="s">
        <v>1505</v>
      </c>
      <c r="D63" s="1064" t="s">
        <v>1506</v>
      </c>
      <c r="E63" s="1135">
        <v>0.5</v>
      </c>
      <c r="F63" s="1150">
        <v>80</v>
      </c>
    </row>
    <row r="64" spans="1:8" s="1101" customFormat="1" ht="36">
      <c r="A64" s="1150">
        <v>4</v>
      </c>
      <c r="B64" s="3430"/>
      <c r="C64" s="1064" t="s">
        <v>1507</v>
      </c>
      <c r="D64" s="1064" t="s">
        <v>1508</v>
      </c>
      <c r="E64" s="1135">
        <v>0.4</v>
      </c>
      <c r="F64" s="1150">
        <v>60</v>
      </c>
    </row>
    <row r="65" spans="1:6" s="1101" customFormat="1" ht="36">
      <c r="A65" s="1150">
        <v>5</v>
      </c>
      <c r="B65" s="3430"/>
      <c r="C65" s="1064" t="s">
        <v>1509</v>
      </c>
      <c r="D65" s="1064" t="s">
        <v>1510</v>
      </c>
      <c r="E65" s="1135">
        <v>0.2</v>
      </c>
      <c r="F65" s="1150">
        <v>30</v>
      </c>
    </row>
    <row r="66" spans="1:6" s="1101" customFormat="1" ht="36">
      <c r="A66" s="1150">
        <v>6</v>
      </c>
      <c r="B66" s="3430"/>
      <c r="C66" s="1064" t="s">
        <v>1511</v>
      </c>
      <c r="D66" s="1064" t="s">
        <v>1512</v>
      </c>
      <c r="E66" s="1135">
        <v>0.3</v>
      </c>
      <c r="F66" s="1150">
        <v>50</v>
      </c>
    </row>
    <row r="67" spans="1:6" s="1101" customFormat="1" ht="36">
      <c r="A67" s="1150">
        <v>7</v>
      </c>
      <c r="B67" s="3430"/>
      <c r="C67" s="1064" t="s">
        <v>1513</v>
      </c>
      <c r="D67" s="1064" t="s">
        <v>1514</v>
      </c>
      <c r="E67" s="1135">
        <v>0.2</v>
      </c>
      <c r="F67" s="1150">
        <v>30</v>
      </c>
    </row>
    <row r="68" spans="1:6" s="1101" customFormat="1" ht="36">
      <c r="A68" s="1150">
        <v>8</v>
      </c>
      <c r="B68" s="3430"/>
      <c r="C68" s="1064" t="s">
        <v>1515</v>
      </c>
      <c r="D68" s="1064" t="s">
        <v>1516</v>
      </c>
      <c r="E68" s="1135">
        <v>0.2</v>
      </c>
      <c r="F68" s="1150">
        <v>30</v>
      </c>
    </row>
    <row r="69" spans="1:6" s="1101" customFormat="1" ht="36">
      <c r="A69" s="1150">
        <v>9</v>
      </c>
      <c r="B69" s="3430"/>
      <c r="C69" s="1064" t="s">
        <v>1517</v>
      </c>
      <c r="D69" s="1064" t="s">
        <v>1518</v>
      </c>
      <c r="E69" s="1135">
        <v>0.2</v>
      </c>
      <c r="F69" s="1150">
        <v>30</v>
      </c>
    </row>
    <row r="70" spans="1:6" s="1101" customFormat="1" ht="48">
      <c r="A70" s="1150">
        <v>10</v>
      </c>
      <c r="B70" s="3430"/>
      <c r="C70" s="1064" t="s">
        <v>1519</v>
      </c>
      <c r="D70" s="1064" t="s">
        <v>1520</v>
      </c>
      <c r="E70" s="1135">
        <v>0.2</v>
      </c>
      <c r="F70" s="1150">
        <v>30</v>
      </c>
    </row>
    <row r="71" spans="1:6" s="1101" customFormat="1" ht="48">
      <c r="A71" s="1150">
        <v>11</v>
      </c>
      <c r="B71" s="3430"/>
      <c r="C71" s="1064" t="s">
        <v>1521</v>
      </c>
      <c r="D71" s="1064" t="s">
        <v>1522</v>
      </c>
      <c r="E71" s="1135">
        <v>0.2</v>
      </c>
      <c r="F71" s="1150">
        <v>30</v>
      </c>
    </row>
    <row r="72" spans="1:6" s="1101" customFormat="1" ht="36">
      <c r="A72" s="1150">
        <v>12</v>
      </c>
      <c r="B72" s="3430"/>
      <c r="C72" s="1064" t="s">
        <v>1523</v>
      </c>
      <c r="D72" s="1064" t="s">
        <v>1524</v>
      </c>
      <c r="E72" s="1135">
        <v>0.5</v>
      </c>
      <c r="F72" s="1150">
        <v>80</v>
      </c>
    </row>
    <row r="73" spans="1:6" s="1101" customFormat="1" ht="24">
      <c r="A73" s="1150">
        <v>13</v>
      </c>
      <c r="B73" s="3430"/>
      <c r="C73" s="1064" t="s">
        <v>1525</v>
      </c>
      <c r="D73" s="1064" t="s">
        <v>1526</v>
      </c>
      <c r="E73" s="1135">
        <v>0.4</v>
      </c>
      <c r="F73" s="1150">
        <v>60</v>
      </c>
    </row>
    <row r="74" spans="1:6" s="1101" customFormat="1" ht="24">
      <c r="A74" s="1150">
        <v>14</v>
      </c>
      <c r="B74" s="3430"/>
      <c r="C74" s="1064" t="s">
        <v>1527</v>
      </c>
      <c r="D74" s="1064" t="s">
        <v>1528</v>
      </c>
      <c r="E74" s="1135">
        <v>0.2</v>
      </c>
      <c r="F74" s="1150">
        <v>30</v>
      </c>
    </row>
    <row r="75" spans="1:6" s="1101" customFormat="1" ht="24">
      <c r="A75" s="1150">
        <v>15</v>
      </c>
      <c r="B75" s="3430"/>
      <c r="C75" s="1064" t="s">
        <v>1529</v>
      </c>
      <c r="D75" s="1064" t="s">
        <v>1530</v>
      </c>
      <c r="E75" s="1135">
        <v>0.2</v>
      </c>
      <c r="F75" s="1150">
        <v>30</v>
      </c>
    </row>
    <row r="76" spans="1:6" s="1101" customFormat="1" ht="24">
      <c r="A76" s="1150">
        <v>16</v>
      </c>
      <c r="B76" s="3430" t="s">
        <v>1531</v>
      </c>
      <c r="C76" s="1064" t="s">
        <v>1532</v>
      </c>
      <c r="D76" s="1064" t="s">
        <v>1533</v>
      </c>
      <c r="E76" s="1135">
        <v>0.5</v>
      </c>
      <c r="F76" s="1150">
        <v>80</v>
      </c>
    </row>
    <row r="77" spans="1:6" s="1101" customFormat="1" ht="24">
      <c r="A77" s="1150">
        <v>17</v>
      </c>
      <c r="B77" s="3430"/>
      <c r="C77" s="1064" t="s">
        <v>1534</v>
      </c>
      <c r="D77" s="1064" t="s">
        <v>1535</v>
      </c>
      <c r="E77" s="1135">
        <v>0.5</v>
      </c>
      <c r="F77" s="1150">
        <v>80</v>
      </c>
    </row>
    <row r="78" spans="1:6" s="1101" customFormat="1" ht="24">
      <c r="A78" s="1150">
        <v>18</v>
      </c>
      <c r="B78" s="3430"/>
      <c r="C78" s="1064" t="s">
        <v>1536</v>
      </c>
      <c r="D78" s="1064" t="s">
        <v>1537</v>
      </c>
      <c r="E78" s="1135">
        <v>0.2</v>
      </c>
      <c r="F78" s="1150">
        <v>30</v>
      </c>
    </row>
    <row r="79" spans="1:6" s="1101" customFormat="1" ht="24">
      <c r="A79" s="1150">
        <v>19</v>
      </c>
      <c r="B79" s="3430"/>
      <c r="C79" s="1064" t="s">
        <v>1538</v>
      </c>
      <c r="D79" s="1064" t="s">
        <v>1539</v>
      </c>
      <c r="E79" s="1135">
        <v>0.5</v>
      </c>
      <c r="F79" s="1150">
        <v>80</v>
      </c>
    </row>
    <row r="80" spans="1:6" s="1101" customFormat="1" ht="36">
      <c r="A80" s="1150">
        <v>20</v>
      </c>
      <c r="B80" s="3430"/>
      <c r="C80" s="1064" t="s">
        <v>1540</v>
      </c>
      <c r="D80" s="1064" t="s">
        <v>1541</v>
      </c>
      <c r="E80" s="1135">
        <v>0.2</v>
      </c>
      <c r="F80" s="1150">
        <v>30</v>
      </c>
    </row>
    <row r="81" spans="1:6" s="1101" customFormat="1" ht="36">
      <c r="A81" s="1150">
        <v>21</v>
      </c>
      <c r="B81" s="3430"/>
      <c r="C81" s="1064" t="s">
        <v>1542</v>
      </c>
      <c r="D81" s="1064" t="s">
        <v>1543</v>
      </c>
      <c r="E81" s="1135">
        <v>0.2</v>
      </c>
      <c r="F81" s="1150">
        <v>30</v>
      </c>
    </row>
    <row r="82" spans="1:6" s="1101" customFormat="1" ht="48">
      <c r="A82" s="1150">
        <v>22</v>
      </c>
      <c r="B82" s="3430"/>
      <c r="C82" s="1064" t="s">
        <v>1544</v>
      </c>
      <c r="D82" s="1064" t="s">
        <v>1545</v>
      </c>
      <c r="E82" s="1135">
        <v>0.2</v>
      </c>
      <c r="F82" s="1150">
        <v>30</v>
      </c>
    </row>
    <row r="83" spans="1:6" s="1101" customFormat="1" ht="48">
      <c r="A83" s="1150">
        <v>23</v>
      </c>
      <c r="B83" s="3430"/>
      <c r="C83" s="1064" t="s">
        <v>1546</v>
      </c>
      <c r="D83" s="1064" t="s">
        <v>1547</v>
      </c>
      <c r="E83" s="1135">
        <v>0.2</v>
      </c>
      <c r="F83" s="1150">
        <v>30</v>
      </c>
    </row>
    <row r="84" spans="1:6" s="1101" customFormat="1" ht="36">
      <c r="A84" s="1150">
        <v>24</v>
      </c>
      <c r="B84" s="3430"/>
      <c r="C84" s="1064" t="s">
        <v>1548</v>
      </c>
      <c r="D84" s="1064" t="s">
        <v>1549</v>
      </c>
      <c r="E84" s="1135">
        <v>0.2</v>
      </c>
      <c r="F84" s="1150">
        <v>30</v>
      </c>
    </row>
    <row r="85" spans="1:6" s="1101" customFormat="1" ht="36">
      <c r="A85" s="1150">
        <v>25</v>
      </c>
      <c r="B85" s="3430"/>
      <c r="C85" s="1064" t="s">
        <v>1550</v>
      </c>
      <c r="D85" s="1064" t="s">
        <v>1551</v>
      </c>
      <c r="E85" s="1135">
        <v>0.5</v>
      </c>
      <c r="F85" s="1150">
        <v>80</v>
      </c>
    </row>
    <row r="86" spans="1:6" s="1101" customFormat="1" ht="36">
      <c r="A86" s="1150">
        <v>26</v>
      </c>
      <c r="B86" s="3430"/>
      <c r="C86" s="1064" t="s">
        <v>1552</v>
      </c>
      <c r="D86" s="1064" t="s">
        <v>1553</v>
      </c>
      <c r="E86" s="1135">
        <v>0.2</v>
      </c>
      <c r="F86" s="1150">
        <v>30</v>
      </c>
    </row>
    <row r="87" spans="1:6" s="1101" customFormat="1" ht="36">
      <c r="A87" s="1150">
        <v>27</v>
      </c>
      <c r="B87" s="3430"/>
      <c r="C87" s="1064" t="s">
        <v>1554</v>
      </c>
      <c r="D87" s="1064" t="s">
        <v>1555</v>
      </c>
      <c r="E87" s="1135">
        <v>0.2</v>
      </c>
      <c r="F87" s="1150">
        <v>30</v>
      </c>
    </row>
    <row r="88" spans="1:6" s="1101" customFormat="1" ht="36">
      <c r="A88" s="1150">
        <v>28</v>
      </c>
      <c r="B88" s="3430"/>
      <c r="C88" s="1064" t="s">
        <v>1556</v>
      </c>
      <c r="D88" s="1064" t="s">
        <v>1557</v>
      </c>
      <c r="E88" s="1135">
        <v>0.2</v>
      </c>
      <c r="F88" s="1150">
        <v>30</v>
      </c>
    </row>
    <row r="89" spans="1:6" s="1101" customFormat="1" ht="24">
      <c r="A89" s="1150">
        <v>29</v>
      </c>
      <c r="B89" s="3430"/>
      <c r="C89" s="1064" t="s">
        <v>1558</v>
      </c>
      <c r="D89" s="1064" t="s">
        <v>1559</v>
      </c>
      <c r="E89" s="1135">
        <v>0.2</v>
      </c>
      <c r="F89" s="1150">
        <v>30</v>
      </c>
    </row>
    <row r="90" spans="1:6" s="1101" customFormat="1" ht="24">
      <c r="A90" s="1150">
        <v>30</v>
      </c>
      <c r="B90" s="3430"/>
      <c r="C90" s="1064" t="s">
        <v>1560</v>
      </c>
      <c r="D90" s="1064" t="s">
        <v>1561</v>
      </c>
      <c r="E90" s="1135">
        <v>0.2</v>
      </c>
      <c r="F90" s="1150">
        <v>30</v>
      </c>
    </row>
    <row r="91" spans="1:6" s="1101" customFormat="1" ht="36">
      <c r="A91" s="1150">
        <v>31</v>
      </c>
      <c r="B91" s="3430"/>
      <c r="C91" s="1064" t="s">
        <v>1562</v>
      </c>
      <c r="D91" s="1064" t="s">
        <v>1563</v>
      </c>
      <c r="E91" s="1135">
        <v>0.2</v>
      </c>
      <c r="F91" s="1150">
        <v>30</v>
      </c>
    </row>
    <row r="92" spans="1:6" s="1101" customFormat="1" ht="24">
      <c r="A92" s="1150">
        <v>32</v>
      </c>
      <c r="B92" s="3430" t="s">
        <v>1564</v>
      </c>
      <c r="C92" s="1150" t="s">
        <v>1565</v>
      </c>
      <c r="D92" s="1064" t="s">
        <v>1566</v>
      </c>
      <c r="E92" s="1135">
        <v>0.2</v>
      </c>
      <c r="F92" s="1150">
        <v>30</v>
      </c>
    </row>
    <row r="93" spans="1:6" s="1101" customFormat="1" ht="36">
      <c r="A93" s="1150">
        <v>33</v>
      </c>
      <c r="B93" s="3430"/>
      <c r="C93" s="1150" t="s">
        <v>1567</v>
      </c>
      <c r="D93" s="1064" t="s">
        <v>1568</v>
      </c>
      <c r="E93" s="1135">
        <v>0.2</v>
      </c>
      <c r="F93" s="1150">
        <v>30</v>
      </c>
    </row>
    <row r="94" spans="1:6" s="1101" customFormat="1" ht="48">
      <c r="A94" s="1150">
        <v>34</v>
      </c>
      <c r="B94" s="3430"/>
      <c r="C94" s="1150" t="s">
        <v>1569</v>
      </c>
      <c r="D94" s="1064" t="s">
        <v>1570</v>
      </c>
      <c r="E94" s="1135">
        <v>0.2</v>
      </c>
      <c r="F94" s="1150">
        <v>30</v>
      </c>
    </row>
    <row r="95" spans="1:6" s="1101" customFormat="1" ht="36">
      <c r="A95" s="1150">
        <v>35</v>
      </c>
      <c r="B95" s="3430"/>
      <c r="C95" s="1150" t="s">
        <v>1571</v>
      </c>
      <c r="D95" s="1064" t="s">
        <v>1572</v>
      </c>
      <c r="E95" s="1135">
        <v>0.2</v>
      </c>
      <c r="F95" s="1150">
        <v>30</v>
      </c>
    </row>
    <row r="96" spans="1:6" s="1101" customFormat="1" ht="48">
      <c r="A96" s="1150">
        <v>36</v>
      </c>
      <c r="B96" s="3430"/>
      <c r="C96" s="1064" t="s">
        <v>1573</v>
      </c>
      <c r="D96" s="1064" t="s">
        <v>1574</v>
      </c>
      <c r="E96" s="1135">
        <v>0.2</v>
      </c>
      <c r="F96" s="1150">
        <v>30</v>
      </c>
    </row>
    <row r="97" spans="1:6" s="1101" customFormat="1" ht="36">
      <c r="A97" s="1150">
        <v>37</v>
      </c>
      <c r="B97" s="3430"/>
      <c r="C97" s="1150" t="s">
        <v>1575</v>
      </c>
      <c r="D97" s="1064" t="s">
        <v>1576</v>
      </c>
      <c r="E97" s="1135">
        <v>0.2</v>
      </c>
      <c r="F97" s="1150">
        <v>30</v>
      </c>
    </row>
    <row r="98" spans="1:6" s="1101" customFormat="1" ht="36">
      <c r="A98" s="1150">
        <v>38</v>
      </c>
      <c r="B98" s="3430"/>
      <c r="C98" s="1150" t="s">
        <v>1577</v>
      </c>
      <c r="D98" s="1064" t="s">
        <v>1578</v>
      </c>
      <c r="E98" s="1135">
        <v>0.2</v>
      </c>
      <c r="F98" s="1150">
        <v>30</v>
      </c>
    </row>
    <row r="99" spans="1:6" s="1101" customFormat="1" ht="36">
      <c r="A99" s="1150">
        <v>39</v>
      </c>
      <c r="B99" s="3430" t="s">
        <v>1579</v>
      </c>
      <c r="C99" s="1150" t="s">
        <v>1580</v>
      </c>
      <c r="D99" s="1064" t="s">
        <v>1581</v>
      </c>
      <c r="E99" s="1135">
        <v>0.3</v>
      </c>
      <c r="F99" s="1150">
        <v>50</v>
      </c>
    </row>
    <row r="100" spans="1:6" s="1101" customFormat="1" ht="24">
      <c r="A100" s="1150">
        <v>40</v>
      </c>
      <c r="B100" s="3430"/>
      <c r="C100" s="1150" t="s">
        <v>1582</v>
      </c>
      <c r="D100" s="1064" t="s">
        <v>1583</v>
      </c>
      <c r="E100" s="1135">
        <v>0.2</v>
      </c>
      <c r="F100" s="1150">
        <v>30</v>
      </c>
    </row>
    <row r="101" spans="1:6" s="1101" customFormat="1" ht="36">
      <c r="A101" s="1150">
        <v>41</v>
      </c>
      <c r="B101" s="343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0" t="s">
        <v>1594</v>
      </c>
      <c r="C105" s="1150" t="s">
        <v>1595</v>
      </c>
      <c r="D105" s="1064" t="s">
        <v>1596</v>
      </c>
      <c r="E105" s="1135">
        <v>0.2</v>
      </c>
      <c r="F105" s="1150">
        <v>30</v>
      </c>
    </row>
    <row r="106" spans="1:6" s="1101" customFormat="1" ht="36">
      <c r="A106" s="1150">
        <v>46</v>
      </c>
      <c r="B106" s="3430"/>
      <c r="C106" s="1150" t="s">
        <v>1597</v>
      </c>
      <c r="D106" s="1064" t="s">
        <v>1598</v>
      </c>
      <c r="E106" s="1135">
        <v>0.2</v>
      </c>
      <c r="F106" s="1150">
        <v>30</v>
      </c>
    </row>
    <row r="107" spans="1:6" s="1101" customFormat="1" ht="36">
      <c r="A107" s="1150">
        <v>47</v>
      </c>
      <c r="B107" s="3430" t="s">
        <v>1599</v>
      </c>
      <c r="C107" s="1150" t="s">
        <v>1600</v>
      </c>
      <c r="D107" s="1064" t="s">
        <v>1601</v>
      </c>
      <c r="E107" s="1135">
        <v>0.3</v>
      </c>
      <c r="F107" s="1150">
        <v>50</v>
      </c>
    </row>
    <row r="108" spans="1:6" s="1101" customFormat="1" ht="36">
      <c r="A108" s="1150">
        <v>48</v>
      </c>
      <c r="B108" s="343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0" t="s">
        <v>1610</v>
      </c>
      <c r="C111" s="1150" t="s">
        <v>1611</v>
      </c>
      <c r="D111" s="1064" t="s">
        <v>1612</v>
      </c>
      <c r="E111" s="1135">
        <v>0.2</v>
      </c>
      <c r="F111" s="1150">
        <v>30</v>
      </c>
    </row>
    <row r="112" spans="1:6" s="1101" customFormat="1" ht="24">
      <c r="A112" s="1150">
        <v>52</v>
      </c>
      <c r="B112" s="3430"/>
      <c r="C112" s="1150" t="s">
        <v>1613</v>
      </c>
      <c r="D112" s="1064" t="s">
        <v>1614</v>
      </c>
      <c r="E112" s="1135">
        <v>0.2</v>
      </c>
      <c r="F112" s="1150">
        <v>30</v>
      </c>
    </row>
    <row r="113" spans="1:14" s="1101" customFormat="1" ht="24">
      <c r="A113" s="1150">
        <v>53</v>
      </c>
      <c r="B113" s="343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0" t="s">
        <v>1623</v>
      </c>
      <c r="C116" s="1150" t="s">
        <v>1624</v>
      </c>
      <c r="D116" s="1064" t="s">
        <v>1625</v>
      </c>
      <c r="E116" s="1135">
        <v>0.2</v>
      </c>
      <c r="F116" s="1150">
        <v>30</v>
      </c>
    </row>
    <row r="117" spans="1:14" ht="36">
      <c r="A117" s="1150">
        <v>57</v>
      </c>
      <c r="B117" s="343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9" t="s">
        <v>1632</v>
      </c>
      <c r="B121" s="3429"/>
      <c r="C121" s="3429"/>
      <c r="D121" s="3429"/>
      <c r="E121" s="3429"/>
      <c r="F121" s="3429"/>
      <c r="G121" s="3429"/>
      <c r="H121" s="3429"/>
      <c r="I121" s="3429"/>
      <c r="J121" s="342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4" t="s">
        <v>1038</v>
      </c>
      <c r="B1" s="3444"/>
      <c r="C1" s="3444"/>
      <c r="D1" s="3444"/>
      <c r="E1" s="3444"/>
      <c r="F1" s="344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5" t="s">
        <v>1051</v>
      </c>
      <c r="B2" s="3445"/>
      <c r="C2" s="3445"/>
      <c r="D2" s="3445"/>
      <c r="E2" s="3445"/>
      <c r="F2" s="344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2420</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2421</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8" t="s">
        <v>2077</v>
      </c>
      <c r="B1" s="344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1" t="s">
        <v>2574</v>
      </c>
      <c r="C1" s="3451"/>
      <c r="D1" s="3451"/>
      <c r="E1" s="3451"/>
      <c r="F1" s="3451"/>
      <c r="G1" s="3450" t="s">
        <v>2575</v>
      </c>
      <c r="H1" s="3450"/>
      <c r="I1" s="3450"/>
      <c r="J1" s="3450"/>
      <c r="K1" s="3450"/>
      <c r="L1" s="3450"/>
      <c r="N1" s="3450" t="s">
        <v>2576</v>
      </c>
      <c r="O1" s="3450"/>
      <c r="P1" s="3450"/>
      <c r="Q1" s="3450"/>
      <c r="R1" s="2619"/>
      <c r="S1" s="3450" t="s">
        <v>2577</v>
      </c>
      <c r="T1" s="3450"/>
      <c r="U1" s="3450"/>
      <c r="V1" s="3450"/>
      <c r="X1" s="3449" t="s">
        <v>2637</v>
      </c>
      <c r="Y1" s="3450"/>
      <c r="Z1" s="3450"/>
      <c r="AA1" s="3450"/>
      <c r="AB1" s="3450"/>
      <c r="AD1" s="3449" t="s">
        <v>2641</v>
      </c>
      <c r="AE1" s="3450"/>
      <c r="AF1" s="3450"/>
      <c r="AG1" s="3450"/>
      <c r="AH1" s="3450"/>
    </row>
    <row r="2" spans="1:34" s="2720" customFormat="1" ht="14.25" thickBot="1">
      <c r="B2" s="2728" t="s">
        <v>2578</v>
      </c>
      <c r="C2" s="2728" t="s">
        <v>2639</v>
      </c>
      <c r="D2" s="2721" t="s">
        <v>1643</v>
      </c>
      <c r="E2" s="2721" t="s">
        <v>1948</v>
      </c>
      <c r="F2" s="2728" t="s">
        <v>2640</v>
      </c>
      <c r="G2" s="2724"/>
      <c r="H2" s="2723"/>
      <c r="I2" s="2728" t="s">
        <v>2952</v>
      </c>
      <c r="J2" s="2721" t="s">
        <v>2954</v>
      </c>
      <c r="K2" s="2721" t="s">
        <v>2955</v>
      </c>
      <c r="L2" s="2728" t="s">
        <v>2956</v>
      </c>
      <c r="N2" s="2728" t="s">
        <v>2578</v>
      </c>
      <c r="O2" s="2721" t="s">
        <v>2953</v>
      </c>
      <c r="P2" s="2721" t="s">
        <v>1948</v>
      </c>
      <c r="Q2" s="2728" t="s">
        <v>2640</v>
      </c>
      <c r="R2" s="2722"/>
      <c r="S2" s="2728" t="s">
        <v>2578</v>
      </c>
      <c r="T2" s="2721" t="s">
        <v>2953</v>
      </c>
      <c r="U2" s="2721" t="s">
        <v>1948</v>
      </c>
      <c r="V2" s="2728" t="s">
        <v>2640</v>
      </c>
      <c r="X2" s="2728" t="s">
        <v>2578</v>
      </c>
      <c r="Y2" s="2728" t="s">
        <v>2639</v>
      </c>
      <c r="Z2" s="2721" t="s">
        <v>1643</v>
      </c>
      <c r="AA2" s="2721" t="s">
        <v>1948</v>
      </c>
      <c r="AB2" s="2728" t="s">
        <v>2640</v>
      </c>
      <c r="AD2" s="2728" t="s">
        <v>2578</v>
      </c>
      <c r="AE2" s="2728" t="s">
        <v>2639</v>
      </c>
      <c r="AF2" s="2721" t="s">
        <v>1643</v>
      </c>
      <c r="AG2" s="2721" t="s">
        <v>1948</v>
      </c>
      <c r="AH2" s="2728" t="s">
        <v>2640</v>
      </c>
    </row>
    <row r="3" spans="1:34" s="3084" customFormat="1" ht="14.25">
      <c r="A3" s="3096" t="s">
        <v>2965</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2988</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2989</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2985</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53">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2975</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53"/>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2976</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53"/>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2972</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59"/>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2963</v>
      </c>
      <c r="B11" s="3098">
        <v>439</v>
      </c>
      <c r="C11" s="3098">
        <v>327</v>
      </c>
      <c r="D11" s="3098">
        <f t="shared" si="54"/>
        <v>327</v>
      </c>
      <c r="E11" s="3098">
        <v>627</v>
      </c>
      <c r="F11" s="3099">
        <v>283</v>
      </c>
      <c r="G11" s="345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2967</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53"/>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53"/>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59"/>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5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53"/>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53"/>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5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5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53"/>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53"/>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5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5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53"/>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53"/>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5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55">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6"/>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56"/>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57"/>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5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53"/>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53"/>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5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5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53">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53">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5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5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53">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53">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5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5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53">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53">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5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5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53">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53">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5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5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53">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53">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5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5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53">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53">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5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5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53">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53">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5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5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53">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53">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5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52">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53">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53">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54">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52">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53">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53">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5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2945</v>
      </c>
      <c r="B1" s="3058"/>
      <c r="C1" s="3058"/>
      <c r="D1" s="3058"/>
      <c r="E1" s="3058"/>
      <c r="F1" s="3058"/>
    </row>
    <row r="2" spans="1:6" ht="14.25">
      <c r="A2" s="3059" t="s">
        <v>2940</v>
      </c>
      <c r="B2" s="3060" t="e">
        <f ca="1">SUMIF(B7:B14,"&lt;&gt;#ref!",B7:B14)</f>
        <v>#DIV/0!</v>
      </c>
      <c r="C2" s="3059" t="s">
        <v>2941</v>
      </c>
      <c r="D2" s="3058"/>
      <c r="E2" s="3058"/>
      <c r="F2" s="3058"/>
    </row>
    <row r="3" spans="1:6" ht="14.25">
      <c r="A3" s="3059" t="s">
        <v>2973</v>
      </c>
      <c r="B3" s="3060" t="e">
        <f ca="1">ROUND(B2*10000/E3,0)</f>
        <v>#DIV/0!</v>
      </c>
      <c r="C3" s="3059" t="s">
        <v>2076</v>
      </c>
      <c r="D3" s="3059" t="s">
        <v>2942</v>
      </c>
      <c r="E3" s="3060">
        <f ca="1">SUMIF(E7:E14,"&lt;&gt;#ref!",E7:E14)</f>
        <v>0</v>
      </c>
      <c r="F3" s="3058"/>
    </row>
    <row r="4" spans="1:6" ht="14.25">
      <c r="A4" s="3059" t="s">
        <v>2949</v>
      </c>
      <c r="B4" s="3060" t="e">
        <f ca="1">ROUND(B2*10000/E4,0)</f>
        <v>#DIV/0!</v>
      </c>
      <c r="C4" s="3059" t="s">
        <v>2076</v>
      </c>
      <c r="D4" s="3059" t="s">
        <v>2950</v>
      </c>
      <c r="E4" s="3060">
        <f ca="1">SUMIF(F7:F14,"&lt;&gt;#ref!",F7:F14)</f>
        <v>0</v>
      </c>
      <c r="F4" s="3058"/>
    </row>
    <row r="5" spans="1:6" ht="14.25">
      <c r="A5" s="3061"/>
      <c r="B5" s="1867"/>
      <c r="C5" s="1867"/>
      <c r="D5" s="1867"/>
      <c r="E5" s="1867"/>
      <c r="F5" s="3058"/>
    </row>
    <row r="6" spans="1:6" ht="28.5">
      <c r="A6" s="3062" t="s">
        <v>2946</v>
      </c>
      <c r="B6" s="3059" t="s">
        <v>2943</v>
      </c>
      <c r="C6" s="3060"/>
      <c r="D6" s="1867"/>
      <c r="E6" s="3059" t="s">
        <v>2944</v>
      </c>
      <c r="F6" s="3059" t="s">
        <v>2948</v>
      </c>
    </row>
    <row r="7" spans="1:6" ht="14.25">
      <c r="A7" s="260" t="s">
        <v>2947</v>
      </c>
      <c r="B7" s="3063" t="e">
        <f ca="1">SUMIF(INDIRECT("'"&amp;A7&amp;"'"&amp;"!A:A"),"总价",INDIRECT("'"&amp;A7&amp;"'"&amp;"!B:B"))</f>
        <v>#DIV/0!</v>
      </c>
      <c r="C7" s="3059" t="s">
        <v>2941</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2941</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2941</v>
      </c>
      <c r="D9" s="1867"/>
      <c r="E9" s="3064" t="e">
        <f t="shared" ca="1" si="1"/>
        <v>#REF!</v>
      </c>
      <c r="F9" s="3064" t="e">
        <f t="shared" ca="1" si="2"/>
        <v>#REF!</v>
      </c>
    </row>
    <row r="10" spans="1:6" ht="14.25">
      <c r="A10" s="260"/>
      <c r="B10" s="3063" t="e">
        <f t="shared" ca="1" si="0"/>
        <v>#REF!</v>
      </c>
      <c r="C10" s="3059" t="s">
        <v>2941</v>
      </c>
      <c r="D10" s="1867"/>
      <c r="E10" s="3064" t="e">
        <f t="shared" ca="1" si="1"/>
        <v>#REF!</v>
      </c>
      <c r="F10" s="3064" t="e">
        <f t="shared" ca="1" si="2"/>
        <v>#REF!</v>
      </c>
    </row>
    <row r="11" spans="1:6" ht="14.25">
      <c r="A11" s="260"/>
      <c r="B11" s="3063" t="e">
        <f t="shared" ca="1" si="0"/>
        <v>#REF!</v>
      </c>
      <c r="C11" s="3059" t="s">
        <v>2941</v>
      </c>
      <c r="D11" s="1867"/>
      <c r="E11" s="3064" t="e">
        <f t="shared" ca="1" si="1"/>
        <v>#REF!</v>
      </c>
      <c r="F11" s="3064" t="e">
        <f t="shared" ca="1" si="2"/>
        <v>#REF!</v>
      </c>
    </row>
    <row r="12" spans="1:6" ht="14.25">
      <c r="A12" s="260"/>
      <c r="B12" s="3063" t="e">
        <f t="shared" ca="1" si="0"/>
        <v>#REF!</v>
      </c>
      <c r="C12" s="3059" t="s">
        <v>2941</v>
      </c>
      <c r="D12" s="1867"/>
      <c r="E12" s="3064" t="e">
        <f t="shared" ca="1" si="1"/>
        <v>#REF!</v>
      </c>
      <c r="F12" s="3064" t="e">
        <f t="shared" ca="1" si="2"/>
        <v>#REF!</v>
      </c>
    </row>
    <row r="13" spans="1:6" ht="14.25">
      <c r="A13" s="260"/>
      <c r="B13" s="3063" t="e">
        <f t="shared" ca="1" si="0"/>
        <v>#REF!</v>
      </c>
      <c r="C13" s="3059" t="s">
        <v>2941</v>
      </c>
      <c r="D13" s="1867"/>
      <c r="E13" s="3064" t="e">
        <f t="shared" ca="1" si="1"/>
        <v>#REF!</v>
      </c>
      <c r="F13" s="3064" t="e">
        <f t="shared" ca="1" si="2"/>
        <v>#REF!</v>
      </c>
    </row>
    <row r="14" spans="1:6" ht="14.25">
      <c r="A14" s="3057"/>
      <c r="B14" s="3063" t="e">
        <f t="shared" ca="1" si="0"/>
        <v>#REF!</v>
      </c>
      <c r="C14" s="3059" t="s">
        <v>2941</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受贵公司委托，我公司对河北省廊坊市香河县周庄村西侧出让国有建设用地使用权抵押价格进行了预评估。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7" spans="1:4" ht="56.25">
      <c r="A7" s="1781" t="s">
        <v>2744</v>
      </c>
    </row>
    <row r="8" spans="1:4" ht="18.75">
      <c r="A8" s="1780" t="s">
        <v>1905</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2019年5月21日（评估专业人员勘察现场之日）</v>
      </c>
    </row>
    <row r="12" spans="1:4" ht="18.75">
      <c r="A12" s="1783" t="s">
        <v>2023</v>
      </c>
    </row>
    <row r="13" spans="1:4" ht="18.75">
      <c r="A13" s="1777" t="s">
        <v>2937</v>
      </c>
    </row>
    <row r="14" spans="1:4" ht="37.5">
      <c r="A14" s="1777" t="str">
        <f>"根据"&amp;项目基本情况!F12&amp;"，本次评估估价对象证载（地类）用途为"&amp;项目基本情况!B12&amp;"。"</f>
        <v>根据《国有土地使用证》[香国用（2009）字第0349号]，本次评估估价对象证载（地类）用途为住宅用地（兼容商业）。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根据《国有土地使用证》[]，估价对象（分摊）出让国有建设用地使用权面积为200833.33平方米。根据《建设工程规划许可证》[]、《出让合同》[]，估价对象规划建筑面积为507605.151平方米。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香国用（2009）字第0349号]证载土地终止日期为住宅2079年8月7日、商业2049年8月7日地下车库2059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0" zoomScale="80" zoomScaleNormal="80" workbookViewId="0">
      <selection activeCell="B2" sqref="B2"/>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8" t="s">
        <v>718</v>
      </c>
      <c r="C1" s="2589" t="s">
        <v>719</v>
      </c>
      <c r="D1" s="2590" t="s">
        <v>922</v>
      </c>
      <c r="E1" s="2591"/>
      <c r="F1" s="2763" t="s">
        <v>3026</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7">
        <f>ROUND(B3*D3/10000,0)</f>
        <v>503379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14402</v>
      </c>
      <c r="C3" s="852" t="s">
        <v>721</v>
      </c>
      <c r="D3" s="851">
        <f>SUMIF('数据-汇总表'!$C19:$C33,D1,'数据-汇总表'!$E19:$E33)</f>
        <v>349520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520</v>
      </c>
      <c r="B4" s="513"/>
      <c r="C4" s="3392" t="s">
        <v>521</v>
      </c>
      <c r="D4" s="3393"/>
      <c r="E4" s="3417" t="s">
        <v>522</v>
      </c>
      <c r="F4" s="3418"/>
      <c r="G4" s="3392" t="s">
        <v>523</v>
      </c>
      <c r="H4" s="3393"/>
      <c r="I4" s="3392" t="s">
        <v>524</v>
      </c>
      <c r="J4" s="3393"/>
      <c r="K4" s="853"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375" t="s">
        <v>523</v>
      </c>
      <c r="AC4" s="3375" t="s">
        <v>524</v>
      </c>
    </row>
    <row r="5" spans="1:29" ht="15">
      <c r="A5" s="515"/>
      <c r="B5" s="516"/>
      <c r="C5" s="3405" t="s">
        <v>2925</v>
      </c>
      <c r="D5" s="3404"/>
      <c r="E5" s="3460" t="s">
        <v>3124</v>
      </c>
      <c r="F5" s="3420"/>
      <c r="G5" s="3403" t="s">
        <v>3125</v>
      </c>
      <c r="H5" s="3404"/>
      <c r="I5" s="3403" t="s">
        <v>3126</v>
      </c>
      <c r="J5" s="3404"/>
      <c r="K5" s="85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85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v>43606</v>
      </c>
      <c r="F7" s="522">
        <f>SUMIF(58:58,YEAR(E7)&amp;"-"&amp;MONTH(E7),59:59)</f>
        <v>100</v>
      </c>
      <c r="G7" s="521">
        <v>43606</v>
      </c>
      <c r="H7" s="520">
        <f>SUMIF(58:58,YEAR(G7)&amp;"-"&amp;MONTH(G7),59:59)</f>
        <v>100</v>
      </c>
      <c r="I7" s="521">
        <v>43606</v>
      </c>
      <c r="J7" s="520">
        <f>SUMIF(58:58,YEAR(I7)&amp;"-"&amp;MONTH(I7),59:59)</f>
        <v>100</v>
      </c>
      <c r="K7" s="855"/>
      <c r="L7" s="2121"/>
      <c r="M7" s="2122"/>
      <c r="N7" s="2122"/>
      <c r="O7" s="2122"/>
      <c r="P7" s="3378" t="s">
        <v>529</v>
      </c>
      <c r="Q7" s="3387"/>
      <c r="R7" s="1555" t="s">
        <v>13</v>
      </c>
      <c r="S7" s="1556">
        <f t="shared" ref="S7:S15" si="0">F7</f>
        <v>100</v>
      </c>
      <c r="T7" s="1555" t="s">
        <v>13</v>
      </c>
      <c r="U7" s="1556">
        <f t="shared" ref="U7:U15" si="1">H7</f>
        <v>100</v>
      </c>
      <c r="V7" s="1555" t="s">
        <v>13</v>
      </c>
      <c r="W7" s="1556">
        <f t="shared" ref="W7:W15" si="2">J7</f>
        <v>100</v>
      </c>
      <c r="X7" s="1557"/>
      <c r="Y7" s="3378" t="s">
        <v>529</v>
      </c>
      <c r="Z7" s="3379"/>
      <c r="AA7" s="1558">
        <f>D7/F7</f>
        <v>1</v>
      </c>
      <c r="AB7" s="1558">
        <f>D7/H7</f>
        <v>1</v>
      </c>
      <c r="AC7" s="1558">
        <f>D7/J7</f>
        <v>1</v>
      </c>
    </row>
    <row r="8" spans="1:29" s="1216" customFormat="1" ht="15.75" thickBot="1">
      <c r="A8" s="2869"/>
      <c r="B8" s="2876" t="s">
        <v>530</v>
      </c>
      <c r="C8" s="525" t="s">
        <v>575</v>
      </c>
      <c r="D8" s="520">
        <v>100</v>
      </c>
      <c r="E8" s="856" t="s">
        <v>3027</v>
      </c>
      <c r="F8" s="522">
        <f>SUMIF(61:61,E8,62:62)-SUMIF(61:61,C8,62:62)+100</f>
        <v>100</v>
      </c>
      <c r="G8" s="525" t="s">
        <v>3027</v>
      </c>
      <c r="H8" s="520">
        <f>SUMIF(61:61,G8,62:62)-SUMIF(61:61,C8,62:62)+100</f>
        <v>100</v>
      </c>
      <c r="I8" s="856" t="s">
        <v>3027</v>
      </c>
      <c r="J8" s="520">
        <f>SUMIF(61:61,I8,62:62)-SUMIF(61:61,C8,62:62)+100</f>
        <v>100</v>
      </c>
      <c r="K8" s="855"/>
      <c r="L8" s="2121"/>
      <c r="M8" s="2122"/>
      <c r="N8" s="2122"/>
      <c r="O8" s="2122"/>
      <c r="P8" s="3378" t="s">
        <v>532</v>
      </c>
      <c r="Q8" s="3379"/>
      <c r="R8" s="1555" t="s">
        <v>13</v>
      </c>
      <c r="S8" s="1556">
        <f t="shared" si="0"/>
        <v>100</v>
      </c>
      <c r="T8" s="1555" t="s">
        <v>13</v>
      </c>
      <c r="U8" s="1556">
        <f t="shared" si="1"/>
        <v>100</v>
      </c>
      <c r="V8" s="1555" t="s">
        <v>13</v>
      </c>
      <c r="W8" s="1556">
        <f t="shared" si="2"/>
        <v>100</v>
      </c>
      <c r="X8" s="1557"/>
      <c r="Y8" s="3378" t="s">
        <v>532</v>
      </c>
      <c r="Z8" s="3379"/>
      <c r="AA8" s="1558">
        <f t="shared" ref="AA8:AA46" si="3">D8/F8</f>
        <v>1</v>
      </c>
      <c r="AB8" s="1558">
        <f t="shared" ref="AB8:AB46" si="4">D8/H8</f>
        <v>1</v>
      </c>
      <c r="AC8" s="1558">
        <f t="shared" ref="AC8:AC46" si="5">D8/J8</f>
        <v>1</v>
      </c>
    </row>
    <row r="9" spans="1:29" s="1216" customFormat="1" ht="15">
      <c r="A9" s="2870"/>
      <c r="B9" s="2877" t="s">
        <v>2753</v>
      </c>
      <c r="C9" s="3193" t="s">
        <v>3028</v>
      </c>
      <c r="D9" s="254">
        <v>100</v>
      </c>
      <c r="E9" s="858" t="s">
        <v>922</v>
      </c>
      <c r="F9" s="859">
        <f>SUMIF(63:63,E9,64:64)-SUMIF(63:63,C9,64:64)+100</f>
        <v>100</v>
      </c>
      <c r="G9" s="860" t="s">
        <v>922</v>
      </c>
      <c r="H9" s="254">
        <f>SUMIF(63:63,G9,64:64)-SUMIF(63:63,C9,64:64)+100</f>
        <v>100</v>
      </c>
      <c r="I9" s="860" t="s">
        <v>922</v>
      </c>
      <c r="J9" s="254">
        <f>SUMIF(63:63,I9,64:64)-SUMIF(63:63,C9,64:64)+100</f>
        <v>100</v>
      </c>
      <c r="K9" s="855"/>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t="s">
        <v>3029</v>
      </c>
      <c r="D10" s="255">
        <v>100</v>
      </c>
      <c r="E10" s="862" t="s">
        <v>3029</v>
      </c>
      <c r="F10" s="863">
        <f>SUMIF(65:65,E10,66:66)-SUMIF(65:65,C10,66:66)+100</f>
        <v>100</v>
      </c>
      <c r="G10" s="861" t="s">
        <v>3029</v>
      </c>
      <c r="H10" s="255">
        <f>SUMIF(65:65,G10,66:66)-SUMIF(65:65,C10,66:66)+100</f>
        <v>100</v>
      </c>
      <c r="I10" s="861" t="s">
        <v>3029</v>
      </c>
      <c r="J10" s="255">
        <f>SUMIF(65:65,I10,66:66)-SUMIF(65:65,C10,66:66)+100</f>
        <v>100</v>
      </c>
      <c r="K10" s="864">
        <v>1</v>
      </c>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f>LOOKUP(E11,68:68,69:69)-LOOKUP(C11,68:68,69:69)+100</f>
        <v>100</v>
      </c>
      <c r="G11" s="533"/>
      <c r="H11" s="255">
        <f>LOOKUP(G11,68:68,69:69)-LOOKUP(C11,68:68,69:69)+100</f>
        <v>100</v>
      </c>
      <c r="I11" s="533"/>
      <c r="J11" s="255">
        <f>LOOKUP(I11,68:68,69:69)-LOOKUP(C11,68:68,69:69)+100</f>
        <v>100</v>
      </c>
      <c r="K11" s="864"/>
      <c r="L11" s="2126"/>
      <c r="M11" s="2120"/>
      <c r="N11" s="2120"/>
      <c r="O11" s="2127"/>
      <c r="P11" s="3386"/>
      <c r="Q11" s="1147" t="str">
        <f t="shared" si="6"/>
        <v>容积率</v>
      </c>
      <c r="R11" s="1555" t="s">
        <v>11</v>
      </c>
      <c r="S11" s="1556">
        <f t="shared" si="0"/>
        <v>100</v>
      </c>
      <c r="T11" s="1555" t="s">
        <v>11</v>
      </c>
      <c r="U11" s="1556">
        <f t="shared" si="1"/>
        <v>100</v>
      </c>
      <c r="V11" s="1555" t="s">
        <v>11</v>
      </c>
      <c r="W11" s="1556">
        <f t="shared" si="2"/>
        <v>100</v>
      </c>
      <c r="X11" s="1557"/>
      <c r="Y11" s="3343"/>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6"/>
      <c r="Q12" s="1147">
        <f t="shared" si="6"/>
        <v>111</v>
      </c>
      <c r="R12" s="1555" t="s">
        <v>11</v>
      </c>
      <c r="S12" s="1556">
        <f t="shared" si="0"/>
        <v>100</v>
      </c>
      <c r="T12" s="1555" t="s">
        <v>11</v>
      </c>
      <c r="U12" s="1556">
        <f t="shared" si="1"/>
        <v>100</v>
      </c>
      <c r="V12" s="1555" t="s">
        <v>11</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6"/>
      <c r="Q13" s="1147">
        <f t="shared" si="6"/>
        <v>111</v>
      </c>
      <c r="R13" s="1555" t="s">
        <v>11</v>
      </c>
      <c r="S13" s="1556">
        <f t="shared" si="0"/>
        <v>100</v>
      </c>
      <c r="T13" s="1555" t="s">
        <v>11</v>
      </c>
      <c r="U13" s="1556">
        <f t="shared" si="1"/>
        <v>100</v>
      </c>
      <c r="V13" s="1555" t="s">
        <v>11</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6"/>
      <c r="Q14" s="1147">
        <f t="shared" si="6"/>
        <v>111</v>
      </c>
      <c r="R14" s="1555" t="s">
        <v>11</v>
      </c>
      <c r="S14" s="1556">
        <f t="shared" si="0"/>
        <v>100</v>
      </c>
      <c r="T14" s="1555" t="s">
        <v>11</v>
      </c>
      <c r="U14" s="1556">
        <f t="shared" si="1"/>
        <v>100</v>
      </c>
      <c r="V14" s="1555" t="s">
        <v>11</v>
      </c>
      <c r="W14" s="1556">
        <f t="shared" si="2"/>
        <v>100</v>
      </c>
      <c r="X14" s="1557"/>
      <c r="Y14" s="3343"/>
      <c r="Z14" s="1146">
        <f t="shared" si="7"/>
        <v>111</v>
      </c>
      <c r="AA14" s="1558">
        <f t="shared" si="3"/>
        <v>1</v>
      </c>
      <c r="AB14" s="1558">
        <f t="shared" si="4"/>
        <v>1</v>
      </c>
      <c r="AC14" s="1558">
        <f t="shared" si="5"/>
        <v>1</v>
      </c>
    </row>
    <row r="15" spans="1:29" ht="99.75">
      <c r="A15" s="2866" t="s">
        <v>2751</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88" t="s">
        <v>539</v>
      </c>
      <c r="Q15" s="1559" t="str">
        <f t="shared" si="6"/>
        <v>居住社区成熟度</v>
      </c>
      <c r="R15" s="1560" t="s">
        <v>11</v>
      </c>
      <c r="S15" s="1561">
        <f t="shared" si="0"/>
        <v>100</v>
      </c>
      <c r="T15" s="1560" t="s">
        <v>11</v>
      </c>
      <c r="U15" s="1561">
        <f t="shared" si="1"/>
        <v>100</v>
      </c>
      <c r="V15" s="1560" t="s">
        <v>11</v>
      </c>
      <c r="W15" s="1561">
        <f t="shared" si="2"/>
        <v>100</v>
      </c>
      <c r="X15" s="1554"/>
      <c r="Y15" s="3388" t="s">
        <v>539</v>
      </c>
      <c r="Z15" s="1562" t="str">
        <f t="shared" si="7"/>
        <v>居住社区成熟度</v>
      </c>
      <c r="AA15" s="1563">
        <f t="shared" si="3"/>
        <v>1</v>
      </c>
      <c r="AB15" s="1563">
        <f t="shared" si="4"/>
        <v>1</v>
      </c>
      <c r="AC15" s="1563">
        <f t="shared" si="5"/>
        <v>1</v>
      </c>
    </row>
    <row r="16" spans="1:29" ht="15">
      <c r="A16" s="532"/>
      <c r="B16" s="869"/>
      <c r="C16" s="576" t="s">
        <v>3030</v>
      </c>
      <c r="D16" s="555"/>
      <c r="E16" s="556" t="s">
        <v>3030</v>
      </c>
      <c r="F16" s="557"/>
      <c r="G16" s="558" t="s">
        <v>3030</v>
      </c>
      <c r="H16" s="559"/>
      <c r="I16" s="556" t="s">
        <v>3030</v>
      </c>
      <c r="J16" s="555"/>
      <c r="K16" s="870"/>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100</v>
      </c>
      <c r="I17" s="562"/>
      <c r="J17" s="565">
        <f>SUMIF(78:78,I18,79:79)-SUMIF(78:78,C18,79:79)+100</f>
        <v>98</v>
      </c>
      <c r="K17" s="868">
        <v>2</v>
      </c>
      <c r="L17" s="2128"/>
      <c r="M17" s="2120"/>
      <c r="N17" s="2120"/>
      <c r="O17" s="2127"/>
      <c r="P17" s="3389"/>
      <c r="Q17" s="1559" t="str">
        <f>B17</f>
        <v>交通便捷度</v>
      </c>
      <c r="R17" s="1560" t="s">
        <v>11</v>
      </c>
      <c r="S17" s="1561">
        <f>F17</f>
        <v>98</v>
      </c>
      <c r="T17" s="1560" t="s">
        <v>11</v>
      </c>
      <c r="U17" s="1561">
        <f>H17</f>
        <v>100</v>
      </c>
      <c r="V17" s="1560" t="s">
        <v>11</v>
      </c>
      <c r="W17" s="1561">
        <f>J17</f>
        <v>98</v>
      </c>
      <c r="X17" s="1554"/>
      <c r="Y17" s="3389"/>
      <c r="Z17" s="1562" t="str">
        <f>Q17</f>
        <v>交通便捷度</v>
      </c>
      <c r="AA17" s="1563">
        <f t="shared" si="3"/>
        <v>1.0204081632653061</v>
      </c>
      <c r="AB17" s="1563">
        <f t="shared" si="4"/>
        <v>1</v>
      </c>
      <c r="AC17" s="1563">
        <f t="shared" si="5"/>
        <v>1.0204081632653061</v>
      </c>
    </row>
    <row r="18" spans="1:29" ht="15">
      <c r="A18" s="532"/>
      <c r="B18" s="595"/>
      <c r="C18" s="873" t="s">
        <v>3030</v>
      </c>
      <c r="D18" s="559"/>
      <c r="E18" s="568" t="s">
        <v>3031</v>
      </c>
      <c r="F18" s="563"/>
      <c r="G18" s="569" t="s">
        <v>3030</v>
      </c>
      <c r="H18" s="555"/>
      <c r="I18" s="568" t="s">
        <v>3031</v>
      </c>
      <c r="J18" s="555"/>
      <c r="K18" s="870"/>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102</v>
      </c>
      <c r="G19" s="572"/>
      <c r="H19" s="559">
        <f>SUMIF(80:80,G20,81:81)-SUMIF(80:80,C20,81:81)+100</f>
        <v>100</v>
      </c>
      <c r="I19" s="570"/>
      <c r="J19" s="559">
        <f>SUMIF(80:80,I20,81:81)-SUMIF(80:80,C20,81:81)+100</f>
        <v>102</v>
      </c>
      <c r="K19" s="868">
        <v>2</v>
      </c>
      <c r="L19" s="2128"/>
      <c r="M19" s="2120"/>
      <c r="N19" s="2120"/>
      <c r="O19" s="2127"/>
      <c r="P19" s="3389"/>
      <c r="Q19" s="1559" t="str">
        <f>B19</f>
        <v>公共配套设施</v>
      </c>
      <c r="R19" s="1560" t="s">
        <v>11</v>
      </c>
      <c r="S19" s="1561">
        <f>F19</f>
        <v>102</v>
      </c>
      <c r="T19" s="1560" t="s">
        <v>11</v>
      </c>
      <c r="U19" s="1561">
        <f>H19</f>
        <v>100</v>
      </c>
      <c r="V19" s="1560" t="s">
        <v>11</v>
      </c>
      <c r="W19" s="1561">
        <f>J19</f>
        <v>102</v>
      </c>
      <c r="X19" s="1554"/>
      <c r="Y19" s="3389"/>
      <c r="Z19" s="1562" t="str">
        <f>Q19</f>
        <v>公共配套设施</v>
      </c>
      <c r="AA19" s="1563">
        <f t="shared" si="3"/>
        <v>0.98039215686274506</v>
      </c>
      <c r="AB19" s="1563">
        <f t="shared" si="4"/>
        <v>1</v>
      </c>
      <c r="AC19" s="1563">
        <f t="shared" si="5"/>
        <v>0.98039215686274506</v>
      </c>
    </row>
    <row r="20" spans="1:29" ht="15">
      <c r="A20" s="532"/>
      <c r="B20" s="595"/>
      <c r="C20" s="576" t="s">
        <v>3031</v>
      </c>
      <c r="D20" s="555"/>
      <c r="E20" s="556" t="s">
        <v>3030</v>
      </c>
      <c r="F20" s="557"/>
      <c r="G20" s="558" t="s">
        <v>3031</v>
      </c>
      <c r="H20" s="555"/>
      <c r="I20" s="556" t="s">
        <v>3030</v>
      </c>
      <c r="J20" s="555"/>
      <c r="K20" s="870"/>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9"/>
      <c r="Q21" s="2544" t="str">
        <f>B21</f>
        <v>基础设施水平</v>
      </c>
      <c r="R21" s="1560" t="s">
        <v>11</v>
      </c>
      <c r="S21" s="1561">
        <f>F21</f>
        <v>100</v>
      </c>
      <c r="T21" s="1560" t="s">
        <v>11</v>
      </c>
      <c r="U21" s="1561">
        <f>H21</f>
        <v>100</v>
      </c>
      <c r="V21" s="1560" t="s">
        <v>11</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922"/>
      <c r="C22" s="873" t="s">
        <v>3032</v>
      </c>
      <c r="D22" s="555"/>
      <c r="E22" s="576" t="s">
        <v>3032</v>
      </c>
      <c r="F22" s="557"/>
      <c r="G22" s="576" t="s">
        <v>3032</v>
      </c>
      <c r="H22" s="555"/>
      <c r="I22" s="576" t="s">
        <v>3032</v>
      </c>
      <c r="J22" s="555"/>
      <c r="K22" s="2564"/>
      <c r="L22" s="2128"/>
      <c r="M22" s="2120"/>
      <c r="N22" s="2120"/>
      <c r="O22" s="2127"/>
      <c r="P22" s="3389"/>
      <c r="Q22" s="2544"/>
      <c r="R22" s="1560"/>
      <c r="S22" s="1561"/>
      <c r="T22" s="1560"/>
      <c r="U22" s="1561"/>
      <c r="V22" s="1560"/>
      <c r="W22" s="1561"/>
      <c r="X22" s="2546"/>
      <c r="Y22" s="3389"/>
      <c r="Z22" s="2545"/>
      <c r="AA22" s="1563">
        <v>1</v>
      </c>
      <c r="AB22" s="1563">
        <v>1</v>
      </c>
      <c r="AC22" s="1563">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9"/>
      <c r="Q23" s="1559" t="str">
        <f>B23</f>
        <v>自然及人文环境</v>
      </c>
      <c r="R23" s="1560" t="s">
        <v>11</v>
      </c>
      <c r="S23" s="1561">
        <f>F23</f>
        <v>100</v>
      </c>
      <c r="T23" s="1560" t="s">
        <v>11</v>
      </c>
      <c r="U23" s="1561">
        <f>H23</f>
        <v>100</v>
      </c>
      <c r="V23" s="1560" t="s">
        <v>11</v>
      </c>
      <c r="W23" s="1561">
        <f>J23</f>
        <v>100</v>
      </c>
      <c r="X23" s="1554"/>
      <c r="Y23" s="3389"/>
      <c r="Z23" s="1562" t="str">
        <f>Q23</f>
        <v>自然及人文环境</v>
      </c>
      <c r="AA23" s="1563">
        <f t="shared" si="3"/>
        <v>1</v>
      </c>
      <c r="AB23" s="1563">
        <f t="shared" si="4"/>
        <v>1</v>
      </c>
      <c r="AC23" s="1563">
        <f t="shared" si="5"/>
        <v>1</v>
      </c>
    </row>
    <row r="24" spans="1:29" ht="15">
      <c r="A24" s="532"/>
      <c r="B24" s="595"/>
      <c r="C24" s="576" t="s">
        <v>3030</v>
      </c>
      <c r="D24" s="555"/>
      <c r="E24" s="556" t="s">
        <v>3030</v>
      </c>
      <c r="F24" s="557"/>
      <c r="G24" s="558" t="s">
        <v>3030</v>
      </c>
      <c r="H24" s="555"/>
      <c r="I24" s="556" t="s">
        <v>3030</v>
      </c>
      <c r="J24" s="555"/>
      <c r="K24" s="870"/>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9"/>
      <c r="Q25" s="1559" t="str">
        <f t="shared" ref="Q25:Q46" si="11">B25</f>
        <v>楼层-1</v>
      </c>
      <c r="R25" s="1560" t="s">
        <v>11</v>
      </c>
      <c r="S25" s="1561">
        <f>F25</f>
        <v>100</v>
      </c>
      <c r="T25" s="1560" t="s">
        <v>11</v>
      </c>
      <c r="U25" s="1561">
        <f>H25</f>
        <v>100</v>
      </c>
      <c r="V25" s="1560" t="s">
        <v>11</v>
      </c>
      <c r="W25" s="1561">
        <f>J25</f>
        <v>100</v>
      </c>
      <c r="X25" s="1554"/>
      <c r="Y25" s="3389"/>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9"/>
      <c r="Q26" s="1559" t="str">
        <f t="shared" si="11"/>
        <v>朝向</v>
      </c>
      <c r="R26" s="1560" t="s">
        <v>11</v>
      </c>
      <c r="S26" s="1561">
        <f>F26</f>
        <v>100</v>
      </c>
      <c r="T26" s="1560" t="s">
        <v>11</v>
      </c>
      <c r="U26" s="1561">
        <f>H26</f>
        <v>100</v>
      </c>
      <c r="V26" s="1560" t="s">
        <v>11</v>
      </c>
      <c r="W26" s="1561">
        <f>J26</f>
        <v>100</v>
      </c>
      <c r="X26" s="1554"/>
      <c r="Y26" s="3389"/>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9"/>
      <c r="Q27" s="1147" t="str">
        <f t="shared" si="11"/>
        <v>道路级别</v>
      </c>
      <c r="R27" s="1555" t="s">
        <v>11</v>
      </c>
      <c r="S27" s="1556">
        <f>F27</f>
        <v>100</v>
      </c>
      <c r="T27" s="1555" t="s">
        <v>11</v>
      </c>
      <c r="U27" s="1556">
        <f>H27</f>
        <v>100</v>
      </c>
      <c r="V27" s="1555" t="s">
        <v>11</v>
      </c>
      <c r="W27" s="1556">
        <f>J27</f>
        <v>100</v>
      </c>
      <c r="X27" s="1557"/>
      <c r="Y27" s="338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9"/>
      <c r="Q29" s="1559">
        <f t="shared" si="11"/>
        <v>111</v>
      </c>
      <c r="R29" s="1560" t="s">
        <v>11</v>
      </c>
      <c r="S29" s="1561">
        <f t="shared" si="12"/>
        <v>100</v>
      </c>
      <c r="T29" s="1560" t="s">
        <v>11</v>
      </c>
      <c r="U29" s="1561">
        <f t="shared" si="13"/>
        <v>100</v>
      </c>
      <c r="V29" s="1560" t="s">
        <v>11</v>
      </c>
      <c r="W29" s="1561">
        <f t="shared" si="14"/>
        <v>100</v>
      </c>
      <c r="X29" s="1554"/>
      <c r="Y29" s="33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9"/>
      <c r="Q30" s="1559">
        <f t="shared" si="11"/>
        <v>111</v>
      </c>
      <c r="R30" s="1560" t="s">
        <v>11</v>
      </c>
      <c r="S30" s="1561">
        <f t="shared" si="12"/>
        <v>100</v>
      </c>
      <c r="T30" s="1560" t="s">
        <v>11</v>
      </c>
      <c r="U30" s="1561">
        <f t="shared" si="13"/>
        <v>100</v>
      </c>
      <c r="V30" s="1560" t="s">
        <v>11</v>
      </c>
      <c r="W30" s="1561">
        <f t="shared" si="14"/>
        <v>100</v>
      </c>
      <c r="X30" s="1554"/>
      <c r="Y30" s="338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9"/>
      <c r="Q31" s="1559">
        <f t="shared" si="11"/>
        <v>111</v>
      </c>
      <c r="R31" s="1560" t="s">
        <v>11</v>
      </c>
      <c r="S31" s="1561">
        <f t="shared" si="12"/>
        <v>100</v>
      </c>
      <c r="T31" s="1560" t="s">
        <v>11</v>
      </c>
      <c r="U31" s="1561">
        <f t="shared" si="13"/>
        <v>100</v>
      </c>
      <c r="V31" s="1560" t="s">
        <v>11</v>
      </c>
      <c r="W31" s="1561">
        <f t="shared" si="14"/>
        <v>100</v>
      </c>
      <c r="X31" s="1554"/>
      <c r="Y31" s="3389"/>
      <c r="Z31" s="1562">
        <f t="shared" si="15"/>
        <v>111</v>
      </c>
      <c r="AA31" s="1563">
        <f t="shared" si="3"/>
        <v>1</v>
      </c>
      <c r="AB31" s="1563">
        <f t="shared" si="4"/>
        <v>1</v>
      </c>
      <c r="AC31" s="1563">
        <f t="shared" si="5"/>
        <v>1</v>
      </c>
    </row>
    <row r="32" spans="1:29" ht="15">
      <c r="A32" s="2863"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1</v>
      </c>
      <c r="L32" s="2128"/>
      <c r="M32" s="2120"/>
      <c r="N32" s="2120"/>
      <c r="O32" s="2127"/>
      <c r="P32" s="3390" t="s">
        <v>549</v>
      </c>
      <c r="Q32" s="1559" t="str">
        <f t="shared" si="11"/>
        <v>建筑类型</v>
      </c>
      <c r="R32" s="1560" t="s">
        <v>11</v>
      </c>
      <c r="S32" s="1561">
        <f t="shared" si="12"/>
        <v>100</v>
      </c>
      <c r="T32" s="1560" t="s">
        <v>11</v>
      </c>
      <c r="U32" s="1561">
        <f t="shared" si="13"/>
        <v>100</v>
      </c>
      <c r="V32" s="1560" t="s">
        <v>11</v>
      </c>
      <c r="W32" s="1561">
        <f t="shared" si="14"/>
        <v>100</v>
      </c>
      <c r="X32" s="1554"/>
      <c r="Y32" s="3391"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391"/>
      <c r="Q33" s="1591" t="str">
        <f t="shared" si="11"/>
        <v>项目建筑规模</v>
      </c>
      <c r="R33" s="1564" t="s">
        <v>11</v>
      </c>
      <c r="S33" s="1565">
        <f t="shared" si="12"/>
        <v>100</v>
      </c>
      <c r="T33" s="1564" t="s">
        <v>11</v>
      </c>
      <c r="U33" s="1565">
        <f t="shared" si="13"/>
        <v>100</v>
      </c>
      <c r="V33" s="1564" t="s">
        <v>11</v>
      </c>
      <c r="W33" s="1565">
        <f t="shared" si="14"/>
        <v>100</v>
      </c>
      <c r="X33" s="1566"/>
      <c r="Y33" s="3391"/>
      <c r="Z33" s="1567" t="str">
        <f t="shared" si="15"/>
        <v>项目建筑规模</v>
      </c>
      <c r="AA33" s="1563">
        <f t="shared" si="3"/>
        <v>1</v>
      </c>
      <c r="AB33" s="1563">
        <f t="shared" si="4"/>
        <v>1</v>
      </c>
      <c r="AC33" s="1563">
        <f t="shared" si="5"/>
        <v>1</v>
      </c>
    </row>
    <row r="34" spans="1:29" ht="15">
      <c r="A34" s="594"/>
      <c r="B34" s="527" t="s">
        <v>726</v>
      </c>
      <c r="C34" s="881" t="s">
        <v>3033</v>
      </c>
      <c r="D34" s="540">
        <v>100</v>
      </c>
      <c r="E34" s="882" t="s">
        <v>3033</v>
      </c>
      <c r="F34" s="575">
        <f>SUMIF(105:105,E34,106:106)-SUMIF(105:105,C34,106:106)+100</f>
        <v>100</v>
      </c>
      <c r="G34" s="881" t="s">
        <v>3033</v>
      </c>
      <c r="H34" s="540">
        <f>SUMIF(105:105,G34,106:106)-SUMIF(105:105,C34,106:106)+100</f>
        <v>100</v>
      </c>
      <c r="I34" s="882" t="s">
        <v>3033</v>
      </c>
      <c r="J34" s="540">
        <f>SUMIF(105:105,I34,106:106)-SUMIF(105:105,C34,106:106)+100</f>
        <v>100</v>
      </c>
      <c r="K34" s="864">
        <v>1</v>
      </c>
      <c r="L34" s="2128"/>
      <c r="M34" s="2120"/>
      <c r="N34" s="2120"/>
      <c r="O34" s="2127"/>
      <c r="P34" s="3391"/>
      <c r="Q34" s="1559" t="str">
        <f t="shared" si="11"/>
        <v>建筑结构</v>
      </c>
      <c r="R34" s="1560" t="s">
        <v>11</v>
      </c>
      <c r="S34" s="1561">
        <f t="shared" si="12"/>
        <v>100</v>
      </c>
      <c r="T34" s="1560" t="s">
        <v>11</v>
      </c>
      <c r="U34" s="1561">
        <f t="shared" si="13"/>
        <v>100</v>
      </c>
      <c r="V34" s="1560" t="s">
        <v>11</v>
      </c>
      <c r="W34" s="1561">
        <f t="shared" si="14"/>
        <v>100</v>
      </c>
      <c r="X34" s="1554"/>
      <c r="Y34" s="3391"/>
      <c r="Z34" s="1562" t="str">
        <f t="shared" si="15"/>
        <v>建筑结构</v>
      </c>
      <c r="AA34" s="1563">
        <f t="shared" si="3"/>
        <v>1</v>
      </c>
      <c r="AB34" s="1563">
        <f t="shared" si="4"/>
        <v>1</v>
      </c>
      <c r="AC34" s="1563">
        <f t="shared" si="5"/>
        <v>1</v>
      </c>
    </row>
    <row r="35" spans="1:29" ht="15">
      <c r="A35" s="594"/>
      <c r="B35" s="527" t="s">
        <v>727</v>
      </c>
      <c r="C35" s="599" t="s">
        <v>3030</v>
      </c>
      <c r="D35" s="540">
        <v>100</v>
      </c>
      <c r="E35" s="874" t="s">
        <v>3031</v>
      </c>
      <c r="F35" s="575">
        <f>SUMIF(107:107,E35,108:108)-SUMIF(107:107,C35,108:108)+100</f>
        <v>97</v>
      </c>
      <c r="G35" s="599" t="s">
        <v>3031</v>
      </c>
      <c r="H35" s="540">
        <f>SUMIF(107:107,G35,108:108)-SUMIF(107:107,C35,108:108)+100</f>
        <v>97</v>
      </c>
      <c r="I35" s="874" t="s">
        <v>3031</v>
      </c>
      <c r="J35" s="540">
        <f>SUMIF(107:107,I35,108:108)-SUMIF(107:107,C35,108:108)+100</f>
        <v>97</v>
      </c>
      <c r="K35" s="864">
        <v>3</v>
      </c>
      <c r="L35" s="2128"/>
      <c r="M35" s="2120"/>
      <c r="N35" s="2120"/>
      <c r="O35" s="2127"/>
      <c r="P35" s="3391"/>
      <c r="Q35" s="1559" t="str">
        <f t="shared" si="11"/>
        <v>建筑品质</v>
      </c>
      <c r="R35" s="1560" t="s">
        <v>11</v>
      </c>
      <c r="S35" s="1561">
        <f t="shared" si="12"/>
        <v>97</v>
      </c>
      <c r="T35" s="1560" t="s">
        <v>11</v>
      </c>
      <c r="U35" s="1561">
        <f t="shared" si="13"/>
        <v>97</v>
      </c>
      <c r="V35" s="1560" t="s">
        <v>11</v>
      </c>
      <c r="W35" s="1561">
        <f t="shared" si="14"/>
        <v>97</v>
      </c>
      <c r="X35" s="1554"/>
      <c r="Y35" s="3391"/>
      <c r="Z35" s="1562" t="str">
        <f t="shared" si="15"/>
        <v>建筑品质</v>
      </c>
      <c r="AA35" s="1563">
        <f t="shared" si="3"/>
        <v>1.0309278350515463</v>
      </c>
      <c r="AB35" s="1563">
        <f t="shared" si="4"/>
        <v>1.0309278350515463</v>
      </c>
      <c r="AC35" s="1563">
        <f t="shared" si="5"/>
        <v>1.0309278350515463</v>
      </c>
    </row>
    <row r="36" spans="1:29" ht="15">
      <c r="A36" s="594"/>
      <c r="B36" s="527" t="s">
        <v>728</v>
      </c>
      <c r="C36" s="599" t="s">
        <v>3037</v>
      </c>
      <c r="D36" s="540">
        <v>100</v>
      </c>
      <c r="E36" s="874" t="s">
        <v>3037</v>
      </c>
      <c r="F36" s="575">
        <f>SUMIF(109:109,E36,110:110)-SUMIF(109:109,C36,110:110)+100</f>
        <v>100</v>
      </c>
      <c r="G36" s="599" t="s">
        <v>3037</v>
      </c>
      <c r="H36" s="540">
        <f>SUMIF(109:109,G36,110:110)-SUMIF(109:109,C36,110:110)+100</f>
        <v>100</v>
      </c>
      <c r="I36" s="874" t="s">
        <v>3037</v>
      </c>
      <c r="J36" s="540">
        <f>SUMIF(109:109,I36,110:110)-SUMIF(109:109,C36,110:110)+100</f>
        <v>100</v>
      </c>
      <c r="K36" s="864">
        <v>1</v>
      </c>
      <c r="L36" s="2128"/>
      <c r="M36" s="2120"/>
      <c r="N36" s="2120"/>
      <c r="O36" s="2127"/>
      <c r="P36" s="3391"/>
      <c r="Q36" s="1559" t="str">
        <f t="shared" si="11"/>
        <v>公共部分装修</v>
      </c>
      <c r="R36" s="1560" t="s">
        <v>11</v>
      </c>
      <c r="S36" s="1561">
        <f t="shared" si="12"/>
        <v>100</v>
      </c>
      <c r="T36" s="1560" t="s">
        <v>11</v>
      </c>
      <c r="U36" s="1561">
        <f t="shared" si="13"/>
        <v>100</v>
      </c>
      <c r="V36" s="1560" t="s">
        <v>11</v>
      </c>
      <c r="W36" s="1561">
        <f t="shared" si="14"/>
        <v>100</v>
      </c>
      <c r="X36" s="1554"/>
      <c r="Y36" s="3391"/>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391"/>
      <c r="Q37" s="1147" t="str">
        <f t="shared" si="11"/>
        <v>成新度</v>
      </c>
      <c r="R37" s="1555" t="s">
        <v>11</v>
      </c>
      <c r="S37" s="1556">
        <f t="shared" si="12"/>
        <v>100</v>
      </c>
      <c r="T37" s="1555" t="s">
        <v>11</v>
      </c>
      <c r="U37" s="1556">
        <f t="shared" si="13"/>
        <v>100</v>
      </c>
      <c r="V37" s="1555" t="s">
        <v>11</v>
      </c>
      <c r="W37" s="1556">
        <f t="shared" si="14"/>
        <v>100</v>
      </c>
      <c r="X37" s="1557"/>
      <c r="Y37" s="3391"/>
      <c r="Z37" s="1146" t="str">
        <f t="shared" si="15"/>
        <v>成新度</v>
      </c>
      <c r="AA37" s="1558">
        <f t="shared" si="3"/>
        <v>1</v>
      </c>
      <c r="AB37" s="1558">
        <f t="shared" si="4"/>
        <v>1</v>
      </c>
      <c r="AC37" s="1558">
        <f t="shared" si="5"/>
        <v>1</v>
      </c>
    </row>
    <row r="38" spans="1:29" ht="15">
      <c r="A38" s="594"/>
      <c r="B38" s="527" t="s">
        <v>730</v>
      </c>
      <c r="C38" s="599" t="s">
        <v>3039</v>
      </c>
      <c r="D38" s="540">
        <v>100</v>
      </c>
      <c r="E38" s="874" t="s">
        <v>3039</v>
      </c>
      <c r="F38" s="575">
        <f>SUMIF(114:114,E38,115:115)-SUMIF(114:114,C38,115:115)+100</f>
        <v>100</v>
      </c>
      <c r="G38" s="599" t="s">
        <v>3039</v>
      </c>
      <c r="H38" s="540">
        <f>SUMIF(114:114,G38,115:115)-SUMIF(114:114,C38,115:115)+100</f>
        <v>100</v>
      </c>
      <c r="I38" s="874" t="s">
        <v>3039</v>
      </c>
      <c r="J38" s="540">
        <f>SUMIF(114:114,I38,115:115)-SUMIF(114:114,C38,115:115)+100</f>
        <v>100</v>
      </c>
      <c r="K38" s="864">
        <v>2</v>
      </c>
      <c r="L38" s="2128"/>
      <c r="M38" s="2120"/>
      <c r="N38" s="2120"/>
      <c r="O38" s="2127"/>
      <c r="P38" s="3391" t="s">
        <v>549</v>
      </c>
      <c r="Q38" s="1559" t="str">
        <f t="shared" si="11"/>
        <v>物业管理</v>
      </c>
      <c r="R38" s="1560" t="s">
        <v>11</v>
      </c>
      <c r="S38" s="1561">
        <f t="shared" si="12"/>
        <v>100</v>
      </c>
      <c r="T38" s="1560" t="s">
        <v>11</v>
      </c>
      <c r="U38" s="1561">
        <f t="shared" si="13"/>
        <v>100</v>
      </c>
      <c r="V38" s="1560" t="s">
        <v>11</v>
      </c>
      <c r="W38" s="1561">
        <f t="shared" si="14"/>
        <v>100</v>
      </c>
      <c r="X38" s="1554"/>
      <c r="Y38" s="3391" t="s">
        <v>549</v>
      </c>
      <c r="Z38" s="1562" t="str">
        <f t="shared" si="15"/>
        <v>物业管理</v>
      </c>
      <c r="AA38" s="1563">
        <f t="shared" si="3"/>
        <v>1</v>
      </c>
      <c r="AB38" s="1563">
        <f t="shared" si="4"/>
        <v>1</v>
      </c>
      <c r="AC38" s="1563">
        <f t="shared" si="5"/>
        <v>1</v>
      </c>
    </row>
    <row r="39" spans="1:29" ht="15">
      <c r="A39" s="594"/>
      <c r="B39" s="1881" t="s">
        <v>2562</v>
      </c>
      <c r="C39" s="599" t="s">
        <v>3032</v>
      </c>
      <c r="D39" s="540">
        <v>100</v>
      </c>
      <c r="E39" s="874" t="s">
        <v>3032</v>
      </c>
      <c r="F39" s="575">
        <f>SUMIF(116:116,E39,117:117)-SUMIF(116:116,C39,117:117)+100</f>
        <v>100</v>
      </c>
      <c r="G39" s="599" t="s">
        <v>3032</v>
      </c>
      <c r="H39" s="540">
        <f>SUMIF(116:116,G39,117:117)-SUMIF(116:116,C39,117:117)+100</f>
        <v>100</v>
      </c>
      <c r="I39" s="874" t="s">
        <v>3032</v>
      </c>
      <c r="J39" s="540">
        <f>SUMIF(116:116,I39,117:117)-SUMIF(116:116,C39,117:117)+100</f>
        <v>100</v>
      </c>
      <c r="K39" s="864">
        <v>1</v>
      </c>
      <c r="L39" s="2128"/>
      <c r="M39" s="2120"/>
      <c r="N39" s="2120"/>
      <c r="O39" s="2127"/>
      <c r="P39" s="3391"/>
      <c r="Q39" s="1559" t="str">
        <f t="shared" si="11"/>
        <v>市政基础设施</v>
      </c>
      <c r="R39" s="1560" t="s">
        <v>11</v>
      </c>
      <c r="S39" s="1561">
        <f t="shared" si="12"/>
        <v>100</v>
      </c>
      <c r="T39" s="1560" t="s">
        <v>11</v>
      </c>
      <c r="U39" s="1561">
        <f t="shared" si="13"/>
        <v>100</v>
      </c>
      <c r="V39" s="1560" t="s">
        <v>11</v>
      </c>
      <c r="W39" s="1561">
        <f t="shared" si="14"/>
        <v>100</v>
      </c>
      <c r="X39" s="1554"/>
      <c r="Y39" s="3391"/>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1"/>
      <c r="Q40" s="1559" t="str">
        <f t="shared" si="11"/>
        <v>房型</v>
      </c>
      <c r="R40" s="1560" t="s">
        <v>11</v>
      </c>
      <c r="S40" s="1561">
        <f t="shared" si="12"/>
        <v>100</v>
      </c>
      <c r="T40" s="1560" t="s">
        <v>11</v>
      </c>
      <c r="U40" s="1561">
        <f t="shared" si="13"/>
        <v>100</v>
      </c>
      <c r="V40" s="1560" t="s">
        <v>11</v>
      </c>
      <c r="W40" s="1561">
        <f t="shared" si="14"/>
        <v>100</v>
      </c>
      <c r="X40" s="1554"/>
      <c r="Y40" s="3391"/>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1"/>
      <c r="Q41" s="1591" t="str">
        <f t="shared" si="11"/>
        <v>单套/主力户型建筑面积</v>
      </c>
      <c r="R41" s="1564" t="s">
        <v>11</v>
      </c>
      <c r="S41" s="1565">
        <f t="shared" si="12"/>
        <v>100</v>
      </c>
      <c r="T41" s="1564" t="s">
        <v>11</v>
      </c>
      <c r="U41" s="1565">
        <f t="shared" si="13"/>
        <v>100</v>
      </c>
      <c r="V41" s="1564" t="s">
        <v>11</v>
      </c>
      <c r="W41" s="1565">
        <f t="shared" si="14"/>
        <v>100</v>
      </c>
      <c r="X41" s="1566"/>
      <c r="Y41" s="3391"/>
      <c r="Z41" s="1567" t="str">
        <f t="shared" si="15"/>
        <v>单套/主力户型建筑面积</v>
      </c>
      <c r="AA41" s="1563">
        <f t="shared" si="3"/>
        <v>1</v>
      </c>
      <c r="AB41" s="1563">
        <f t="shared" si="4"/>
        <v>1</v>
      </c>
      <c r="AC41" s="1563">
        <f t="shared" si="5"/>
        <v>1</v>
      </c>
    </row>
    <row r="42" spans="1:29" ht="15">
      <c r="A42" s="594"/>
      <c r="B42" s="527" t="s">
        <v>733</v>
      </c>
      <c r="C42" s="599" t="s">
        <v>3042</v>
      </c>
      <c r="D42" s="540">
        <v>100</v>
      </c>
      <c r="E42" s="874" t="s">
        <v>3042</v>
      </c>
      <c r="F42" s="575">
        <f>SUMIF(122:122,E42,123:123)-SUMIF(122:122,C42,123:123)+100</f>
        <v>100</v>
      </c>
      <c r="G42" s="599" t="s">
        <v>3042</v>
      </c>
      <c r="H42" s="540">
        <f>SUMIF(122:122,G42,123:123)-SUMIF(122:122,C42,123:123)+100</f>
        <v>100</v>
      </c>
      <c r="I42" s="874" t="s">
        <v>3042</v>
      </c>
      <c r="J42" s="540">
        <f>SUMIF(122:122,I42,123:123)-SUMIF(122:122,C42,123:123)+100</f>
        <v>100</v>
      </c>
      <c r="K42" s="864">
        <v>2</v>
      </c>
      <c r="L42" s="2128"/>
      <c r="M42" s="2120"/>
      <c r="N42" s="2120"/>
      <c r="O42" s="2127"/>
      <c r="P42" s="3391"/>
      <c r="Q42" s="1559" t="str">
        <f t="shared" si="11"/>
        <v>内部装修</v>
      </c>
      <c r="R42" s="1560" t="s">
        <v>11</v>
      </c>
      <c r="S42" s="1561">
        <f t="shared" si="12"/>
        <v>100</v>
      </c>
      <c r="T42" s="1560" t="s">
        <v>11</v>
      </c>
      <c r="U42" s="1561">
        <f t="shared" si="13"/>
        <v>100</v>
      </c>
      <c r="V42" s="1560" t="s">
        <v>11</v>
      </c>
      <c r="W42" s="1561">
        <f t="shared" si="14"/>
        <v>100</v>
      </c>
      <c r="X42" s="1554"/>
      <c r="Y42" s="3391"/>
      <c r="Z42" s="1562" t="str">
        <f t="shared" si="15"/>
        <v>内部装修</v>
      </c>
      <c r="AA42" s="1563">
        <f t="shared" si="3"/>
        <v>1</v>
      </c>
      <c r="AB42" s="1563">
        <f t="shared" si="4"/>
        <v>1</v>
      </c>
      <c r="AC42" s="1563">
        <f t="shared" si="5"/>
        <v>1</v>
      </c>
    </row>
    <row r="43" spans="1:29" ht="27">
      <c r="A43" s="594"/>
      <c r="B43" s="527" t="s">
        <v>734</v>
      </c>
      <c r="C43" s="599" t="s">
        <v>3030</v>
      </c>
      <c r="D43" s="540">
        <v>100</v>
      </c>
      <c r="E43" s="874" t="s">
        <v>3030</v>
      </c>
      <c r="F43" s="575">
        <f>SUMIF(124:124,E43,125:125)-SUMIF(124:124,C43,125:125)+100</f>
        <v>100</v>
      </c>
      <c r="G43" s="599" t="s">
        <v>3030</v>
      </c>
      <c r="H43" s="540">
        <f>SUMIF(124:124,G43,125:125)-SUMIF(124:124,C43,125:125)+100</f>
        <v>100</v>
      </c>
      <c r="I43" s="874" t="s">
        <v>3030</v>
      </c>
      <c r="J43" s="540">
        <f>SUMIF(124:124,I43,125:125)-SUMIF(124:124,C43,125:125)+100</f>
        <v>100</v>
      </c>
      <c r="K43" s="864">
        <v>1</v>
      </c>
      <c r="L43" s="2128"/>
      <c r="M43" s="2120"/>
      <c r="N43" s="2120"/>
      <c r="O43" s="2127"/>
      <c r="P43" s="3391"/>
      <c r="Q43" s="1559" t="str">
        <f t="shared" si="11"/>
        <v>内部装修维护情况</v>
      </c>
      <c r="R43" s="1560" t="s">
        <v>11</v>
      </c>
      <c r="S43" s="1561">
        <f t="shared" si="12"/>
        <v>100</v>
      </c>
      <c r="T43" s="1560" t="s">
        <v>11</v>
      </c>
      <c r="U43" s="1561">
        <f t="shared" si="13"/>
        <v>100</v>
      </c>
      <c r="V43" s="1560" t="s">
        <v>11</v>
      </c>
      <c r="W43" s="1561">
        <f t="shared" si="14"/>
        <v>100</v>
      </c>
      <c r="X43" s="1554"/>
      <c r="Y43" s="33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1"/>
      <c r="Q44" s="1147">
        <f t="shared" si="11"/>
        <v>111</v>
      </c>
      <c r="R44" s="1555" t="s">
        <v>11</v>
      </c>
      <c r="S44" s="1556">
        <f t="shared" si="12"/>
        <v>100</v>
      </c>
      <c r="T44" s="1555" t="s">
        <v>11</v>
      </c>
      <c r="U44" s="1556">
        <f t="shared" si="13"/>
        <v>100</v>
      </c>
      <c r="V44" s="1555" t="s">
        <v>11</v>
      </c>
      <c r="W44" s="1556">
        <f t="shared" si="14"/>
        <v>100</v>
      </c>
      <c r="X44" s="1557"/>
      <c r="Y44" s="33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1"/>
      <c r="Q45" s="1559">
        <f t="shared" si="11"/>
        <v>111</v>
      </c>
      <c r="R45" s="1560" t="s">
        <v>11</v>
      </c>
      <c r="S45" s="1561">
        <f t="shared" si="12"/>
        <v>100</v>
      </c>
      <c r="T45" s="1560" t="s">
        <v>11</v>
      </c>
      <c r="U45" s="1561">
        <f t="shared" si="13"/>
        <v>100</v>
      </c>
      <c r="V45" s="1560" t="s">
        <v>11</v>
      </c>
      <c r="W45" s="1561">
        <f t="shared" si="14"/>
        <v>100</v>
      </c>
      <c r="X45" s="1554"/>
      <c r="Y45" s="339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3"/>
      <c r="Q46" s="1559">
        <f t="shared" si="11"/>
        <v>111</v>
      </c>
      <c r="R46" s="1560" t="s">
        <v>10</v>
      </c>
      <c r="S46" s="1561">
        <f t="shared" si="12"/>
        <v>100</v>
      </c>
      <c r="T46" s="1560" t="s">
        <v>10</v>
      </c>
      <c r="U46" s="1561">
        <f t="shared" si="13"/>
        <v>100</v>
      </c>
      <c r="V46" s="1560" t="s">
        <v>10</v>
      </c>
      <c r="W46" s="1561">
        <f t="shared" si="14"/>
        <v>100</v>
      </c>
      <c r="X46" s="1554"/>
      <c r="Y46" s="3463"/>
      <c r="Z46" s="1562">
        <f t="shared" si="15"/>
        <v>111</v>
      </c>
      <c r="AA46" s="1563">
        <f t="shared" si="3"/>
        <v>1</v>
      </c>
      <c r="AB46" s="1563">
        <f t="shared" si="4"/>
        <v>1</v>
      </c>
      <c r="AC46" s="1563">
        <f t="shared" si="5"/>
        <v>1</v>
      </c>
    </row>
    <row r="47" spans="1:29" ht="15">
      <c r="A47" s="607" t="s">
        <v>735</v>
      </c>
      <c r="B47" s="887"/>
      <c r="C47" s="2592" t="s">
        <v>9</v>
      </c>
      <c r="D47" s="2593"/>
      <c r="E47" s="2594">
        <v>14300</v>
      </c>
      <c r="F47" s="2595"/>
      <c r="G47" s="2596">
        <v>13100</v>
      </c>
      <c r="H47" s="2597"/>
      <c r="I47" s="2594">
        <v>14500</v>
      </c>
      <c r="J47" s="2597"/>
      <c r="K47" s="1592"/>
      <c r="L47" s="2130"/>
      <c r="M47" s="2131"/>
      <c r="N47" s="2120"/>
      <c r="O47" s="2131"/>
      <c r="P47" s="3386" t="str">
        <f>A47</f>
        <v>成交单价（元/平方米）</v>
      </c>
      <c r="Q47" s="3386"/>
      <c r="R47" s="3462">
        <f>E47</f>
        <v>14300</v>
      </c>
      <c r="S47" s="3462"/>
      <c r="T47" s="3462">
        <f>G47</f>
        <v>13100</v>
      </c>
      <c r="U47" s="3462"/>
      <c r="V47" s="3462">
        <f>I47</f>
        <v>14500</v>
      </c>
      <c r="W47" s="3462"/>
      <c r="X47" s="1546"/>
      <c r="Y47" s="1568"/>
      <c r="Z47" s="1546"/>
      <c r="AA47" s="1546"/>
      <c r="AB47" s="1546"/>
      <c r="AC47" s="1546"/>
    </row>
    <row r="48" spans="1:29" ht="15.75" thickBot="1">
      <c r="A48" s="615" t="s">
        <v>2757</v>
      </c>
      <c r="B48" s="888"/>
      <c r="C48" s="2598">
        <f>R49</f>
        <v>14402</v>
      </c>
      <c r="D48" s="2599"/>
      <c r="E48" s="2600">
        <f>R48</f>
        <v>14748</v>
      </c>
      <c r="F48" s="2600"/>
      <c r="G48" s="2598">
        <f>T48</f>
        <v>13505</v>
      </c>
      <c r="H48" s="2599"/>
      <c r="I48" s="2600">
        <f>V48</f>
        <v>14954</v>
      </c>
      <c r="J48" s="2599"/>
      <c r="K48" s="1593"/>
      <c r="L48" s="2130"/>
      <c r="M48" s="2131"/>
      <c r="N48" s="2131"/>
      <c r="O48" s="2131"/>
      <c r="P48" s="3386" t="str">
        <f>A48</f>
        <v>比较价格（元/平方米）</v>
      </c>
      <c r="Q48" s="3386"/>
      <c r="R48" s="3462">
        <f>IF(F1="售价",ROUND(PRODUCT(R47,AA7:AA46),0),ROUND(PRODUCT(R47,AA7:AA46),1))</f>
        <v>14748</v>
      </c>
      <c r="S48" s="3462"/>
      <c r="T48" s="3462">
        <f>IF(F1="售价",ROUND(PRODUCT(T47,AB7:AB46),0),ROUND(PRODUCT(T47,AB7:AB46),1))</f>
        <v>13505</v>
      </c>
      <c r="U48" s="3462"/>
      <c r="V48" s="3462">
        <f>IF(F1="售价",ROUND(PRODUCT(V47,AC7:AC46),0),ROUND(PRODUCT(V47,AC7:AC46),1))</f>
        <v>14954</v>
      </c>
      <c r="W48" s="3462"/>
      <c r="X48" s="1546"/>
      <c r="Y48" s="1546"/>
      <c r="Z48" s="1546"/>
      <c r="AA48" s="1546"/>
      <c r="AB48" s="1546"/>
      <c r="AC48" s="1546"/>
    </row>
    <row r="49" spans="1:29" ht="15.75" thickBot="1">
      <c r="A49" s="621" t="s">
        <v>2931</v>
      </c>
      <c r="B49" s="622"/>
      <c r="C49" s="2601">
        <f>R49</f>
        <v>14402</v>
      </c>
      <c r="D49" s="2601"/>
      <c r="E49" s="2601"/>
      <c r="F49" s="2601"/>
      <c r="G49" s="2601"/>
      <c r="H49" s="2601"/>
      <c r="I49" s="2601"/>
      <c r="J49" s="2601"/>
      <c r="K49" s="1594"/>
      <c r="L49" s="2130"/>
      <c r="M49" s="2131"/>
      <c r="N49" s="2131"/>
      <c r="O49" s="2131"/>
      <c r="P49" s="3408" t="str">
        <f>A49</f>
        <v>估价对象XX用房的比较价格（楼面单价，元/平方米）</v>
      </c>
      <c r="Q49" s="3409"/>
      <c r="R49" s="3461">
        <f>IF(F1="售价",ROUND(AVERAGE(R48:V48),0),ROUND(AVERAGE(R48:V48),1))</f>
        <v>14402</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3.1328671328671343E-2</v>
      </c>
      <c r="F52" s="627" t="str">
        <f>IF(OR(E52&gt;=0.3,E52&lt;=-0.3),"超过30%","")</f>
        <v/>
      </c>
      <c r="G52" s="626">
        <f>IF(G47&lt;G48,G48/G47-1,G47/G48-1)</f>
        <v>3.0916030534351213E-2</v>
      </c>
      <c r="H52" s="627" t="str">
        <f>IF(OR(G52&gt;=0.3,G52&lt;=-0.3),"超过30%","")</f>
        <v/>
      </c>
      <c r="I52" s="626">
        <f>IF(I47&lt;I48,I48/I47-1,I47/I48-1)</f>
        <v>3.1310344827586212E-2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9.2039985190670137E-2</v>
      </c>
      <c r="F53" s="627" t="str">
        <f>IF(OR(E53&gt;=0.2,E53&lt;=-0.2),"超过20%","")</f>
        <v/>
      </c>
      <c r="G53" s="626">
        <f>IF(G48&lt;I48,I48/G48-1,G48/I48-1)</f>
        <v>0.10729359496482793</v>
      </c>
      <c r="H53" s="627" t="str">
        <f>IF(OR(G53&gt;=0.2,G53&lt;=-0.2),"超过20%","")</f>
        <v/>
      </c>
      <c r="I53" s="626">
        <f>IF(I48&lt;E48,E48/I48-1,I48/E48-1)</f>
        <v>1.3967995660428612E-2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9.1603053435114434E-2</v>
      </c>
      <c r="F54" s="627" t="str">
        <f>IF(OR(E54&gt;=0.3,E54&lt;=-0.3),"超过30%","")</f>
        <v/>
      </c>
      <c r="G54" s="626">
        <f>IF(G47&lt;I47,I47/G47-1,G47/I47-1)</f>
        <v>0.10687022900763354</v>
      </c>
      <c r="H54" s="627" t="str">
        <f>IF(OR(G54&gt;=0.3,G54&lt;=-0.3),"超过30%","")</f>
        <v/>
      </c>
      <c r="I54" s="626">
        <f>IF(I47&lt;E47,E47/I47-1,I47/E47-1)</f>
        <v>1.3986013986013957E-2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3192">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746</v>
      </c>
      <c r="C100" s="3194" t="s">
        <v>3045</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3195" t="s">
        <v>3034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3196" t="s">
        <v>3035</v>
      </c>
      <c r="D107" s="3196" t="s">
        <v>3036</v>
      </c>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95" t="s">
        <v>3038</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3195" t="s">
        <v>3040</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3195" t="s">
        <v>3041</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95" t="s">
        <v>3043</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627</v>
      </c>
      <c r="B1" s="738"/>
      <c r="C1" s="773"/>
      <c r="D1" s="2036"/>
      <c r="E1" s="2352" t="s">
        <v>2372</v>
      </c>
      <c r="F1" s="2353">
        <f ca="1">J54</f>
        <v>-3</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1823</v>
      </c>
      <c r="B8" s="3465" t="s">
        <v>2461</v>
      </c>
      <c r="C8" s="1811">
        <f ca="1">ROUND(F8*F10*F9*(1-F11)/10000,0)</f>
        <v>0</v>
      </c>
      <c r="D8" s="1808" t="s">
        <v>2532</v>
      </c>
      <c r="E8" s="61" t="s">
        <v>636</v>
      </c>
      <c r="F8" s="785">
        <f ca="1">INDIRECT("'数据-取费表'!u"&amp;$G$1)</f>
        <v>0</v>
      </c>
      <c r="G8" s="1579"/>
      <c r="H8" s="2469" t="s">
        <v>1823</v>
      </c>
      <c r="I8" s="3465" t="s">
        <v>2461</v>
      </c>
      <c r="J8" s="783">
        <f ca="1">ROUND(M8*M10*M9*(1-M11)/10000,0)</f>
        <v>0</v>
      </c>
      <c r="K8" s="341" t="s">
        <v>2532</v>
      </c>
      <c r="L8" s="784" t="s">
        <v>1737</v>
      </c>
      <c r="M8" s="785">
        <f ca="1">INDIRECT("'数据-取费表'!z"&amp;$G$1)</f>
        <v>0</v>
      </c>
    </row>
    <row r="9" spans="1:25" ht="18" customHeight="1">
      <c r="A9" s="2465"/>
      <c r="B9" s="3466"/>
      <c r="C9" s="1812"/>
      <c r="D9" s="1809"/>
      <c r="E9" s="61" t="s">
        <v>637</v>
      </c>
      <c r="F9" s="785">
        <f ca="1">IF(INDIRECT("'数据-取费表'!ah"&amp;$G$1)="",INDIRECT("'数据-取费表'!k"&amp;$G$1),INDIRECT("'数据-取费表'!ah"&amp;$G$1))</f>
        <v>0</v>
      </c>
      <c r="G9" s="1579"/>
      <c r="H9" s="2454"/>
      <c r="I9" s="3466"/>
      <c r="J9" s="788"/>
      <c r="K9" s="789"/>
      <c r="L9" s="784" t="s">
        <v>1738</v>
      </c>
      <c r="M9" s="785">
        <f ca="1">F9</f>
        <v>0</v>
      </c>
    </row>
    <row r="10" spans="1:25" ht="18" customHeight="1">
      <c r="A10" s="2458"/>
      <c r="B10" s="3467"/>
      <c r="C10" s="1812"/>
      <c r="D10" s="1809"/>
      <c r="E10" s="61" t="s">
        <v>638</v>
      </c>
      <c r="F10" s="785">
        <f ca="1">INDIRECT("'数据-取费表'!ai"&amp;$G$1)</f>
        <v>0</v>
      </c>
      <c r="G10" s="1579"/>
      <c r="H10" s="2454"/>
      <c r="I10" s="3467"/>
      <c r="J10" s="788"/>
      <c r="K10" s="789"/>
      <c r="L10" s="784" t="s">
        <v>1739</v>
      </c>
      <c r="M10" s="785">
        <f ca="1">INDIRECT("'数据-取费表'!ai"&amp;$G$1)</f>
        <v>0</v>
      </c>
    </row>
    <row r="11" spans="1:25" ht="18" customHeight="1">
      <c r="A11" s="786"/>
      <c r="B11" s="3468"/>
      <c r="C11" s="1812"/>
      <c r="D11" s="1809"/>
      <c r="E11" s="61" t="s">
        <v>639</v>
      </c>
      <c r="F11" s="794">
        <f ca="1">INDIRECT("'数据-取费表'!w"&amp;$G$1)</f>
        <v>0</v>
      </c>
      <c r="G11" s="1579"/>
      <c r="H11" s="2470"/>
      <c r="I11" s="3467"/>
      <c r="J11" s="788"/>
      <c r="K11" s="789"/>
      <c r="L11" s="795" t="s">
        <v>1740</v>
      </c>
      <c r="M11" s="796">
        <f ca="1">INDIRECT("'数据-取费表'!ab"&amp;$G$1)</f>
        <v>0</v>
      </c>
    </row>
    <row r="12" spans="1:25" ht="18" customHeight="1">
      <c r="A12" s="1816" t="s">
        <v>1824</v>
      </c>
      <c r="B12" s="2459" t="s">
        <v>2457</v>
      </c>
      <c r="C12" s="799">
        <f ca="1">ROUND(IF(F12="押一",C8/12*F13,IF(F12="押二",C8/12*2*F13,IF(F12="押三",C8/12*3*F13,C13*F13))),0)</f>
        <v>0</v>
      </c>
      <c r="D12" s="2466" t="s">
        <v>2970</v>
      </c>
      <c r="E12" s="2463" t="s">
        <v>2462</v>
      </c>
      <c r="F12" s="2586"/>
      <c r="G12" s="1579"/>
      <c r="H12" s="2526" t="s">
        <v>1824</v>
      </c>
      <c r="I12" s="2531" t="s">
        <v>2457</v>
      </c>
      <c r="J12" s="783">
        <f ca="1">ROUND(IF(M12="押一",J8/12*M13,IF(M12="押二",J8/12*2*M13,IF(M12="押三",J8/12*3*M13,J13*M13))),0)</f>
        <v>0</v>
      </c>
      <c r="K12" s="2466" t="s">
        <v>2970</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2067</v>
      </c>
      <c r="I16" s="2217" t="s">
        <v>2822</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0.04</v>
      </c>
      <c r="G17" s="1580"/>
      <c r="H17" s="803" t="s">
        <v>2068</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2067</v>
      </c>
      <c r="I19" s="784" t="s">
        <v>655</v>
      </c>
      <c r="J19" s="53">
        <f ca="1">ROUND(IF(项目基本情况!B11="自然人",J7*M19,J20+J21+J22),0)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ROUND(J7*M20/1.05,1)</f>
        <v>0</v>
      </c>
      <c r="K20" s="1963" t="s">
        <v>660</v>
      </c>
      <c r="L20" s="784" t="s">
        <v>648</v>
      </c>
      <c r="M20" s="809">
        <f>'数据-取费表'!B41</f>
        <v>9.8999999999999991E-2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IF(K21="按租金收入计税",ROUND(J7*M21,1),ROUND(C31*F35*0.7,1))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3</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7" t="str">
        <f>IF(F25&lt;=1,"单利计息。","复利计息。")&amp;"建造成本、管理费用、销售费用产生的利息。"</f>
        <v>复利计息。建造成本、管理费用、销售费用产生的利息。</v>
      </c>
      <c r="E24" s="1968"/>
      <c r="F24" s="56"/>
      <c r="G24" s="1579"/>
      <c r="H24" s="1817" t="s">
        <v>2068</v>
      </c>
      <c r="I24" s="784" t="s">
        <v>675</v>
      </c>
      <c r="J24" s="53">
        <f ca="1">ROUND(J16*M24,0)</f>
        <v>0</v>
      </c>
      <c r="K24" s="1963" t="s">
        <v>676</v>
      </c>
      <c r="L24" s="784" t="s">
        <v>648</v>
      </c>
      <c r="M24" s="817">
        <f ca="1">INDIRECT("'数据-取费表'!Ak"&amp;$G$1)</f>
        <v>0</v>
      </c>
    </row>
    <row r="25" spans="1:25" s="2050" customFormat="1" ht="18" customHeight="1">
      <c r="A25" s="803" t="s">
        <v>1874</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677</v>
      </c>
      <c r="F25" s="640">
        <f>'数据-取费表'!B20</f>
        <v>3</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1.4E-3</v>
      </c>
      <c r="D26" s="2536"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4" t="s">
        <v>2819</v>
      </c>
      <c r="J27" s="799">
        <f ca="1">J7-J18</f>
        <v>0</v>
      </c>
      <c r="K27" s="1965" t="s">
        <v>699</v>
      </c>
      <c r="L27" s="1967"/>
      <c r="M27" s="820"/>
    </row>
    <row r="28" spans="1:25" ht="18" customHeight="1">
      <c r="A28" s="803" t="s">
        <v>1874</v>
      </c>
      <c r="B28" s="784" t="s">
        <v>2436</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9.0800000000000006E-2</v>
      </c>
      <c r="D30" s="812" t="s">
        <v>708</v>
      </c>
      <c r="E30" s="784" t="s">
        <v>648</v>
      </c>
      <c r="F30" s="809">
        <f>'数据-取费表'!B41</f>
        <v>9.8999999999999991E-2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2820</v>
      </c>
      <c r="C31" s="2509">
        <f ca="1">ROUND((C21+C22+C25+C28)/(1-F23-C26-C29-C30),0)</f>
        <v>0</v>
      </c>
      <c r="D31" s="2510"/>
      <c r="E31" s="2511"/>
      <c r="F31" s="2512"/>
      <c r="G31" s="1580"/>
      <c r="H31" s="823" t="s">
        <v>1871</v>
      </c>
      <c r="I31" s="2965" t="s">
        <v>2821</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2"/>
      <c r="F32" s="2456"/>
      <c r="G32" s="2048"/>
      <c r="H32" s="2051"/>
      <c r="I32" s="2052"/>
      <c r="J32" s="2053"/>
      <c r="K32" s="2054"/>
      <c r="L32" s="2055"/>
      <c r="M32" s="2056"/>
    </row>
    <row r="33" spans="1:18" ht="18" customHeight="1">
      <c r="A33" s="803" t="s">
        <v>1875</v>
      </c>
      <c r="B33" s="784" t="s">
        <v>655</v>
      </c>
      <c r="C33" s="53">
        <f ca="1">ROUND(IF(项目基本情况!B11="自然人",C7*F33,C34+C35+C36),1)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ROUND(C7*F34/1.05,1)</f>
        <v>0</v>
      </c>
      <c r="D34" s="1963" t="s">
        <v>660</v>
      </c>
      <c r="E34" s="784" t="s">
        <v>648</v>
      </c>
      <c r="F34" s="809">
        <f>'数据-取费表'!B41</f>
        <v>9.8999999999999991E-2</v>
      </c>
      <c r="G34" s="2048"/>
      <c r="H34" s="2057"/>
      <c r="I34" s="2058"/>
      <c r="J34" s="2059"/>
      <c r="K34" s="2060"/>
      <c r="L34" s="2061"/>
      <c r="M34" s="2062"/>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3</v>
      </c>
      <c r="G36" s="2048"/>
      <c r="H36" s="2051"/>
      <c r="I36" s="3464"/>
      <c r="J36" s="2065"/>
      <c r="K36" s="2066"/>
      <c r="L36" s="2065"/>
      <c r="M36" s="2065"/>
    </row>
    <row r="37" spans="1:18" ht="18" customHeight="1">
      <c r="A37" s="815"/>
      <c r="B37" s="793"/>
      <c r="C37" s="69"/>
      <c r="D37" s="816"/>
      <c r="E37" s="784" t="s">
        <v>673</v>
      </c>
      <c r="F37" s="785">
        <f ca="1">INDIRECT("'数据-取费表'!r"&amp;$G$1)</f>
        <v>0</v>
      </c>
      <c r="G37" s="2048"/>
      <c r="H37" s="2051"/>
      <c r="I37" s="3464"/>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5" t="s">
        <v>1878</v>
      </c>
      <c r="B40" s="2511" t="s">
        <v>665</v>
      </c>
      <c r="C40" s="2509">
        <f ca="1">ROUND(C7*F40,1)</f>
        <v>0</v>
      </c>
      <c r="D40" s="2510" t="s">
        <v>682</v>
      </c>
      <c r="E40" s="2511" t="s">
        <v>648</v>
      </c>
      <c r="F40" s="2507">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5" t="s">
        <v>2958</v>
      </c>
      <c r="F43" s="3076">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1">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10"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7" t="s">
        <v>2347</v>
      </c>
      <c r="L48" s="3111">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8"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9"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9"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2">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2974</v>
      </c>
      <c r="J54" s="3106">
        <f ca="1">IF(M48="住宅",MAX(J52,L49-'数据-取费表'!B20),MIN(J52,L49-'数据-取费表'!B20))</f>
        <v>-3</v>
      </c>
      <c r="K54" s="3469"/>
      <c r="L54" s="3470"/>
      <c r="O54" s="2366" t="s">
        <v>2386</v>
      </c>
      <c r="P54" s="2364" t="s">
        <v>2387</v>
      </c>
      <c r="Q54" s="2365">
        <f ca="1">J54</f>
        <v>-3</v>
      </c>
      <c r="R54" s="2364" t="s">
        <v>2388</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2389</v>
      </c>
      <c r="P55" s="2364" t="s">
        <v>2406</v>
      </c>
      <c r="Q55" s="2365">
        <f ca="1">Q49+Q50</f>
        <v>0</v>
      </c>
      <c r="R55" s="2368" t="s">
        <v>2390</v>
      </c>
    </row>
    <row r="56" spans="1:18" s="2045" customFormat="1" ht="16.5" thickBot="1">
      <c r="A56" s="2082"/>
      <c r="B56" s="2083"/>
      <c r="C56" s="2083"/>
      <c r="I56" s="3115" t="s">
        <v>2353</v>
      </c>
      <c r="J56" s="3054" t="e">
        <f ca="1">ROUND(IF(J48="钢混",J58/J51,1-(1-2%)*(J51-J58)/J51),3)</f>
        <v>#VALUE!</v>
      </c>
      <c r="K56" s="3116" t="s">
        <v>2354</v>
      </c>
      <c r="L56" s="2351"/>
      <c r="O56" s="2369" t="s">
        <v>2409</v>
      </c>
      <c r="P56" s="1579"/>
      <c r="Q56" s="1590"/>
      <c r="R56" s="1579"/>
    </row>
    <row r="57" spans="1:18" s="2045" customFormat="1" ht="43.5" thickBot="1">
      <c r="A57" s="2082"/>
      <c r="B57" s="2083"/>
      <c r="C57" s="2083"/>
      <c r="I57" s="3117" t="s">
        <v>2355</v>
      </c>
      <c r="J57" s="3127" t="s">
        <v>1677</v>
      </c>
      <c r="K57" s="3079" t="s">
        <v>2360</v>
      </c>
      <c r="L57" s="1894">
        <f ca="1">IF(L49&lt;J52,"——",L49-J52)</f>
        <v>0</v>
      </c>
      <c r="O57" s="2360" t="s">
        <v>2373</v>
      </c>
      <c r="P57" s="2361" t="s">
        <v>2374</v>
      </c>
      <c r="Q57" s="2362" t="s">
        <v>2375</v>
      </c>
      <c r="R57" s="2361" t="s">
        <v>2376</v>
      </c>
    </row>
    <row r="58" spans="1:18" s="2045" customFormat="1" ht="29.25" thickBot="1">
      <c r="A58" s="2082"/>
      <c r="B58" s="2083"/>
      <c r="C58" s="2083"/>
      <c r="I58" s="3118" t="s">
        <v>2356</v>
      </c>
      <c r="J58" s="3119"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8"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8" t="s">
        <v>2358</v>
      </c>
      <c r="J60" s="3119"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20" t="s">
        <v>2359</v>
      </c>
      <c r="J61" s="3121" t="str">
        <f ca="1">IF(OR(M48="住宅",J52&lt;L49,J57="是"),"0",ROUND(J60/(1+J53)^J54,0))</f>
        <v>0</v>
      </c>
      <c r="K61" s="3122" t="s">
        <v>2364</v>
      </c>
      <c r="L61" s="3121"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3" t="s">
        <v>2365</v>
      </c>
      <c r="J63" s="3124" t="s">
        <v>2366</v>
      </c>
      <c r="K63" s="3124" t="s">
        <v>2367</v>
      </c>
      <c r="L63" s="3124" t="s">
        <v>2348</v>
      </c>
      <c r="M63" s="3125" t="s">
        <v>2938</v>
      </c>
      <c r="O63" s="2366" t="s">
        <v>2386</v>
      </c>
      <c r="P63" s="2364" t="s">
        <v>2394</v>
      </c>
      <c r="Q63" s="2365">
        <f ca="1">L60</f>
        <v>0</v>
      </c>
      <c r="R63" s="2368" t="s">
        <v>2395</v>
      </c>
    </row>
    <row r="64" spans="1:18" s="2045" customFormat="1" ht="15.75" thickBot="1">
      <c r="A64" s="2082"/>
      <c r="B64" s="2083"/>
      <c r="C64" s="2083"/>
      <c r="I64" s="3123" t="s">
        <v>2368</v>
      </c>
      <c r="J64" s="3124">
        <v>70</v>
      </c>
      <c r="K64" s="3124">
        <v>50</v>
      </c>
      <c r="L64" s="3124">
        <v>80</v>
      </c>
      <c r="M64" s="3126">
        <v>0.02</v>
      </c>
      <c r="O64" s="2363" t="s">
        <v>2389</v>
      </c>
      <c r="P64" s="2364" t="s">
        <v>2406</v>
      </c>
      <c r="Q64" s="2365" t="e">
        <f ca="1">Q58+Q59</f>
        <v>#DIV/0!</v>
      </c>
      <c r="R64" s="2368" t="s">
        <v>2390</v>
      </c>
    </row>
    <row r="65" spans="1:18" s="2045" customFormat="1" ht="16.5" thickBot="1">
      <c r="A65" s="2082"/>
      <c r="B65" s="2083"/>
      <c r="C65" s="2083"/>
      <c r="I65" s="3123" t="s">
        <v>2369</v>
      </c>
      <c r="J65" s="3124">
        <v>50</v>
      </c>
      <c r="K65" s="3124">
        <v>35</v>
      </c>
      <c r="L65" s="3124">
        <v>60</v>
      </c>
      <c r="M65" s="846">
        <v>0</v>
      </c>
      <c r="O65" s="2369" t="s">
        <v>2413</v>
      </c>
      <c r="P65" s="1579"/>
      <c r="Q65" s="1590"/>
      <c r="R65" s="1579"/>
    </row>
    <row r="66" spans="1:18" s="2045" customFormat="1" ht="15.75" thickBot="1">
      <c r="A66" s="2082"/>
      <c r="B66" s="2083"/>
      <c r="C66" s="2083"/>
      <c r="I66" s="3123" t="s">
        <v>2370</v>
      </c>
      <c r="J66" s="3124">
        <v>40</v>
      </c>
      <c r="K66" s="3124">
        <v>30</v>
      </c>
      <c r="L66" s="3124">
        <v>50</v>
      </c>
      <c r="M66" s="3126">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H1" zoomScale="80" zoomScaleNormal="80" workbookViewId="0">
      <selection activeCell="O2" sqref="O2"/>
    </sheetView>
  </sheetViews>
  <sheetFormatPr defaultRowHeight="13.5"/>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58" sqref="H58"/>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3004</v>
      </c>
      <c r="D1" s="3078" t="s">
        <v>3051</v>
      </c>
      <c r="E1" s="2352" t="s">
        <v>2372</v>
      </c>
      <c r="F1" s="2353">
        <f ca="1">J53</f>
        <v>27.23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2644</v>
      </c>
      <c r="C2" s="2043"/>
      <c r="D2" s="2041"/>
      <c r="E2" s="2042"/>
      <c r="F2" s="2042"/>
      <c r="G2" s="1577"/>
      <c r="H2" s="2043"/>
      <c r="I2" s="2043"/>
      <c r="J2" s="2043"/>
      <c r="K2" s="2044"/>
      <c r="L2" s="2043"/>
      <c r="M2" s="2043"/>
    </row>
    <row r="3" spans="1:33" ht="18" customHeight="1" thickBot="1">
      <c r="A3" s="833" t="s">
        <v>1726</v>
      </c>
      <c r="B3" s="834">
        <f ca="1">IF(ISERROR(B2*10000/F43),0,ROUND(B2*10000/F43,0))</f>
        <v>3545</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2456</v>
      </c>
      <c r="C5" s="55">
        <f ca="1">C6+C10+C12</f>
        <v>347</v>
      </c>
      <c r="D5" s="2461" t="s">
        <v>2459</v>
      </c>
      <c r="E5" s="2455"/>
      <c r="F5" s="2456"/>
      <c r="G5" s="1579"/>
      <c r="H5" s="781">
        <v>1</v>
      </c>
      <c r="I5" s="782" t="s">
        <v>2456</v>
      </c>
      <c r="J5" s="55">
        <f ca="1">J6+J10+J12</f>
        <v>0</v>
      </c>
      <c r="K5" s="2461" t="s">
        <v>2459</v>
      </c>
      <c r="L5" s="2455"/>
      <c r="M5" s="2456"/>
    </row>
    <row r="6" spans="1:33" ht="18" customHeight="1">
      <c r="A6" s="1816" t="s">
        <v>1823</v>
      </c>
      <c r="B6" s="3465" t="s">
        <v>2461</v>
      </c>
      <c r="C6" s="783">
        <f ca="1">ROUND(F6*F8*F7*(1-F9)/10000,0)</f>
        <v>347</v>
      </c>
      <c r="D6" s="2462" t="s">
        <v>2460</v>
      </c>
      <c r="E6" s="784" t="s">
        <v>1737</v>
      </c>
      <c r="F6" s="785">
        <f ca="1">INDIRECT("'数据-取费表'!u"&amp;$G$1)</f>
        <v>1.5</v>
      </c>
      <c r="G6" s="1579"/>
      <c r="H6" s="2469" t="s">
        <v>2466</v>
      </c>
      <c r="I6" s="3465" t="s">
        <v>2461</v>
      </c>
      <c r="J6" s="783">
        <f ca="1">ROUND(M6*M8*M7*(1-M9)/10000,0)</f>
        <v>0</v>
      </c>
      <c r="K6" s="341" t="s">
        <v>1736</v>
      </c>
      <c r="L6" s="784" t="s">
        <v>1737</v>
      </c>
      <c r="M6" s="785">
        <f ca="1">INDIRECT("'数据-取费表'!z"&amp;$G$1)</f>
        <v>0</v>
      </c>
    </row>
    <row r="7" spans="1:33" ht="18" customHeight="1">
      <c r="A7" s="2465"/>
      <c r="B7" s="3466"/>
      <c r="C7" s="788"/>
      <c r="D7" s="789"/>
      <c r="E7" s="784" t="s">
        <v>1738</v>
      </c>
      <c r="F7" s="785">
        <f ca="1">IF(INDIRECT("'数据-取费表'!ah"&amp;$G$1)="",INDIRECT("'数据-取费表'!k"&amp;$G$1),INDIRECT("'数据-取费表'!ah"&amp;$G$1))</f>
        <v>7459.4</v>
      </c>
      <c r="G7" s="1579"/>
      <c r="H7" s="2454"/>
      <c r="I7" s="3466"/>
      <c r="J7" s="788"/>
      <c r="K7" s="789"/>
      <c r="L7" s="784" t="s">
        <v>1738</v>
      </c>
      <c r="M7" s="785">
        <f ca="1">F7</f>
        <v>7459.4</v>
      </c>
    </row>
    <row r="8" spans="1:33" ht="18" customHeight="1">
      <c r="A8" s="2458"/>
      <c r="B8" s="3467"/>
      <c r="C8" s="788"/>
      <c r="D8" s="789"/>
      <c r="E8" s="784" t="s">
        <v>1739</v>
      </c>
      <c r="F8" s="785">
        <f ca="1">INDIRECT("'数据-取费表'!ai"&amp;$G$1)</f>
        <v>365</v>
      </c>
      <c r="G8" s="1579"/>
      <c r="H8" s="2454"/>
      <c r="I8" s="3467"/>
      <c r="J8" s="788"/>
      <c r="K8" s="789"/>
      <c r="L8" s="784" t="s">
        <v>1739</v>
      </c>
      <c r="M8" s="785">
        <f ca="1">INDIRECT("'数据-取费表'!ai"&amp;$G$1)</f>
        <v>365</v>
      </c>
    </row>
    <row r="9" spans="1:33" ht="18" customHeight="1">
      <c r="A9" s="786"/>
      <c r="B9" s="3468"/>
      <c r="C9" s="788"/>
      <c r="D9" s="789"/>
      <c r="E9" s="784" t="s">
        <v>1740</v>
      </c>
      <c r="F9" s="794">
        <f ca="1">INDIRECT("'数据-取费表'!w"&amp;$G$1)</f>
        <v>0.15</v>
      </c>
      <c r="G9" s="1579"/>
      <c r="H9" s="2470"/>
      <c r="I9" s="3467"/>
      <c r="J9" s="788"/>
      <c r="K9" s="789"/>
      <c r="L9" s="795" t="s">
        <v>1740</v>
      </c>
      <c r="M9" s="796">
        <f ca="1">INDIRECT("'数据-取费表'!ab"&amp;$G$1)</f>
        <v>0</v>
      </c>
    </row>
    <row r="10" spans="1:33" ht="18" customHeight="1">
      <c r="A10" s="1816" t="s">
        <v>2464</v>
      </c>
      <c r="B10" s="2459" t="s">
        <v>2457</v>
      </c>
      <c r="C10" s="799">
        <f ca="1">ROUND(IF(F10="押一",C6/12*F11,IF(F10="押二",C6/12*2*F11,IF(F10="押三",C6/12*3*F11,C11*F11))),0)</f>
        <v>0</v>
      </c>
      <c r="D10" s="2466" t="s">
        <v>2970</v>
      </c>
      <c r="E10" s="2463" t="s">
        <v>2462</v>
      </c>
      <c r="F10" s="2586" t="s">
        <v>3052</v>
      </c>
      <c r="G10" s="1579"/>
      <c r="H10" s="2526" t="s">
        <v>2467</v>
      </c>
      <c r="I10" s="2531" t="s">
        <v>2457</v>
      </c>
      <c r="J10" s="783">
        <f ca="1">ROUND(IF(M10="押一",J6/12*M11,IF(M10="押二",J6/12*2*M11,IF(M10="押三",J6/12*3*M11,J11*M11))),0)</f>
        <v>0</v>
      </c>
      <c r="K10" s="2466" t="s">
        <v>2970</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1741</v>
      </c>
      <c r="C13" s="792">
        <f ca="1">ROUND(C29*F13,0)</f>
        <v>4845</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644</v>
      </c>
      <c r="C14" s="804">
        <f ca="1">INDIRECT("'数据-取费表'!m"&amp;$G$1)+INDIRECT("'数据-取费表'!t"&amp;$G$1)</f>
        <v>2984</v>
      </c>
      <c r="D14" s="1965" t="s">
        <v>1744</v>
      </c>
      <c r="E14" s="1966"/>
      <c r="F14" s="805"/>
      <c r="G14" s="1579"/>
      <c r="H14" s="1635" t="s">
        <v>1829</v>
      </c>
      <c r="I14" s="2217" t="s">
        <v>2823</v>
      </c>
      <c r="J14" s="53">
        <f ca="1">C29</f>
        <v>4845</v>
      </c>
      <c r="K14" s="26"/>
      <c r="L14" s="801"/>
      <c r="M14" s="802"/>
    </row>
    <row r="15" spans="1:33" s="2050" customFormat="1" ht="18" customHeight="1" thickBot="1">
      <c r="A15" s="1634" t="s">
        <v>1884</v>
      </c>
      <c r="B15" s="784" t="s">
        <v>646</v>
      </c>
      <c r="C15" s="53">
        <f ca="1">ROUND(C14*F15,0)</f>
        <v>119</v>
      </c>
      <c r="D15" s="806" t="s">
        <v>1745</v>
      </c>
      <c r="E15" s="806" t="s">
        <v>1746</v>
      </c>
      <c r="F15" s="807">
        <f>'数据-取费表'!B33</f>
        <v>0.04</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505</v>
      </c>
      <c r="K16" s="1807" t="s">
        <v>1749</v>
      </c>
      <c r="L16" s="2451"/>
      <c r="M16" s="2456"/>
    </row>
    <row r="17" spans="1:33" s="2050" customFormat="1" ht="18" customHeight="1">
      <c r="A17" s="1634" t="s">
        <v>1886</v>
      </c>
      <c r="B17" s="784" t="s">
        <v>652</v>
      </c>
      <c r="C17" s="53">
        <f ca="1">ROUND(F17*(F43+INDIRECT("'数据-取费表'!S"&amp;$G$1))/10000,0)</f>
        <v>152</v>
      </c>
      <c r="D17" s="784" t="s">
        <v>1750</v>
      </c>
      <c r="E17" s="784" t="s">
        <v>1751</v>
      </c>
      <c r="F17" s="56">
        <f>'数据-取费表'!B35</f>
        <v>200</v>
      </c>
      <c r="G17" s="1580"/>
      <c r="H17" s="1635" t="s">
        <v>1829</v>
      </c>
      <c r="I17" s="784" t="s">
        <v>655</v>
      </c>
      <c r="J17" s="53">
        <f ca="1">ROUND(IF(项目基本情况!B11="自然人",J5*M17,J18+J19+J20),0)</f>
        <v>408</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45</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9.8999999999999991E-2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3300</v>
      </c>
      <c r="D19" s="261" t="s">
        <v>1756</v>
      </c>
      <c r="E19" s="1968"/>
      <c r="F19" s="56"/>
      <c r="G19" s="1579"/>
      <c r="H19" s="1634" t="s">
        <v>1884</v>
      </c>
      <c r="I19" s="784" t="s">
        <v>1757</v>
      </c>
      <c r="J19" s="53">
        <f ca="1">IF(K19="按租金收入计税",ROUND(J5*M19,1),ROUND(C29*F33*0.7,1))</f>
        <v>407</v>
      </c>
      <c r="K19" s="811" t="s">
        <v>664</v>
      </c>
      <c r="L19" s="784" t="s">
        <v>1746</v>
      </c>
      <c r="M19" s="809">
        <f>IF(K19="按租金收入计税",'数据-取费表'!B51,'数据-取费表'!B50)</f>
        <v>1.2E-2</v>
      </c>
    </row>
    <row r="20" spans="1:33" s="2050" customFormat="1" ht="18" customHeight="1">
      <c r="A20" s="1635" t="s">
        <v>1888</v>
      </c>
      <c r="B20" s="784" t="s">
        <v>665</v>
      </c>
      <c r="C20" s="53">
        <f ca="1">ROUND(C19*F20,0)</f>
        <v>66</v>
      </c>
      <c r="D20" s="812" t="s">
        <v>1758</v>
      </c>
      <c r="E20" s="784" t="s">
        <v>1746</v>
      </c>
      <c r="F20" s="809">
        <f>'数据-取费表'!B37</f>
        <v>0.02</v>
      </c>
      <c r="G20" s="1580"/>
      <c r="H20" s="1637" t="s">
        <v>1879</v>
      </c>
      <c r="I20" s="341" t="s">
        <v>1759</v>
      </c>
      <c r="J20" s="54">
        <f ca="1">ROUND(M20*M21/10000,0)</f>
        <v>1</v>
      </c>
      <c r="K20" s="814" t="s">
        <v>1760</v>
      </c>
      <c r="L20" s="784" t="s">
        <v>1761</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3016.32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97</v>
      </c>
      <c r="K22" s="2449" t="s">
        <v>1768</v>
      </c>
      <c r="L22" s="784" t="s">
        <v>1746</v>
      </c>
      <c r="M22" s="817">
        <f ca="1">INDIRECT("'数据-取费表'!Ak"&amp;$G$1)</f>
        <v>0.02</v>
      </c>
    </row>
    <row r="23" spans="1:33" s="2050" customFormat="1" ht="18" customHeight="1">
      <c r="A23" s="1634" t="s">
        <v>1830</v>
      </c>
      <c r="B23" s="784" t="s">
        <v>2533</v>
      </c>
      <c r="C23" s="53">
        <f ca="1">ROUND(IF('数据-取费表'!B22&lt;=1,(C19+C20)*F24*F23/2,(C19+C20)*(POWER((1+F24),F23/2)-1)),0)</f>
        <v>243</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678</v>
      </c>
      <c r="J23" s="53">
        <f ca="1">ROUND(J13*M23,0)</f>
        <v>0</v>
      </c>
      <c r="K23" s="2449" t="s">
        <v>1770</v>
      </c>
      <c r="L23" s="784" t="s">
        <v>1746</v>
      </c>
      <c r="M23" s="818">
        <f ca="1">INDIRECT("'数据-取费表'!Al"&amp;$G$1)</f>
        <v>2.5000000000000001E-3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665</v>
      </c>
      <c r="J24" s="2509">
        <f ca="1">ROUND(J5*M24,0)</f>
        <v>0</v>
      </c>
      <c r="K24" s="2510" t="s">
        <v>1773</v>
      </c>
      <c r="L24" s="2511" t="s">
        <v>1746</v>
      </c>
      <c r="M24" s="2507">
        <f ca="1">INDIRECT("'数据-取费表'!Am"&amp;$G$1)</f>
        <v>2.5000000000000001E-2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3" t="s">
        <v>2819</v>
      </c>
      <c r="J25" s="792">
        <f ca="1">J5-J16</f>
        <v>-505</v>
      </c>
      <c r="K25" s="2513" t="s">
        <v>1776</v>
      </c>
      <c r="L25" s="2514"/>
      <c r="M25" s="2515"/>
    </row>
    <row r="26" spans="1:33" ht="18" customHeight="1">
      <c r="A26" s="1634" t="s">
        <v>1830</v>
      </c>
      <c r="B26" s="784" t="s">
        <v>2436</v>
      </c>
      <c r="C26" s="53">
        <f ca="1">ROUND((C19+C20)*F26,0)</f>
        <v>673</v>
      </c>
      <c r="D26" s="812" t="s">
        <v>1777</v>
      </c>
      <c r="E26" s="795" t="s">
        <v>1778</v>
      </c>
      <c r="F26" s="794">
        <f ca="1">INDIRECT("'数据-取费表'!q"&amp;$G$1)</f>
        <v>0.2</v>
      </c>
      <c r="G26" s="1579"/>
      <c r="H26" s="2467" t="s">
        <v>1779</v>
      </c>
      <c r="I26" s="2218" t="s">
        <v>2824</v>
      </c>
      <c r="J26" s="783">
        <f ca="1">IF(J5&lt;&gt;0,ROUND(J25*(1-((1+M28)/(1+M26))^M27)/(M26-M28),0),0)</f>
        <v>0</v>
      </c>
      <c r="K26" s="814" t="s">
        <v>1780</v>
      </c>
      <c r="L26" s="784" t="s">
        <v>2417</v>
      </c>
      <c r="M26" s="794">
        <f ca="1">INDIRECT("'数据-取费表'!I"&amp;$G$1)</f>
        <v>5.5E-2</v>
      </c>
    </row>
    <row r="27" spans="1:33" ht="18" customHeight="1">
      <c r="A27" s="1634" t="s">
        <v>1831</v>
      </c>
      <c r="B27" s="784" t="s">
        <v>685</v>
      </c>
      <c r="C27" s="53">
        <f ca="1">ROUND(F21*F26,4)</f>
        <v>4.0000000000000001E-3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686</v>
      </c>
      <c r="C28" s="53">
        <f>ROUND(F28/(1+'数据-取费表'!C42),4)</f>
        <v>9.0800000000000006E-2</v>
      </c>
      <c r="D28" s="812" t="s">
        <v>2297</v>
      </c>
      <c r="E28" s="784" t="s">
        <v>1784</v>
      </c>
      <c r="F28" s="809">
        <f>'数据-取费表'!B41</f>
        <v>9.8999999999999991E-2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4845</v>
      </c>
      <c r="D29" s="2510"/>
      <c r="E29" s="2511"/>
      <c r="F29" s="2512"/>
      <c r="G29" s="1580"/>
      <c r="H29" s="823" t="s">
        <v>1786</v>
      </c>
      <c r="I29" s="824" t="s">
        <v>1787</v>
      </c>
      <c r="J29" s="825">
        <f ca="1">ROUND(J26/(1+F40)^F41,0)</f>
        <v>0</v>
      </c>
      <c r="K29" s="826" t="s">
        <v>1788</v>
      </c>
      <c r="L29" s="827"/>
      <c r="M29" s="828">
        <f ca="1">INDIRECT("'数据-取费表'!k"&amp;$G$1)</f>
        <v>7459.4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193</v>
      </c>
      <c r="D30" s="1807" t="s">
        <v>1790</v>
      </c>
      <c r="E30" s="2451"/>
      <c r="F30" s="2456"/>
      <c r="G30" s="2048"/>
      <c r="H30" s="2051"/>
      <c r="I30" s="2052"/>
      <c r="J30" s="2053"/>
      <c r="K30" s="2054"/>
      <c r="L30" s="2055"/>
      <c r="M30" s="2056"/>
    </row>
    <row r="31" spans="1:33" ht="18" customHeight="1">
      <c r="A31" s="1635" t="s">
        <v>1829</v>
      </c>
      <c r="B31" s="784" t="s">
        <v>655</v>
      </c>
      <c r="C31" s="53">
        <f ca="1">ROUND(IF(项目基本情况!B11="自然人",C5*F31,C32+C33+C34),1)</f>
        <v>75.2</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32.700000000000003</v>
      </c>
      <c r="D32" s="1963" t="s">
        <v>1794</v>
      </c>
      <c r="E32" s="784" t="s">
        <v>1795</v>
      </c>
      <c r="F32" s="809">
        <f>'数据-取费表'!B41</f>
        <v>9.8999999999999991E-2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41.6</v>
      </c>
      <c r="D33" s="811" t="s">
        <v>3053</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0.9</v>
      </c>
      <c r="D34" s="814" t="s">
        <v>1798</v>
      </c>
      <c r="E34" s="784" t="s">
        <v>1799</v>
      </c>
      <c r="F34" s="640">
        <f>'数据-取费表'!B52</f>
        <v>3</v>
      </c>
      <c r="G34" s="2048"/>
      <c r="H34" s="2051"/>
      <c r="I34" s="835" t="s">
        <v>1812</v>
      </c>
      <c r="J34" s="836"/>
      <c r="K34" s="2066"/>
      <c r="L34" s="2065"/>
      <c r="M34" s="2065"/>
    </row>
    <row r="35" spans="1:18" ht="18" customHeight="1">
      <c r="A35" s="815"/>
      <c r="B35" s="793"/>
      <c r="C35" s="69"/>
      <c r="D35" s="816"/>
      <c r="E35" s="784" t="s">
        <v>1800</v>
      </c>
      <c r="F35" s="785">
        <f ca="1">INDIRECT("'数据-取费表'!r"&amp;$G$1)</f>
        <v>3016.32</v>
      </c>
      <c r="G35" s="2048"/>
      <c r="H35" s="2051"/>
      <c r="I35" s="837" t="s">
        <v>1813</v>
      </c>
      <c r="J35" s="838">
        <f ca="1">ROUND(C13*J36,0)</f>
        <v>412</v>
      </c>
      <c r="K35" s="2064"/>
      <c r="L35" s="2063"/>
      <c r="M35" s="2063"/>
    </row>
    <row r="36" spans="1:18" ht="18" customHeight="1">
      <c r="A36" s="1635" t="s">
        <v>1888</v>
      </c>
      <c r="B36" s="784" t="s">
        <v>1801</v>
      </c>
      <c r="C36" s="53">
        <f ca="1">ROUND(C29*F36,1)</f>
        <v>96.9</v>
      </c>
      <c r="D36" s="1963" t="s">
        <v>1802</v>
      </c>
      <c r="E36" s="784" t="s">
        <v>1795</v>
      </c>
      <c r="F36" s="817">
        <f ca="1">INDIRECT("'数据-取费表'!Ak"&amp;$G$1)</f>
        <v>0.02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12.1</v>
      </c>
      <c r="D37" s="1963" t="s">
        <v>1803</v>
      </c>
      <c r="E37" s="784" t="s">
        <v>1795</v>
      </c>
      <c r="F37" s="818">
        <f ca="1">INDIRECT("'数据-取费表'!Al"&amp;$G$1)</f>
        <v>2.5000000000000001E-3</v>
      </c>
      <c r="G37" s="2048"/>
      <c r="H37" s="2063"/>
      <c r="I37" s="841" t="s">
        <v>1815</v>
      </c>
      <c r="J37" s="842"/>
      <c r="K37" s="2068"/>
      <c r="L37" s="2063"/>
      <c r="M37" s="2063"/>
    </row>
    <row r="38" spans="1:18" ht="18" customHeight="1" thickBot="1">
      <c r="A38" s="2516" t="s">
        <v>1890</v>
      </c>
      <c r="B38" s="2511" t="s">
        <v>665</v>
      </c>
      <c r="C38" s="2509">
        <f ca="1">ROUND(C5*F38,1)</f>
        <v>8.6999999999999993</v>
      </c>
      <c r="D38" s="2510" t="s">
        <v>1804</v>
      </c>
      <c r="E38" s="2511" t="s">
        <v>1795</v>
      </c>
      <c r="F38" s="2507">
        <f ca="1">INDIRECT("'数据-取费表'!Am"&amp;$G$1)</f>
        <v>2.5000000000000001E-2</v>
      </c>
      <c r="G38" s="2048"/>
      <c r="H38" s="2063"/>
      <c r="I38" s="843" t="s">
        <v>1816</v>
      </c>
      <c r="J38" s="844"/>
      <c r="K38" s="2069"/>
      <c r="L38" s="2063"/>
      <c r="M38" s="2063"/>
    </row>
    <row r="39" spans="1:18" ht="24.6" customHeight="1" thickTop="1">
      <c r="A39" s="1815" t="s">
        <v>1893</v>
      </c>
      <c r="B39" s="2963" t="s">
        <v>2819</v>
      </c>
      <c r="C39" s="792">
        <f ca="1">C5-C30</f>
        <v>154</v>
      </c>
      <c r="D39" s="2513" t="s">
        <v>1805</v>
      </c>
      <c r="E39" s="2514"/>
      <c r="F39" s="2515"/>
      <c r="G39" s="2048"/>
      <c r="H39" s="2063"/>
      <c r="I39" s="837" t="s">
        <v>1817</v>
      </c>
      <c r="J39" s="845">
        <f ca="1">ROUND(J35/C39,3)</f>
        <v>2.6749999999999998</v>
      </c>
      <c r="K39" s="2069"/>
      <c r="L39" s="2063"/>
      <c r="M39" s="2063"/>
    </row>
    <row r="40" spans="1:18" ht="18" customHeight="1">
      <c r="A40" s="781" t="s">
        <v>1894</v>
      </c>
      <c r="B40" s="2218" t="s">
        <v>2299</v>
      </c>
      <c r="C40" s="783">
        <f ca="1">ROUND(C39*(1-((1+F42)/(1+F40))^F41)/(F40-F42),0)</f>
        <v>2644</v>
      </c>
      <c r="D40" s="814" t="s">
        <v>1806</v>
      </c>
      <c r="E40" s="784" t="s">
        <v>2417</v>
      </c>
      <c r="F40" s="794">
        <f ca="1">INDIRECT("'数据-取费表'!I"&amp;$G$1)</f>
        <v>5.5E-2</v>
      </c>
      <c r="G40" s="2048"/>
      <c r="H40" s="2048"/>
      <c r="I40" s="837" t="s">
        <v>1818</v>
      </c>
      <c r="J40" s="845">
        <f ca="1">1-J39</f>
        <v>-1.6749999999999998</v>
      </c>
      <c r="K40" s="2069"/>
      <c r="L40" s="2048"/>
      <c r="M40" s="2048"/>
    </row>
    <row r="41" spans="1:18" ht="18" customHeight="1">
      <c r="A41" s="786"/>
      <c r="B41" s="787"/>
      <c r="C41" s="788"/>
      <c r="D41" s="821" t="s">
        <v>1807</v>
      </c>
      <c r="E41" s="784" t="s">
        <v>2960</v>
      </c>
      <c r="F41" s="822">
        <f ca="1">IF(INDIRECT("'数据-取费表'!af"&amp;$G$1)=0,INDIRECT("'数据-取费表'!ae"&amp;$G$1),INDIRECT("'数据-取费表'!af"&amp;$G$1))</f>
        <v>27.23</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1.8320000000000001</v>
      </c>
      <c r="K42" s="2068"/>
      <c r="L42" s="1974"/>
      <c r="M42" s="1974"/>
    </row>
    <row r="43" spans="1:18" ht="18" customHeight="1" thickBot="1">
      <c r="A43" s="823" t="s">
        <v>1786</v>
      </c>
      <c r="B43" s="824" t="s">
        <v>1809</v>
      </c>
      <c r="C43" s="825">
        <f ca="1">ROUND(C40*10000/F43,0)</f>
        <v>3545</v>
      </c>
      <c r="D43" s="826" t="s">
        <v>1810</v>
      </c>
      <c r="E43" s="827" t="s">
        <v>1811</v>
      </c>
      <c r="F43" s="828">
        <f ca="1">INDIRECT("'数据-取费表'!k"&amp;$G$1)</f>
        <v>7459.4</v>
      </c>
      <c r="G43" s="2048"/>
      <c r="H43" s="1974"/>
      <c r="I43" s="847" t="s">
        <v>1821</v>
      </c>
      <c r="J43" s="848">
        <f ca="1">1-J42</f>
        <v>-0.83200000000000007</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-4179</v>
      </c>
      <c r="D46" s="2071"/>
      <c r="E46" s="2071"/>
      <c r="F46" s="2071"/>
      <c r="I46" s="2343" t="s">
        <v>2341</v>
      </c>
      <c r="J46" s="2344"/>
      <c r="K46" s="2345"/>
      <c r="L46" s="3110">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100" t="s">
        <v>2342</v>
      </c>
      <c r="J47" s="2346" t="s">
        <v>3033</v>
      </c>
      <c r="K47" s="3107" t="s">
        <v>2347</v>
      </c>
      <c r="L47" s="3111">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635</v>
      </c>
      <c r="E48" s="2341" t="s">
        <v>2294</v>
      </c>
      <c r="F48" s="2342"/>
      <c r="G48" s="2076"/>
      <c r="I48" s="3079" t="s">
        <v>2343</v>
      </c>
      <c r="J48" s="2347" t="s">
        <v>2348</v>
      </c>
      <c r="K48" s="3108" t="s">
        <v>2349</v>
      </c>
      <c r="L48" s="1894">
        <f ca="1">INDIRECT("'数据-取费表'!f"&amp;$G$1)</f>
        <v>30.23</v>
      </c>
      <c r="O48" s="2363" t="s">
        <v>2377</v>
      </c>
      <c r="P48" s="2364" t="s">
        <v>2403</v>
      </c>
      <c r="Q48" s="2365">
        <f ca="1">C40+J29</f>
        <v>2644</v>
      </c>
      <c r="R48" s="2364" t="s">
        <v>2378</v>
      </c>
    </row>
    <row r="49" spans="1:18" s="2045" customFormat="1" ht="18" customHeight="1" thickBot="1">
      <c r="A49" s="786"/>
      <c r="B49" s="787"/>
      <c r="C49" s="788"/>
      <c r="D49" s="789"/>
      <c r="E49" s="784" t="s">
        <v>1738</v>
      </c>
      <c r="F49" s="785">
        <f ca="1">F7</f>
        <v>7459.4</v>
      </c>
      <c r="G49" s="2076"/>
      <c r="H49" s="2079"/>
      <c r="I49" s="3079" t="s">
        <v>2344</v>
      </c>
      <c r="J49" s="2348"/>
      <c r="K49" s="3109" t="s">
        <v>2350</v>
      </c>
      <c r="L49" s="2349"/>
      <c r="O49" s="2363" t="s">
        <v>2379</v>
      </c>
      <c r="P49" s="2364" t="s">
        <v>2404</v>
      </c>
      <c r="Q49" s="2365" t="str">
        <f ca="1">J60</f>
        <v>0</v>
      </c>
      <c r="R49" s="2364" t="s">
        <v>2380</v>
      </c>
    </row>
    <row r="50" spans="1:18" s="2045" customFormat="1" ht="18" customHeight="1" thickBot="1">
      <c r="A50" s="786"/>
      <c r="B50" s="787"/>
      <c r="C50" s="788"/>
      <c r="D50" s="789"/>
      <c r="E50" s="784" t="s">
        <v>1739</v>
      </c>
      <c r="F50" s="785">
        <f ca="1">F8</f>
        <v>365</v>
      </c>
      <c r="G50" s="2081"/>
      <c r="H50" s="2079"/>
      <c r="I50" s="3079" t="s">
        <v>2345</v>
      </c>
      <c r="J50" s="3104">
        <f>SUMPRODUCT((I63:I65=J47)*(J62:L62=J48)*(J63:L65))</f>
        <v>60</v>
      </c>
      <c r="K50" s="3109" t="s">
        <v>2351</v>
      </c>
      <c r="L50" s="2349"/>
      <c r="O50" s="2366" t="s">
        <v>2381</v>
      </c>
      <c r="P50" s="2364" t="s">
        <v>2405</v>
      </c>
      <c r="Q50" s="2365">
        <f ca="1">C29</f>
        <v>4845</v>
      </c>
      <c r="R50" s="2364" t="s">
        <v>2378</v>
      </c>
    </row>
    <row r="51" spans="1:18" s="2045" customFormat="1" ht="18" customHeight="1" thickBot="1">
      <c r="A51" s="786"/>
      <c r="B51" s="787"/>
      <c r="C51" s="788"/>
      <c r="D51" s="789"/>
      <c r="E51" s="784" t="s">
        <v>639</v>
      </c>
      <c r="F51" s="2336"/>
      <c r="H51" s="2079"/>
      <c r="I51" s="3101" t="s">
        <v>2346</v>
      </c>
      <c r="J51" s="3105">
        <f>IF(J49="",J50,J49+J50-YEAR('数据-取费表'!B2))</f>
        <v>60</v>
      </c>
      <c r="K51" s="3079" t="s">
        <v>2352</v>
      </c>
      <c r="L51" s="3112">
        <f ca="1">ROUND(-PV(INDIRECT("'数据-取费表'!h"&amp;$G$1),L48,(C39-C13*J36),0),0)</f>
        <v>-3977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2971</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2974</v>
      </c>
      <c r="J53" s="3106">
        <f ca="1">IF(M47="住宅",IF(D1="——",MAX(J51,L48),MAX(J51,L48-'数据-取费表'!B20)),IF(D1="——",MIN(J51,L48),MIN(J51,L48-'数据-取费表'!B20)))</f>
        <v>27.23</v>
      </c>
      <c r="K53" s="3471" t="s">
        <v>2962</v>
      </c>
      <c r="L53" s="3472"/>
      <c r="O53" s="2366" t="s">
        <v>2386</v>
      </c>
      <c r="P53" s="2364" t="s">
        <v>2387</v>
      </c>
      <c r="Q53" s="2365">
        <f ca="1">J53</f>
        <v>27.23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2644</v>
      </c>
      <c r="R54" s="2368" t="s">
        <v>2390</v>
      </c>
    </row>
    <row r="55" spans="1:18" s="2045" customFormat="1" ht="18" customHeight="1" thickTop="1" thickBot="1">
      <c r="A55" s="797">
        <v>2</v>
      </c>
      <c r="B55" s="798" t="s">
        <v>643</v>
      </c>
      <c r="C55" s="799">
        <f ca="1">C13</f>
        <v>4845</v>
      </c>
      <c r="D55" s="795"/>
      <c r="E55" s="795"/>
      <c r="F55" s="800"/>
      <c r="I55" s="3115" t="s">
        <v>2353</v>
      </c>
      <c r="J55" s="3054" t="e">
        <f ca="1">ROUND(IF(J47="钢混",J57/J50,1-(1-2%)*(J50-J57)/J50),3)</f>
        <v>#VALUE!</v>
      </c>
      <c r="K55" s="3116" t="s">
        <v>2354</v>
      </c>
      <c r="L55" s="2351"/>
      <c r="O55" s="2369" t="s">
        <v>2409</v>
      </c>
      <c r="P55" s="1579"/>
      <c r="Q55" s="1590"/>
      <c r="R55" s="1579"/>
    </row>
    <row r="56" spans="1:18" s="2045" customFormat="1" ht="42.75" customHeight="1" thickBot="1">
      <c r="A56" s="1636"/>
      <c r="B56" s="2217" t="s">
        <v>2300</v>
      </c>
      <c r="C56" s="53">
        <f ca="1">C29</f>
        <v>4845</v>
      </c>
      <c r="D56" s="2604"/>
      <c r="E56" s="784"/>
      <c r="F56" s="809"/>
      <c r="I56" s="3117" t="s">
        <v>2355</v>
      </c>
      <c r="J56" s="3127" t="s">
        <v>1677</v>
      </c>
      <c r="K56" s="3079" t="s">
        <v>2360</v>
      </c>
      <c r="L56" s="1894" t="str">
        <f ca="1">IF(L48&lt;J51,"——",L48-J51)</f>
        <v>——</v>
      </c>
      <c r="O56" s="2360" t="s">
        <v>2373</v>
      </c>
      <c r="P56" s="2361" t="s">
        <v>2374</v>
      </c>
      <c r="Q56" s="2362" t="s">
        <v>2375</v>
      </c>
      <c r="R56" s="2361" t="s">
        <v>2376</v>
      </c>
    </row>
    <row r="57" spans="1:18" s="2045" customFormat="1" ht="28.5" customHeight="1" thickBot="1">
      <c r="A57" s="797" t="s">
        <v>1747</v>
      </c>
      <c r="B57" s="798" t="s">
        <v>650</v>
      </c>
      <c r="C57" s="799">
        <f ca="1">ROUND(C58+C63+C64+C65,0)</f>
        <v>110</v>
      </c>
      <c r="D57" s="26" t="s">
        <v>1749</v>
      </c>
      <c r="E57" s="2605"/>
      <c r="F57" s="56"/>
      <c r="I57" s="3118" t="s">
        <v>2356</v>
      </c>
      <c r="J57" s="3119" t="str">
        <f ca="1">IF(OR(M47="住宅",J51&lt;L48,J56="是"),"——",J51-L48)</f>
        <v>——</v>
      </c>
      <c r="K57" s="3079" t="s">
        <v>2361</v>
      </c>
      <c r="L57" s="1894" t="str">
        <f ca="1">IF(L48&lt;J51,"——",IF(L55="比较法",L49,IF(L55="基准地价",L50,L51)))</f>
        <v>——</v>
      </c>
      <c r="O57" s="2363" t="s">
        <v>2377</v>
      </c>
      <c r="P57" s="2364" t="s">
        <v>2407</v>
      </c>
      <c r="Q57" s="2365">
        <f ca="1">C40+J29</f>
        <v>2644</v>
      </c>
      <c r="R57" s="2364" t="s">
        <v>2378</v>
      </c>
    </row>
    <row r="58" spans="1:18" s="2045" customFormat="1" ht="28.5" customHeight="1" thickBot="1">
      <c r="A58" s="1635" t="s">
        <v>1823</v>
      </c>
      <c r="B58" s="784" t="s">
        <v>655</v>
      </c>
      <c r="C58" s="53">
        <f ca="1">ROUND(IF(项目基本情况!B11="自然人",C47*F58,C59+C60+C61),1)</f>
        <v>0.9</v>
      </c>
      <c r="D58" s="2603" t="s">
        <v>656</v>
      </c>
      <c r="E58" s="2604" t="s">
        <v>689</v>
      </c>
      <c r="F58" s="810" t="str">
        <f ca="1">IF(项目基本情况!B11="企业","",IF(INDIRECT("'数据-取费表'!c"&amp;$G$1)="住宅",5%,IF(F48*F49*F50/12/(1+'数据-取费表'!C42)&gt;20000,12%,7%)))</f>
        <v/>
      </c>
      <c r="I58" s="3118"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1830</v>
      </c>
      <c r="B59" s="784" t="s">
        <v>659</v>
      </c>
      <c r="C59" s="53">
        <f ca="1">ROUND(C47*F59/1.05,1)</f>
        <v>0</v>
      </c>
      <c r="D59" s="2604" t="s">
        <v>1755</v>
      </c>
      <c r="E59" s="784" t="s">
        <v>1746</v>
      </c>
      <c r="F59" s="809">
        <f t="shared" ref="F59:F65" si="0">F32</f>
        <v>9.8999999999999991E-2</v>
      </c>
      <c r="I59" s="3118" t="s">
        <v>2358</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2359</v>
      </c>
      <c r="J60" s="3121" t="str">
        <f ca="1">IF(OR(M47="住宅",J51&lt;L48,J56="是"),"0",ROUND(J59/(1+J52)^J53,0))</f>
        <v>0</v>
      </c>
      <c r="K60" s="3122" t="s">
        <v>2364</v>
      </c>
      <c r="L60" s="3121">
        <f ca="1">IF(OR(M47="住宅",L48&lt;J51),0,ROUND(L57*(L58/L59-1),0))</f>
        <v>0</v>
      </c>
      <c r="O60" s="2366" t="s">
        <v>2382</v>
      </c>
      <c r="P60" s="2364" t="s">
        <v>2391</v>
      </c>
      <c r="Q60" s="2367">
        <f>L52</f>
        <v>0</v>
      </c>
      <c r="R60" s="2368"/>
    </row>
    <row r="61" spans="1:18" s="2045" customFormat="1" ht="18" customHeight="1" thickBot="1">
      <c r="A61" s="1637" t="s">
        <v>1832</v>
      </c>
      <c r="B61" s="341" t="s">
        <v>667</v>
      </c>
      <c r="C61" s="54">
        <f ca="1">ROUND(F61*F62/10000,1)</f>
        <v>0.9</v>
      </c>
      <c r="D61" s="814" t="s">
        <v>668</v>
      </c>
      <c r="E61" s="784" t="s">
        <v>669</v>
      </c>
      <c r="F61" s="640">
        <f t="shared" si="0"/>
        <v>3</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3016.32</v>
      </c>
      <c r="I62" s="3123" t="s">
        <v>2365</v>
      </c>
      <c r="J62" s="3124" t="s">
        <v>2366</v>
      </c>
      <c r="K62" s="3124" t="s">
        <v>2367</v>
      </c>
      <c r="L62" s="3124" t="s">
        <v>2348</v>
      </c>
      <c r="M62" s="3125" t="s">
        <v>2938</v>
      </c>
      <c r="O62" s="2366" t="s">
        <v>2386</v>
      </c>
      <c r="P62" s="2364" t="str">
        <f>K59</f>
        <v>建设期及建筑物耐用年限下的土地年期修正系数Kn</v>
      </c>
      <c r="Q62" s="2365" t="e">
        <f ca="1">L59</f>
        <v>#DIV/0!</v>
      </c>
      <c r="R62" s="2368" t="s">
        <v>2395</v>
      </c>
    </row>
    <row r="63" spans="1:18" s="2045" customFormat="1" ht="15.75" thickBot="1">
      <c r="A63" s="1635" t="s">
        <v>1888</v>
      </c>
      <c r="B63" s="784" t="s">
        <v>675</v>
      </c>
      <c r="C63" s="53">
        <f ca="1">ROUND(C56*F63,1)</f>
        <v>96.9</v>
      </c>
      <c r="D63" s="2604" t="s">
        <v>1802</v>
      </c>
      <c r="E63" s="784" t="s">
        <v>1746</v>
      </c>
      <c r="F63" s="817">
        <f t="shared" ca="1" si="0"/>
        <v>0.02</v>
      </c>
      <c r="I63" s="3123" t="s">
        <v>2368</v>
      </c>
      <c r="J63" s="3124">
        <v>70</v>
      </c>
      <c r="K63" s="3124">
        <v>50</v>
      </c>
      <c r="L63" s="3124">
        <v>80</v>
      </c>
      <c r="M63" s="3126">
        <v>0.02</v>
      </c>
      <c r="O63" s="2363" t="s">
        <v>2389</v>
      </c>
      <c r="P63" s="2364" t="s">
        <v>2406</v>
      </c>
      <c r="Q63" s="2365">
        <f ca="1">Q57+Q58</f>
        <v>2644</v>
      </c>
      <c r="R63" s="2368" t="s">
        <v>2390</v>
      </c>
    </row>
    <row r="64" spans="1:18" s="2045" customFormat="1" ht="16.5" thickBot="1">
      <c r="A64" s="1635" t="s">
        <v>1889</v>
      </c>
      <c r="B64" s="784" t="s">
        <v>678</v>
      </c>
      <c r="C64" s="53">
        <f ca="1">ROUND(C55*F64,1)</f>
        <v>12.1</v>
      </c>
      <c r="D64" s="2604" t="s">
        <v>679</v>
      </c>
      <c r="E64" s="784" t="s">
        <v>1746</v>
      </c>
      <c r="F64" s="818">
        <f t="shared" ca="1" si="0"/>
        <v>2.5000000000000001E-3</v>
      </c>
      <c r="I64" s="3123" t="s">
        <v>2369</v>
      </c>
      <c r="J64" s="3124">
        <v>50</v>
      </c>
      <c r="K64" s="3124">
        <v>35</v>
      </c>
      <c r="L64" s="3124">
        <v>60</v>
      </c>
      <c r="M64" s="846">
        <v>0</v>
      </c>
      <c r="O64" s="2369" t="s">
        <v>2413</v>
      </c>
      <c r="P64" s="1579"/>
      <c r="Q64" s="1590"/>
      <c r="R64" s="1579"/>
    </row>
    <row r="65" spans="1:18" s="2045" customFormat="1" ht="15.75" thickBot="1">
      <c r="A65" s="1635" t="s">
        <v>1890</v>
      </c>
      <c r="B65" s="784" t="s">
        <v>665</v>
      </c>
      <c r="C65" s="53">
        <f ca="1">ROUND(C47*F65,1)</f>
        <v>0</v>
      </c>
      <c r="D65" s="2604" t="s">
        <v>682</v>
      </c>
      <c r="E65" s="784" t="s">
        <v>1746</v>
      </c>
      <c r="F65" s="794">
        <f t="shared" ca="1" si="0"/>
        <v>2.5000000000000001E-2</v>
      </c>
      <c r="I65" s="3123" t="s">
        <v>2370</v>
      </c>
      <c r="J65" s="3124">
        <v>40</v>
      </c>
      <c r="K65" s="3124">
        <v>30</v>
      </c>
      <c r="L65" s="3124">
        <v>50</v>
      </c>
      <c r="M65" s="3126">
        <v>0.02</v>
      </c>
      <c r="O65" s="2360" t="s">
        <v>2373</v>
      </c>
      <c r="P65" s="2361" t="s">
        <v>2374</v>
      </c>
      <c r="Q65" s="2362" t="s">
        <v>2375</v>
      </c>
      <c r="R65" s="2361" t="s">
        <v>2376</v>
      </c>
    </row>
    <row r="66" spans="1:18" s="2045" customFormat="1" ht="24.75" thickBot="1">
      <c r="A66" s="797" t="s">
        <v>1775</v>
      </c>
      <c r="B66" s="2964" t="s">
        <v>2819</v>
      </c>
      <c r="C66" s="799">
        <f ca="1">C47-C57</f>
        <v>-110</v>
      </c>
      <c r="D66" s="2603" t="s">
        <v>699</v>
      </c>
      <c r="E66" s="2602"/>
      <c r="F66" s="820"/>
      <c r="K66" s="2072"/>
      <c r="O66" s="2363" t="s">
        <v>2377</v>
      </c>
      <c r="P66" s="2364" t="s">
        <v>2407</v>
      </c>
      <c r="Q66" s="2365">
        <f ca="1">C40+J29</f>
        <v>2644</v>
      </c>
      <c r="R66" s="2364" t="s">
        <v>2378</v>
      </c>
    </row>
    <row r="67" spans="1:18" s="2045" customFormat="1" ht="20.25" thickBot="1">
      <c r="A67" s="781" t="s">
        <v>1779</v>
      </c>
      <c r="B67" s="2218" t="s">
        <v>2299</v>
      </c>
      <c r="C67" s="783">
        <f ca="1">ROUND(C66*(1-((1+F69)/(1+F67))^F68)/(F67-F69),0)</f>
        <v>-1535</v>
      </c>
      <c r="D67" s="814" t="s">
        <v>703</v>
      </c>
      <c r="E67" s="784" t="s">
        <v>704</v>
      </c>
      <c r="F67" s="794">
        <f ca="1">F40</f>
        <v>5.5E-2</v>
      </c>
      <c r="K67" s="2072"/>
      <c r="O67" s="2363" t="s">
        <v>2379</v>
      </c>
      <c r="P67" s="2364" t="s">
        <v>2410</v>
      </c>
      <c r="Q67" s="2365">
        <f ca="1">L60</f>
        <v>0</v>
      </c>
      <c r="R67" s="2368" t="s">
        <v>2412</v>
      </c>
    </row>
    <row r="68" spans="1:18" ht="21.75" thickBot="1">
      <c r="A68" s="786"/>
      <c r="B68" s="787"/>
      <c r="C68" s="788"/>
      <c r="D68" s="821" t="s">
        <v>1807</v>
      </c>
      <c r="E68" s="784" t="s">
        <v>1783</v>
      </c>
      <c r="F68" s="822">
        <f ca="1">F41</f>
        <v>27.23</v>
      </c>
      <c r="O68" s="2366" t="s">
        <v>2381</v>
      </c>
      <c r="P68" s="2364" t="s">
        <v>2411</v>
      </c>
      <c r="Q68" s="2370">
        <f ca="1">L51</f>
        <v>-3977</v>
      </c>
      <c r="R68" s="2371" t="s">
        <v>2414</v>
      </c>
    </row>
    <row r="69" spans="1:18" ht="20.25" thickBot="1">
      <c r="A69" s="790"/>
      <c r="B69" s="791"/>
      <c r="C69" s="792"/>
      <c r="D69" s="816"/>
      <c r="E69" s="784" t="s">
        <v>709</v>
      </c>
      <c r="F69" s="2336"/>
      <c r="O69" s="2366" t="s">
        <v>2382</v>
      </c>
      <c r="P69" s="2372" t="s">
        <v>2396</v>
      </c>
      <c r="Q69" s="2365">
        <f ca="1">ROUND(Q70-Q71*Q72,0)</f>
        <v>-258</v>
      </c>
      <c r="R69" s="2368"/>
    </row>
    <row r="70" spans="1:18" ht="15.75" thickBot="1">
      <c r="A70" s="823" t="s">
        <v>1786</v>
      </c>
      <c r="B70" s="824" t="s">
        <v>1809</v>
      </c>
      <c r="C70" s="825">
        <f ca="1">ROUND(C67*10000/F70,0)</f>
        <v>-2058</v>
      </c>
      <c r="D70" s="826" t="s">
        <v>1810</v>
      </c>
      <c r="E70" s="827" t="s">
        <v>1811</v>
      </c>
      <c r="F70" s="828">
        <f ca="1">F43</f>
        <v>7459.4</v>
      </c>
      <c r="O70" s="2366" t="s">
        <v>2397</v>
      </c>
      <c r="P70" s="2372" t="s">
        <v>2398</v>
      </c>
      <c r="Q70" s="2365">
        <f ca="1">C39</f>
        <v>154</v>
      </c>
      <c r="R70" s="2364" t="s">
        <v>2378</v>
      </c>
    </row>
    <row r="71" spans="1:18" ht="15.75" thickBot="1">
      <c r="O71" s="2366" t="s">
        <v>2399</v>
      </c>
      <c r="P71" s="2372" t="s">
        <v>2400</v>
      </c>
      <c r="Q71" s="2365">
        <f ca="1">C13</f>
        <v>4845</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2644</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2469</v>
      </c>
      <c r="B1" s="3490"/>
      <c r="C1" s="3491"/>
      <c r="D1" s="3492">
        <f>SUM(I10,I15,I20,I21,I23)</f>
        <v>0</v>
      </c>
      <c r="E1" s="3492"/>
      <c r="F1" s="3492"/>
      <c r="G1" s="3492"/>
      <c r="H1" s="3492"/>
      <c r="I1" s="3493"/>
    </row>
    <row r="2" spans="1:9">
      <c r="A2" s="3479" t="s">
        <v>2470</v>
      </c>
      <c r="B2" s="3480" t="s">
        <v>2471</v>
      </c>
      <c r="C2" s="3480"/>
      <c r="D2" s="2472" t="s">
        <v>2472</v>
      </c>
      <c r="E2" s="2472" t="s">
        <v>2473</v>
      </c>
      <c r="F2" s="2472" t="s">
        <v>2474</v>
      </c>
      <c r="G2" s="2472" t="s">
        <v>2475</v>
      </c>
      <c r="H2" s="2472" t="s">
        <v>2476</v>
      </c>
      <c r="I2" s="2473" t="s">
        <v>2477</v>
      </c>
    </row>
    <row r="3" spans="1:9">
      <c r="A3" s="3479"/>
      <c r="B3" s="3480" t="s">
        <v>2478</v>
      </c>
      <c r="C3" s="3480"/>
      <c r="D3" s="2474"/>
      <c r="E3" s="2472"/>
      <c r="F3" s="2475"/>
      <c r="G3" s="2475"/>
      <c r="H3" s="2476"/>
      <c r="I3" s="2477">
        <f>ROUND(D3*E3*F3*G3*H3/10000,0)</f>
        <v>0</v>
      </c>
    </row>
    <row r="4" spans="1:9">
      <c r="A4" s="3479"/>
      <c r="B4" s="3480" t="s">
        <v>2479</v>
      </c>
      <c r="C4" s="3480"/>
      <c r="D4" s="2474"/>
      <c r="E4" s="2472"/>
      <c r="F4" s="2475"/>
      <c r="G4" s="2475"/>
      <c r="H4" s="2476"/>
      <c r="I4" s="2477">
        <f t="shared" ref="I4:I9" si="0">ROUND(D4*E4*F4*G4*H4/10000,0)</f>
        <v>0</v>
      </c>
    </row>
    <row r="5" spans="1:9">
      <c r="A5" s="3479"/>
      <c r="B5" s="3480" t="s">
        <v>2480</v>
      </c>
      <c r="C5" s="3480"/>
      <c r="D5" s="2474"/>
      <c r="E5" s="2472"/>
      <c r="F5" s="2475"/>
      <c r="G5" s="2475"/>
      <c r="H5" s="2476"/>
      <c r="I5" s="2477">
        <f t="shared" si="0"/>
        <v>0</v>
      </c>
    </row>
    <row r="6" spans="1:9">
      <c r="A6" s="3479"/>
      <c r="B6" s="3480" t="s">
        <v>2481</v>
      </c>
      <c r="C6" s="3480"/>
      <c r="D6" s="2474"/>
      <c r="E6" s="2472"/>
      <c r="F6" s="2475"/>
      <c r="G6" s="2475"/>
      <c r="H6" s="2476"/>
      <c r="I6" s="2477">
        <f t="shared" si="0"/>
        <v>0</v>
      </c>
    </row>
    <row r="7" spans="1:9">
      <c r="A7" s="3479"/>
      <c r="B7" s="3480" t="s">
        <v>2482</v>
      </c>
      <c r="C7" s="3480"/>
      <c r="D7" s="2474"/>
      <c r="E7" s="2472"/>
      <c r="F7" s="2475"/>
      <c r="G7" s="2475"/>
      <c r="H7" s="2476"/>
      <c r="I7" s="2477">
        <f t="shared" si="0"/>
        <v>0</v>
      </c>
    </row>
    <row r="8" spans="1:9">
      <c r="A8" s="3479"/>
      <c r="B8" s="3480" t="s">
        <v>2483</v>
      </c>
      <c r="C8" s="3480"/>
      <c r="D8" s="2474"/>
      <c r="E8" s="2472"/>
      <c r="F8" s="2475"/>
      <c r="G8" s="2475"/>
      <c r="H8" s="2476"/>
      <c r="I8" s="2477">
        <f t="shared" si="0"/>
        <v>0</v>
      </c>
    </row>
    <row r="9" spans="1:9">
      <c r="A9" s="3479"/>
      <c r="B9" s="3480" t="s">
        <v>2484</v>
      </c>
      <c r="C9" s="3480"/>
      <c r="D9" s="2474"/>
      <c r="E9" s="2472"/>
      <c r="F9" s="2475"/>
      <c r="G9" s="2475"/>
      <c r="H9" s="2476"/>
      <c r="I9" s="2477">
        <f t="shared" si="0"/>
        <v>0</v>
      </c>
    </row>
    <row r="10" spans="1:9">
      <c r="A10" s="3479"/>
      <c r="B10" s="3481" t="s">
        <v>2485</v>
      </c>
      <c r="C10" s="3481"/>
      <c r="D10" s="2478">
        <v>527</v>
      </c>
      <c r="E10" s="2478" t="e">
        <f>ROUND(D1*10000/D10/H9,0)</f>
        <v>#DIV/0!</v>
      </c>
      <c r="F10" s="2479"/>
      <c r="G10" s="2479"/>
      <c r="H10" s="2480"/>
      <c r="I10" s="2481">
        <f>SUM(I3:I9)</f>
        <v>0</v>
      </c>
    </row>
    <row r="11" spans="1:9" ht="14.25">
      <c r="A11" s="3479" t="s">
        <v>2486</v>
      </c>
      <c r="B11" s="3480" t="s">
        <v>2487</v>
      </c>
      <c r="C11" s="3480"/>
      <c r="D11" s="2474" t="s">
        <v>2488</v>
      </c>
      <c r="E11" s="2474" t="s">
        <v>2489</v>
      </c>
      <c r="F11" s="2475" t="s">
        <v>2490</v>
      </c>
      <c r="G11" s="2475" t="s">
        <v>2491</v>
      </c>
      <c r="H11" s="2482" t="s">
        <v>2492</v>
      </c>
      <c r="I11" s="2473" t="s">
        <v>2493</v>
      </c>
    </row>
    <row r="12" spans="1:9">
      <c r="A12" s="3479"/>
      <c r="B12" s="3480" t="s">
        <v>2494</v>
      </c>
      <c r="C12" s="3480"/>
      <c r="D12" s="2474"/>
      <c r="E12" s="2474"/>
      <c r="F12" s="2475"/>
      <c r="G12" s="2476"/>
      <c r="H12" s="2483"/>
      <c r="I12" s="2473">
        <f>ROUND(D12*E12*F12*G12/10000,0)</f>
        <v>0</v>
      </c>
    </row>
    <row r="13" spans="1:9">
      <c r="A13" s="3479"/>
      <c r="B13" s="3480" t="s">
        <v>2495</v>
      </c>
      <c r="C13" s="3480"/>
      <c r="D13" s="2474"/>
      <c r="E13" s="2474"/>
      <c r="F13" s="2475"/>
      <c r="G13" s="2476"/>
      <c r="H13" s="2483"/>
      <c r="I13" s="2473">
        <f>ROUND(D13*E13*F13*G13/10000,0)</f>
        <v>0</v>
      </c>
    </row>
    <row r="14" spans="1:9">
      <c r="A14" s="3479"/>
      <c r="B14" s="3480" t="s">
        <v>2496</v>
      </c>
      <c r="C14" s="3480"/>
      <c r="D14" s="2474"/>
      <c r="E14" s="2474"/>
      <c r="F14" s="2475"/>
      <c r="G14" s="2476"/>
      <c r="H14" s="2483"/>
      <c r="I14" s="2473">
        <f>ROUND(D14*E14*F14*G14/10000,0)</f>
        <v>0</v>
      </c>
    </row>
    <row r="15" spans="1:9">
      <c r="A15" s="3479"/>
      <c r="B15" s="3481" t="s">
        <v>2485</v>
      </c>
      <c r="C15" s="3481"/>
      <c r="D15" s="2478"/>
      <c r="E15" s="2478">
        <f>SUM(E12:E14)</f>
        <v>0</v>
      </c>
      <c r="F15" s="2479"/>
      <c r="G15" s="2476"/>
      <c r="H15" s="2483"/>
      <c r="I15" s="2484">
        <f>SUM(I12:I14)</f>
        <v>0</v>
      </c>
    </row>
    <row r="16" spans="1:9" ht="24">
      <c r="A16" s="3479" t="s">
        <v>2497</v>
      </c>
      <c r="B16" s="3480" t="s">
        <v>2498</v>
      </c>
      <c r="C16" s="3480"/>
      <c r="D16" s="2474" t="s">
        <v>2499</v>
      </c>
      <c r="E16" s="2485" t="s">
        <v>2500</v>
      </c>
      <c r="F16" s="2475" t="s">
        <v>2501</v>
      </c>
      <c r="G16" s="2476" t="s">
        <v>2491</v>
      </c>
      <c r="H16" s="2482" t="s">
        <v>2492</v>
      </c>
      <c r="I16" s="2473" t="s">
        <v>2493</v>
      </c>
    </row>
    <row r="17" spans="1:9" ht="14.25">
      <c r="A17" s="3479"/>
      <c r="B17" s="3480" t="s">
        <v>2502</v>
      </c>
      <c r="C17" s="3480"/>
      <c r="D17" s="2474"/>
      <c r="E17" s="2474"/>
      <c r="F17" s="2475"/>
      <c r="G17" s="2476"/>
      <c r="H17" s="2486"/>
      <c r="I17" s="2487">
        <f>ROUND(D17*E17*F17*G17/10000,0)</f>
        <v>0</v>
      </c>
    </row>
    <row r="18" spans="1:9" ht="14.25">
      <c r="A18" s="3479"/>
      <c r="B18" s="3480" t="s">
        <v>2503</v>
      </c>
      <c r="C18" s="3480"/>
      <c r="D18" s="2474"/>
      <c r="E18" s="2474"/>
      <c r="F18" s="2475"/>
      <c r="G18" s="2476"/>
      <c r="H18" s="2486"/>
      <c r="I18" s="2487">
        <f>ROUND(D18*E18*F18*G18/10000,0)</f>
        <v>0</v>
      </c>
    </row>
    <row r="19" spans="1:9" ht="14.25">
      <c r="A19" s="3479"/>
      <c r="B19" s="3480" t="s">
        <v>2504</v>
      </c>
      <c r="C19" s="3480"/>
      <c r="D19" s="2474"/>
      <c r="E19" s="2474"/>
      <c r="F19" s="2475"/>
      <c r="G19" s="2476"/>
      <c r="H19" s="2486"/>
      <c r="I19" s="2487">
        <f>ROUND(D19*E19*F19*G19/10000,0)</f>
        <v>0</v>
      </c>
    </row>
    <row r="20" spans="1:9">
      <c r="A20" s="3479"/>
      <c r="B20" s="3481" t="s">
        <v>2485</v>
      </c>
      <c r="C20" s="3481"/>
      <c r="D20" s="2478">
        <f>SUM(D17:D19)</f>
        <v>0</v>
      </c>
      <c r="E20" s="2478"/>
      <c r="F20" s="2479"/>
      <c r="G20" s="2476"/>
      <c r="H20" s="2483"/>
      <c r="I20" s="2484">
        <f>SUM(I17:I19)</f>
        <v>0</v>
      </c>
    </row>
    <row r="21" spans="1:9">
      <c r="A21" s="3479" t="s">
        <v>2505</v>
      </c>
      <c r="B21" s="3482"/>
      <c r="C21" s="3482"/>
      <c r="D21" s="3482"/>
      <c r="E21" s="3482"/>
      <c r="F21" s="3482"/>
      <c r="G21" s="3482"/>
      <c r="H21" s="2488">
        <v>0.1</v>
      </c>
      <c r="I21" s="2481">
        <f>ROUND(I10*H21,0)</f>
        <v>0</v>
      </c>
    </row>
    <row r="22" spans="1:9" ht="14.25">
      <c r="A22" s="3483" t="s">
        <v>2506</v>
      </c>
      <c r="B22" s="3484"/>
      <c r="C22" s="3485"/>
      <c r="D22" s="2489" t="s">
        <v>2507</v>
      </c>
      <c r="E22" s="2489" t="s">
        <v>2508</v>
      </c>
      <c r="F22" s="2490" t="s">
        <v>2509</v>
      </c>
      <c r="G22" s="2490" t="s">
        <v>2510</v>
      </c>
      <c r="H22" s="2482" t="s">
        <v>2511</v>
      </c>
      <c r="I22" s="2473" t="s">
        <v>2512</v>
      </c>
    </row>
    <row r="23" spans="1:9" ht="14.25" thickBot="1">
      <c r="A23" s="3486"/>
      <c r="B23" s="3487"/>
      <c r="C23" s="3488"/>
      <c r="D23" s="2491"/>
      <c r="E23" s="2491"/>
      <c r="F23" s="2491"/>
      <c r="G23" s="2492"/>
      <c r="H23" s="2493"/>
      <c r="I23" s="2494">
        <f>ROUND(E23*D23*F23*(1-G23)/10000,0)</f>
        <v>0</v>
      </c>
    </row>
    <row r="26" spans="1:9">
      <c r="A26" s="2495" t="s">
        <v>2513</v>
      </c>
      <c r="B26" s="2495"/>
      <c r="C26" s="2495"/>
      <c r="D26" s="2495"/>
      <c r="E26" s="3476">
        <f>C27-C30-C31-C32</f>
        <v>0</v>
      </c>
      <c r="F26" s="3476"/>
      <c r="G26" s="3476"/>
      <c r="H26" s="2996" t="s">
        <v>2840</v>
      </c>
    </row>
    <row r="27" spans="1:9">
      <c r="A27" s="2496">
        <v>1</v>
      </c>
      <c r="B27" s="2497" t="s">
        <v>2514</v>
      </c>
      <c r="C27" s="2497"/>
      <c r="D27" s="2497"/>
      <c r="E27" s="3477"/>
      <c r="F27" s="3477"/>
      <c r="G27" s="3477"/>
    </row>
    <row r="28" spans="1:9">
      <c r="A28" s="2498" t="s">
        <v>2515</v>
      </c>
      <c r="B28" s="2497" t="s">
        <v>2516</v>
      </c>
      <c r="C28" s="2497"/>
      <c r="D28" s="2497"/>
      <c r="E28" s="3477"/>
      <c r="F28" s="3477"/>
      <c r="G28" s="3477"/>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8"/>
      <c r="F32" s="3478"/>
      <c r="G32" s="3478"/>
    </row>
    <row r="33" spans="1:7" hidden="1">
      <c r="A33" s="3473" t="s">
        <v>2524</v>
      </c>
      <c r="B33" s="3474"/>
      <c r="C33" s="3474"/>
      <c r="D33" s="3475"/>
      <c r="E33" s="3476"/>
      <c r="F33" s="3476"/>
      <c r="G33" s="3476"/>
    </row>
    <row r="34" spans="1:7" hidden="1">
      <c r="A34" s="2500">
        <v>1</v>
      </c>
      <c r="B34" s="2497" t="s">
        <v>2525</v>
      </c>
      <c r="C34" s="2497"/>
      <c r="D34" s="2497"/>
      <c r="E34" s="3477"/>
      <c r="F34" s="3477"/>
      <c r="G34" s="3477"/>
    </row>
    <row r="35" spans="1:7" hidden="1">
      <c r="A35" s="2500">
        <v>2</v>
      </c>
      <c r="B35" s="2497" t="s">
        <v>2526</v>
      </c>
      <c r="C35" s="2497"/>
      <c r="D35" s="2497"/>
      <c r="E35" s="3477"/>
      <c r="F35" s="3477"/>
      <c r="G35" s="3477"/>
    </row>
    <row r="36" spans="1:7" hidden="1">
      <c r="A36" s="2500">
        <v>3</v>
      </c>
      <c r="B36" s="2497" t="s">
        <v>2527</v>
      </c>
      <c r="C36" s="2497"/>
      <c r="D36" s="2497"/>
      <c r="E36" s="3477"/>
      <c r="F36" s="3477"/>
      <c r="G36" s="3477"/>
    </row>
    <row r="37" spans="1:7" hidden="1">
      <c r="A37" s="2500">
        <v>4</v>
      </c>
      <c r="B37" s="2497" t="s">
        <v>2528</v>
      </c>
      <c r="C37" s="2497"/>
      <c r="D37" s="2497"/>
      <c r="E37" s="3477"/>
      <c r="F37" s="3477"/>
      <c r="G37" s="3477"/>
    </row>
    <row r="38" spans="1:7" hidden="1">
      <c r="A38" s="3473" t="s">
        <v>2529</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4">
        <v>1</v>
      </c>
      <c r="B7" s="748" t="s">
        <v>608</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612</v>
      </c>
      <c r="C10" s="749">
        <f>C11+C14+C15</f>
        <v>0</v>
      </c>
      <c r="D10" s="760">
        <f>'数据-汇总表'!E3</f>
        <v>507605.15100000001</v>
      </c>
      <c r="E10" s="749">
        <f>'数据-取费表'!B31</f>
        <v>90</v>
      </c>
      <c r="F10" s="761"/>
      <c r="G10" s="759" t="s">
        <v>613</v>
      </c>
    </row>
    <row r="11" spans="1:25" s="2169" customFormat="1" ht="13.5" customHeight="1">
      <c r="A11" s="2434" t="s">
        <v>2438</v>
      </c>
      <c r="B11" s="752" t="s">
        <v>609</v>
      </c>
      <c r="C11" s="753">
        <f>'数据-取费表'!B29</f>
        <v>0</v>
      </c>
      <c r="D11" s="754"/>
      <c r="E11" s="753"/>
      <c r="F11" s="755"/>
      <c r="G11" s="2443" t="s">
        <v>2449</v>
      </c>
    </row>
    <row r="12" spans="1:25" s="2169" customFormat="1" ht="13.5" customHeight="1">
      <c r="A12" s="2441" t="s">
        <v>2446</v>
      </c>
      <c r="B12" s="756" t="s">
        <v>610</v>
      </c>
      <c r="C12" s="757">
        <f>ROUND(D12*E12/10000,0)</f>
        <v>755</v>
      </c>
      <c r="D12" s="758">
        <f>'数据-汇总表'!E5</f>
        <v>349520</v>
      </c>
      <c r="E12" s="757">
        <f>'数据-取费表'!B27</f>
        <v>21.6</v>
      </c>
      <c r="F12" s="755"/>
      <c r="G12" s="759"/>
    </row>
    <row r="13" spans="1:25" s="2169" customFormat="1" ht="13.5" customHeight="1">
      <c r="A13" s="2441" t="s">
        <v>2445</v>
      </c>
      <c r="B13" s="756" t="s">
        <v>611</v>
      </c>
      <c r="C13" s="757">
        <f>ROUND(D13*E13/10000,0)</f>
        <v>525</v>
      </c>
      <c r="D13" s="758">
        <f>'数据-汇总表'!E6</f>
        <v>158085.15100000001</v>
      </c>
      <c r="E13" s="757">
        <f>'数据-取费表'!B28</f>
        <v>33.200000000000003</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614</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615</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616</v>
      </c>
      <c r="C18" s="749">
        <f>ROUND((C7+C10+C16)*F18,0)</f>
        <v>0</v>
      </c>
      <c r="D18" s="762"/>
      <c r="E18" s="763"/>
      <c r="F18" s="761">
        <f>'数据-取费表'!Q16</f>
        <v>0.15</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624</v>
      </c>
      <c r="C22" s="749">
        <f ca="1">ROUND(C21*F22,0)</f>
        <v>0</v>
      </c>
      <c r="D22" s="760"/>
      <c r="E22" s="749"/>
      <c r="F22" s="766">
        <f>'数据-取费表'!AP16</f>
        <v>0.89900000000000002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5"/>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520</v>
      </c>
      <c r="B4" s="513"/>
      <c r="C4" s="3392" t="s">
        <v>521</v>
      </c>
      <c r="D4" s="3393"/>
      <c r="E4" s="3417" t="s">
        <v>522</v>
      </c>
      <c r="F4" s="3418"/>
      <c r="G4" s="3392" t="s">
        <v>523</v>
      </c>
      <c r="H4" s="3393"/>
      <c r="I4" s="3392" t="s">
        <v>524</v>
      </c>
      <c r="J4" s="3393"/>
      <c r="K4" s="514"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400"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400"/>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400"/>
      <c r="AC6" s="3377"/>
    </row>
    <row r="7" spans="1:29" s="1216" customFormat="1" ht="15.75" thickBot="1">
      <c r="A7" s="2868"/>
      <c r="B7" s="2875" t="s">
        <v>528</v>
      </c>
      <c r="C7" s="519">
        <f>'数据-取费表'!B2</f>
        <v>43606</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8"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71.25">
      <c r="A15" s="2866" t="s">
        <v>2751</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8" t="s">
        <v>539</v>
      </c>
      <c r="Q15" s="1559" t="str">
        <f t="shared" si="6"/>
        <v>商业繁华度</v>
      </c>
      <c r="R15" s="1560" t="s">
        <v>8</v>
      </c>
      <c r="S15" s="1561">
        <f t="shared" si="0"/>
        <v>100</v>
      </c>
      <c r="T15" s="1560" t="s">
        <v>8</v>
      </c>
      <c r="U15" s="1561">
        <f t="shared" si="1"/>
        <v>100</v>
      </c>
      <c r="V15" s="1560" t="s">
        <v>8</v>
      </c>
      <c r="W15" s="1561">
        <f t="shared" si="2"/>
        <v>100</v>
      </c>
      <c r="X15" s="1554"/>
      <c r="Y15" s="3388"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9"/>
      <c r="Q22" s="2544"/>
      <c r="R22" s="1560"/>
      <c r="S22" s="1561"/>
      <c r="T22" s="1560"/>
      <c r="U22" s="1561"/>
      <c r="V22" s="1560"/>
      <c r="W22" s="1561"/>
      <c r="X22" s="2546"/>
      <c r="Y22" s="3389"/>
      <c r="Z22" s="2545"/>
      <c r="AA22" s="1563">
        <v>1</v>
      </c>
      <c r="AB22" s="1563">
        <v>1</v>
      </c>
      <c r="AC22" s="1563">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9"/>
      <c r="Q23" s="1559" t="str">
        <f>B23</f>
        <v>自然及人文环境</v>
      </c>
      <c r="R23" s="1560" t="s">
        <v>8</v>
      </c>
      <c r="S23" s="1561">
        <f>F23</f>
        <v>100</v>
      </c>
      <c r="T23" s="1560" t="s">
        <v>8</v>
      </c>
      <c r="U23" s="1561">
        <f>H23</f>
        <v>100</v>
      </c>
      <c r="V23" s="1560" t="s">
        <v>8</v>
      </c>
      <c r="W23" s="1561">
        <f>J23</f>
        <v>100</v>
      </c>
      <c r="X23" s="1554"/>
      <c r="Y23" s="338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9"/>
      <c r="Q25" s="1559" t="str">
        <f t="shared" ref="Q25:Q46" si="11">B25</f>
        <v>临街状况</v>
      </c>
      <c r="R25" s="1560" t="s">
        <v>8</v>
      </c>
      <c r="S25" s="1561">
        <f>F25</f>
        <v>100</v>
      </c>
      <c r="T25" s="1560" t="s">
        <v>8</v>
      </c>
      <c r="U25" s="1561">
        <f>H25</f>
        <v>100</v>
      </c>
      <c r="V25" s="1560" t="s">
        <v>8</v>
      </c>
      <c r="W25" s="1561">
        <f>J25</f>
        <v>100</v>
      </c>
      <c r="X25" s="1554"/>
      <c r="Y25" s="3389"/>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9"/>
      <c r="Q26" s="1559" t="str">
        <f t="shared" si="11"/>
        <v>平面位置/可视性</v>
      </c>
      <c r="R26" s="1560" t="s">
        <v>8</v>
      </c>
      <c r="S26" s="1561">
        <f>F26</f>
        <v>100</v>
      </c>
      <c r="T26" s="1560" t="s">
        <v>8</v>
      </c>
      <c r="U26" s="1561">
        <f>H26</f>
        <v>100</v>
      </c>
      <c r="V26" s="1560" t="s">
        <v>8</v>
      </c>
      <c r="W26" s="1561">
        <f>J26</f>
        <v>100</v>
      </c>
      <c r="X26" s="1554"/>
      <c r="Y26" s="3389"/>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9"/>
      <c r="Q27" s="1147" t="str">
        <f t="shared" si="11"/>
        <v>人流量</v>
      </c>
      <c r="R27" s="1555" t="s">
        <v>8</v>
      </c>
      <c r="S27" s="1556">
        <f>F27</f>
        <v>100</v>
      </c>
      <c r="T27" s="1555" t="s">
        <v>8</v>
      </c>
      <c r="U27" s="1556">
        <f>H27</f>
        <v>100</v>
      </c>
      <c r="V27" s="1555" t="s">
        <v>8</v>
      </c>
      <c r="W27" s="1556">
        <f>J27</f>
        <v>100</v>
      </c>
      <c r="X27" s="1557"/>
      <c r="Y27" s="3389"/>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9"/>
      <c r="Q29" s="1559">
        <f t="shared" si="11"/>
        <v>111</v>
      </c>
      <c r="R29" s="1560" t="s">
        <v>8</v>
      </c>
      <c r="S29" s="1561">
        <f t="shared" si="12"/>
        <v>100</v>
      </c>
      <c r="T29" s="1560" t="s">
        <v>8</v>
      </c>
      <c r="U29" s="1561">
        <f t="shared" si="13"/>
        <v>100</v>
      </c>
      <c r="V29" s="1560" t="s">
        <v>8</v>
      </c>
      <c r="W29" s="1561">
        <f t="shared" si="14"/>
        <v>100</v>
      </c>
      <c r="X29" s="1554"/>
      <c r="Y29" s="338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9"/>
      <c r="Q30" s="1559">
        <f t="shared" si="11"/>
        <v>111</v>
      </c>
      <c r="R30" s="1560" t="s">
        <v>8</v>
      </c>
      <c r="S30" s="1561">
        <f t="shared" si="12"/>
        <v>100</v>
      </c>
      <c r="T30" s="1560" t="s">
        <v>8</v>
      </c>
      <c r="U30" s="1561">
        <f t="shared" si="13"/>
        <v>100</v>
      </c>
      <c r="V30" s="1560" t="s">
        <v>8</v>
      </c>
      <c r="W30" s="1561">
        <f t="shared" si="14"/>
        <v>100</v>
      </c>
      <c r="X30" s="1554"/>
      <c r="Y30" s="338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9"/>
      <c r="Q31" s="1559">
        <f t="shared" si="11"/>
        <v>111</v>
      </c>
      <c r="R31" s="1560" t="s">
        <v>8</v>
      </c>
      <c r="S31" s="1561">
        <f t="shared" si="12"/>
        <v>100</v>
      </c>
      <c r="T31" s="1560" t="s">
        <v>8</v>
      </c>
      <c r="U31" s="1561">
        <f t="shared" si="13"/>
        <v>100</v>
      </c>
      <c r="V31" s="1560" t="s">
        <v>8</v>
      </c>
      <c r="W31" s="1561">
        <f t="shared" si="14"/>
        <v>100</v>
      </c>
      <c r="X31" s="1554"/>
      <c r="Y31" s="3389"/>
      <c r="Z31" s="1562">
        <f t="shared" si="15"/>
        <v>111</v>
      </c>
      <c r="AA31" s="1563">
        <f t="shared" si="3"/>
        <v>1</v>
      </c>
      <c r="AB31" s="1563">
        <f t="shared" si="4"/>
        <v>1</v>
      </c>
      <c r="AC31" s="1563">
        <f t="shared" si="5"/>
        <v>1</v>
      </c>
    </row>
    <row r="32" spans="1:29" ht="15">
      <c r="A32" s="2863"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0" t="s">
        <v>549</v>
      </c>
      <c r="Q32" s="1559" t="str">
        <f t="shared" si="11"/>
        <v>商业类型</v>
      </c>
      <c r="R32" s="1560" t="s">
        <v>8</v>
      </c>
      <c r="S32" s="1561">
        <f t="shared" si="12"/>
        <v>100</v>
      </c>
      <c r="T32" s="1560" t="s">
        <v>8</v>
      </c>
      <c r="U32" s="1561">
        <f t="shared" si="13"/>
        <v>100</v>
      </c>
      <c r="V32" s="1560" t="s">
        <v>8</v>
      </c>
      <c r="W32" s="1561">
        <f t="shared" si="14"/>
        <v>100</v>
      </c>
      <c r="X32" s="1554"/>
      <c r="Y32" s="3391"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1"/>
      <c r="Q33" s="1591" t="str">
        <f t="shared" si="11"/>
        <v>项目建筑规模</v>
      </c>
      <c r="R33" s="1564" t="s">
        <v>8</v>
      </c>
      <c r="S33" s="1565" t="e">
        <f t="shared" si="12"/>
        <v>#N/A</v>
      </c>
      <c r="T33" s="1564" t="s">
        <v>8</v>
      </c>
      <c r="U33" s="1565" t="e">
        <f t="shared" si="13"/>
        <v>#N/A</v>
      </c>
      <c r="V33" s="1564" t="s">
        <v>8</v>
      </c>
      <c r="W33" s="1565" t="e">
        <f t="shared" si="14"/>
        <v>#N/A</v>
      </c>
      <c r="X33" s="1566"/>
      <c r="Y33" s="3391"/>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1"/>
      <c r="Q34" s="1559" t="str">
        <f t="shared" si="11"/>
        <v>建筑结构</v>
      </c>
      <c r="R34" s="1560" t="s">
        <v>8</v>
      </c>
      <c r="S34" s="1561">
        <f t="shared" si="12"/>
        <v>100</v>
      </c>
      <c r="T34" s="1560" t="s">
        <v>8</v>
      </c>
      <c r="U34" s="1561">
        <f t="shared" si="13"/>
        <v>100</v>
      </c>
      <c r="V34" s="1560" t="s">
        <v>8</v>
      </c>
      <c r="W34" s="1561">
        <f t="shared" si="14"/>
        <v>100</v>
      </c>
      <c r="X34" s="1554"/>
      <c r="Y34" s="3391"/>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1"/>
      <c r="Q35" s="1559" t="str">
        <f t="shared" si="11"/>
        <v>公共部分装修</v>
      </c>
      <c r="R35" s="1560" t="s">
        <v>8</v>
      </c>
      <c r="S35" s="1561">
        <f t="shared" si="12"/>
        <v>100</v>
      </c>
      <c r="T35" s="1560" t="s">
        <v>8</v>
      </c>
      <c r="U35" s="1561">
        <f t="shared" si="13"/>
        <v>100</v>
      </c>
      <c r="V35" s="1560" t="s">
        <v>8</v>
      </c>
      <c r="W35" s="1561">
        <f t="shared" si="14"/>
        <v>100</v>
      </c>
      <c r="X35" s="1554"/>
      <c r="Y35" s="3391"/>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1"/>
      <c r="Q36" s="1559" t="str">
        <f t="shared" si="11"/>
        <v>成新度</v>
      </c>
      <c r="R36" s="1560" t="s">
        <v>8</v>
      </c>
      <c r="S36" s="1561" t="e">
        <f t="shared" si="12"/>
        <v>#N/A</v>
      </c>
      <c r="T36" s="1560" t="s">
        <v>8</v>
      </c>
      <c r="U36" s="1561" t="e">
        <f t="shared" si="13"/>
        <v>#N/A</v>
      </c>
      <c r="V36" s="1560" t="s">
        <v>8</v>
      </c>
      <c r="W36" s="1561" t="e">
        <f t="shared" si="14"/>
        <v>#N/A</v>
      </c>
      <c r="X36" s="1554"/>
      <c r="Y36" s="3391"/>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1"/>
      <c r="Q37" s="1147" t="str">
        <f t="shared" si="11"/>
        <v>市政基础设施</v>
      </c>
      <c r="R37" s="1555" t="s">
        <v>8</v>
      </c>
      <c r="S37" s="1556">
        <f t="shared" si="12"/>
        <v>100</v>
      </c>
      <c r="T37" s="1555" t="s">
        <v>8</v>
      </c>
      <c r="U37" s="1556">
        <f t="shared" si="13"/>
        <v>100</v>
      </c>
      <c r="V37" s="1555" t="s">
        <v>8</v>
      </c>
      <c r="W37" s="1556">
        <f t="shared" si="14"/>
        <v>100</v>
      </c>
      <c r="X37" s="1557"/>
      <c r="Y37" s="3391"/>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1" t="s">
        <v>765</v>
      </c>
      <c r="Q38" s="1559" t="str">
        <f t="shared" si="11"/>
        <v>业态</v>
      </c>
      <c r="R38" s="1560" t="s">
        <v>8</v>
      </c>
      <c r="S38" s="1561">
        <f t="shared" si="12"/>
        <v>100</v>
      </c>
      <c r="T38" s="1560" t="s">
        <v>8</v>
      </c>
      <c r="U38" s="1561">
        <f t="shared" si="13"/>
        <v>100</v>
      </c>
      <c r="V38" s="1560" t="s">
        <v>8</v>
      </c>
      <c r="W38" s="1561">
        <f t="shared" si="14"/>
        <v>100</v>
      </c>
      <c r="X38" s="1554"/>
      <c r="Y38" s="3391"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1"/>
      <c r="Q39" s="1559" t="str">
        <f t="shared" si="11"/>
        <v>层高</v>
      </c>
      <c r="R39" s="1560" t="s">
        <v>8</v>
      </c>
      <c r="S39" s="1561">
        <f t="shared" si="12"/>
        <v>100</v>
      </c>
      <c r="T39" s="1560" t="s">
        <v>8</v>
      </c>
      <c r="U39" s="1561">
        <f t="shared" si="13"/>
        <v>100</v>
      </c>
      <c r="V39" s="1560" t="s">
        <v>8</v>
      </c>
      <c r="W39" s="1561">
        <f t="shared" si="14"/>
        <v>100</v>
      </c>
      <c r="X39" s="1554"/>
      <c r="Y39" s="3391"/>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1"/>
      <c r="Q40" s="1559" t="str">
        <f t="shared" si="11"/>
        <v>单套建筑面积</v>
      </c>
      <c r="R40" s="1560" t="s">
        <v>8</v>
      </c>
      <c r="S40" s="1561">
        <f t="shared" si="12"/>
        <v>100</v>
      </c>
      <c r="T40" s="1560" t="s">
        <v>8</v>
      </c>
      <c r="U40" s="1561">
        <f t="shared" si="13"/>
        <v>100</v>
      </c>
      <c r="V40" s="1560" t="s">
        <v>8</v>
      </c>
      <c r="W40" s="1561">
        <f t="shared" si="14"/>
        <v>100</v>
      </c>
      <c r="X40" s="1554"/>
      <c r="Y40" s="3391"/>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1"/>
      <c r="Q41" s="1591" t="str">
        <f t="shared" si="11"/>
        <v>进深比</v>
      </c>
      <c r="R41" s="1564" t="s">
        <v>8</v>
      </c>
      <c r="S41" s="1565">
        <f t="shared" si="12"/>
        <v>100</v>
      </c>
      <c r="T41" s="1564" t="s">
        <v>8</v>
      </c>
      <c r="U41" s="1565">
        <f t="shared" si="13"/>
        <v>100</v>
      </c>
      <c r="V41" s="1564" t="s">
        <v>8</v>
      </c>
      <c r="W41" s="1565">
        <f t="shared" si="14"/>
        <v>100</v>
      </c>
      <c r="X41" s="1566"/>
      <c r="Y41" s="3391"/>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1"/>
      <c r="Q42" s="1559" t="str">
        <f t="shared" si="11"/>
        <v>内部装修</v>
      </c>
      <c r="R42" s="1560" t="s">
        <v>8</v>
      </c>
      <c r="S42" s="1561">
        <f t="shared" si="12"/>
        <v>100</v>
      </c>
      <c r="T42" s="1560" t="s">
        <v>8</v>
      </c>
      <c r="U42" s="1561">
        <f t="shared" si="13"/>
        <v>100</v>
      </c>
      <c r="V42" s="1560" t="s">
        <v>8</v>
      </c>
      <c r="W42" s="1561">
        <f t="shared" si="14"/>
        <v>100</v>
      </c>
      <c r="X42" s="1554"/>
      <c r="Y42" s="3391"/>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1"/>
      <c r="Q43" s="1559" t="str">
        <f t="shared" si="11"/>
        <v>内部装修维护情况</v>
      </c>
      <c r="R43" s="1560" t="s">
        <v>8</v>
      </c>
      <c r="S43" s="1561">
        <f t="shared" si="12"/>
        <v>100</v>
      </c>
      <c r="T43" s="1560" t="s">
        <v>8</v>
      </c>
      <c r="U43" s="1561">
        <f t="shared" si="13"/>
        <v>100</v>
      </c>
      <c r="V43" s="1560" t="s">
        <v>8</v>
      </c>
      <c r="W43" s="1561">
        <f t="shared" si="14"/>
        <v>100</v>
      </c>
      <c r="X43" s="1554"/>
      <c r="Y43" s="339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1"/>
      <c r="Q44" s="1147">
        <f t="shared" si="11"/>
        <v>111</v>
      </c>
      <c r="R44" s="1555" t="s">
        <v>8</v>
      </c>
      <c r="S44" s="1556">
        <f t="shared" si="12"/>
        <v>100</v>
      </c>
      <c r="T44" s="1555" t="s">
        <v>8</v>
      </c>
      <c r="U44" s="1556">
        <f t="shared" si="13"/>
        <v>100</v>
      </c>
      <c r="V44" s="1555" t="s">
        <v>8</v>
      </c>
      <c r="W44" s="1556">
        <f t="shared" si="14"/>
        <v>100</v>
      </c>
      <c r="X44" s="1557"/>
      <c r="Y44" s="339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1"/>
      <c r="Q45" s="1559">
        <f t="shared" si="11"/>
        <v>111</v>
      </c>
      <c r="R45" s="1560" t="s">
        <v>8</v>
      </c>
      <c r="S45" s="1561">
        <f t="shared" si="12"/>
        <v>100</v>
      </c>
      <c r="T45" s="1560" t="s">
        <v>8</v>
      </c>
      <c r="U45" s="1561">
        <f t="shared" si="13"/>
        <v>100</v>
      </c>
      <c r="V45" s="1560" t="s">
        <v>8</v>
      </c>
      <c r="W45" s="1561">
        <f t="shared" si="14"/>
        <v>100</v>
      </c>
      <c r="X45" s="1554"/>
      <c r="Y45" s="339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3"/>
      <c r="Q46" s="1559">
        <f t="shared" si="11"/>
        <v>111</v>
      </c>
      <c r="R46" s="1560" t="s">
        <v>8</v>
      </c>
      <c r="S46" s="1561">
        <f t="shared" si="12"/>
        <v>100</v>
      </c>
      <c r="T46" s="1560" t="s">
        <v>8</v>
      </c>
      <c r="U46" s="1561">
        <f t="shared" si="13"/>
        <v>100</v>
      </c>
      <c r="V46" s="1560" t="s">
        <v>8</v>
      </c>
      <c r="W46" s="1561">
        <f t="shared" si="14"/>
        <v>100</v>
      </c>
      <c r="X46" s="1554"/>
      <c r="Y46" s="3463"/>
      <c r="Z46" s="1562">
        <f t="shared" si="15"/>
        <v>111</v>
      </c>
      <c r="AA46" s="1563">
        <f t="shared" si="3"/>
        <v>1</v>
      </c>
      <c r="AB46" s="1563">
        <f t="shared" si="4"/>
        <v>1</v>
      </c>
      <c r="AC46" s="1563">
        <f t="shared" si="5"/>
        <v>1</v>
      </c>
    </row>
    <row r="47" spans="1:29" ht="15">
      <c r="A47" s="607" t="s">
        <v>735</v>
      </c>
      <c r="B47" s="887"/>
      <c r="C47" s="2592" t="s">
        <v>1</v>
      </c>
      <c r="D47" s="2593"/>
      <c r="E47" s="2594"/>
      <c r="F47" s="2595"/>
      <c r="G47" s="2596"/>
      <c r="H47" s="2597"/>
      <c r="I47" s="2594"/>
      <c r="J47" s="2597"/>
      <c r="K47" s="1597"/>
      <c r="L47" s="2130"/>
      <c r="M47" s="2131"/>
      <c r="N47" s="2120"/>
      <c r="O47" s="2131"/>
      <c r="P47" s="3386" t="str">
        <f>A47</f>
        <v>成交单价（元/平方米）</v>
      </c>
      <c r="Q47" s="3386"/>
      <c r="R47" s="3462">
        <f>E47</f>
        <v>0</v>
      </c>
      <c r="S47" s="3462"/>
      <c r="T47" s="3462">
        <f>G47</f>
        <v>0</v>
      </c>
      <c r="U47" s="3462"/>
      <c r="V47" s="3462">
        <f>I47</f>
        <v>0</v>
      </c>
      <c r="W47" s="3462"/>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86" t="str">
        <f>A48</f>
        <v>比较价格（元/平方米）</v>
      </c>
      <c r="Q48" s="3386"/>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408" t="str">
        <f>A49</f>
        <v>估价对象XX用房的比较价格（楼面单价，元/平方米）</v>
      </c>
      <c r="Q49" s="3409"/>
      <c r="R49" s="3461" t="e">
        <f>IF(F1="售价",ROUND(AVERAGE(R48:V48),0),ROUND(AVERAGE(R48:V48),1))</f>
        <v>#DIV/0!</v>
      </c>
      <c r="S49" s="3461"/>
      <c r="T49" s="3461"/>
      <c r="U49" s="3461"/>
      <c r="V49" s="3461"/>
      <c r="W49" s="346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528</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3"/>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520</v>
      </c>
      <c r="B4" s="513"/>
      <c r="C4" s="3392" t="s">
        <v>521</v>
      </c>
      <c r="D4" s="3393"/>
      <c r="E4" s="3417" t="s">
        <v>522</v>
      </c>
      <c r="F4" s="3418"/>
      <c r="G4" s="3392" t="s">
        <v>523</v>
      </c>
      <c r="H4" s="3393"/>
      <c r="I4" s="3392" t="s">
        <v>524</v>
      </c>
      <c r="J4" s="3393"/>
      <c r="K4" s="514" t="s">
        <v>525</v>
      </c>
      <c r="L4" s="2119"/>
      <c r="M4" s="2120"/>
      <c r="N4" s="2120"/>
      <c r="O4" s="2120"/>
      <c r="P4" s="3494" t="s">
        <v>526</v>
      </c>
      <c r="Q4" s="3395"/>
      <c r="R4" s="3380" t="s">
        <v>522</v>
      </c>
      <c r="S4" s="3381"/>
      <c r="T4" s="3380" t="s">
        <v>523</v>
      </c>
      <c r="U4" s="3381"/>
      <c r="V4" s="3400" t="s">
        <v>524</v>
      </c>
      <c r="W4" s="3400"/>
      <c r="X4" s="1554"/>
      <c r="Y4" s="3380" t="s">
        <v>526</v>
      </c>
      <c r="Z4" s="3381"/>
      <c r="AA4" s="3375" t="s">
        <v>522</v>
      </c>
      <c r="AB4" s="3375"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495"/>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496"/>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7"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7" t="s">
        <v>532</v>
      </c>
      <c r="Q8" s="3379"/>
      <c r="R8" s="1555" t="s">
        <v>8</v>
      </c>
      <c r="S8" s="1556">
        <f t="shared" si="0"/>
        <v>0</v>
      </c>
      <c r="T8" s="1555" t="s">
        <v>8</v>
      </c>
      <c r="U8" s="1556">
        <f t="shared" si="1"/>
        <v>0</v>
      </c>
      <c r="V8" s="1555" t="s">
        <v>8</v>
      </c>
      <c r="W8" s="1556">
        <f t="shared" si="2"/>
        <v>0</v>
      </c>
      <c r="X8" s="1557"/>
      <c r="Y8" s="3378" t="s">
        <v>532</v>
      </c>
      <c r="Z8" s="3379"/>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71.25">
      <c r="A15" s="2866"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8" t="s">
        <v>539</v>
      </c>
      <c r="Q15" s="1559" t="str">
        <f t="shared" si="6"/>
        <v>办公集聚程度</v>
      </c>
      <c r="R15" s="1560" t="s">
        <v>8</v>
      </c>
      <c r="S15" s="1561">
        <f t="shared" si="0"/>
        <v>100</v>
      </c>
      <c r="T15" s="1560" t="s">
        <v>8</v>
      </c>
      <c r="U15" s="1561">
        <f t="shared" si="1"/>
        <v>100</v>
      </c>
      <c r="V15" s="1560" t="s">
        <v>8</v>
      </c>
      <c r="W15" s="1561">
        <f t="shared" si="2"/>
        <v>100</v>
      </c>
      <c r="X15" s="1554"/>
      <c r="Y15" s="3388"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9"/>
      <c r="Q16" s="1559"/>
      <c r="R16" s="1560"/>
      <c r="S16" s="1561"/>
      <c r="T16" s="1560"/>
      <c r="U16" s="1561"/>
      <c r="V16" s="1560"/>
      <c r="W16" s="1561"/>
      <c r="X16" s="1554"/>
      <c r="Y16" s="3389"/>
      <c r="Z16" s="1562"/>
      <c r="AA16" s="1563">
        <v>1</v>
      </c>
      <c r="AB16" s="1563">
        <v>1</v>
      </c>
      <c r="AC16" s="1563">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9"/>
      <c r="Q18" s="1559"/>
      <c r="R18" s="1560"/>
      <c r="S18" s="1561"/>
      <c r="T18" s="1560"/>
      <c r="U18" s="1561"/>
      <c r="V18" s="1560"/>
      <c r="W18" s="1561"/>
      <c r="X18" s="1554"/>
      <c r="Y18" s="3389"/>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9"/>
      <c r="Q20" s="1559"/>
      <c r="R20" s="1560"/>
      <c r="S20" s="1561"/>
      <c r="T20" s="1560"/>
      <c r="U20" s="1561"/>
      <c r="V20" s="1560"/>
      <c r="W20" s="1561"/>
      <c r="X20" s="1554"/>
      <c r="Y20" s="3389"/>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9"/>
      <c r="Q22" s="2544"/>
      <c r="R22" s="1560"/>
      <c r="S22" s="1561"/>
      <c r="T22" s="1560"/>
      <c r="U22" s="1561"/>
      <c r="V22" s="1560"/>
      <c r="W22" s="1561"/>
      <c r="X22" s="2546"/>
      <c r="Y22" s="3389"/>
      <c r="Z22" s="2545"/>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9"/>
      <c r="Q23" s="1559" t="str">
        <f>B23</f>
        <v>环境质量</v>
      </c>
      <c r="R23" s="1560" t="s">
        <v>8</v>
      </c>
      <c r="S23" s="1561">
        <f>F23</f>
        <v>100</v>
      </c>
      <c r="T23" s="1560" t="s">
        <v>8</v>
      </c>
      <c r="U23" s="1561">
        <f>H23</f>
        <v>100</v>
      </c>
      <c r="V23" s="1560" t="s">
        <v>8</v>
      </c>
      <c r="W23" s="1561">
        <f>J23</f>
        <v>100</v>
      </c>
      <c r="X23" s="1554"/>
      <c r="Y23" s="338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9"/>
      <c r="Q24" s="1559"/>
      <c r="R24" s="1560"/>
      <c r="S24" s="1561"/>
      <c r="T24" s="1560"/>
      <c r="U24" s="1561"/>
      <c r="V24" s="1560"/>
      <c r="W24" s="1561"/>
      <c r="X24" s="1554"/>
      <c r="Y24" s="3389"/>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9"/>
      <c r="Q25" s="1559" t="str">
        <f>B25</f>
        <v>毗邻道路的类型与等级</v>
      </c>
      <c r="R25" s="1560" t="s">
        <v>8</v>
      </c>
      <c r="S25" s="1561">
        <f>F25</f>
        <v>100</v>
      </c>
      <c r="T25" s="1560" t="s">
        <v>8</v>
      </c>
      <c r="U25" s="1561">
        <f>H25</f>
        <v>100</v>
      </c>
      <c r="V25" s="1560" t="s">
        <v>8</v>
      </c>
      <c r="W25" s="1561">
        <f>J25</f>
        <v>100</v>
      </c>
      <c r="X25" s="1554"/>
      <c r="Y25" s="338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9"/>
      <c r="Q26" s="1559"/>
      <c r="R26" s="1560"/>
      <c r="S26" s="1561"/>
      <c r="T26" s="1560"/>
      <c r="U26" s="1561"/>
      <c r="V26" s="1560"/>
      <c r="W26" s="1561"/>
      <c r="X26" s="1554"/>
      <c r="Y26" s="3389"/>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9"/>
      <c r="Q27" s="1559" t="str">
        <f t="shared" ref="Q27:Q47" si="11">B27</f>
        <v>楼层</v>
      </c>
      <c r="R27" s="1560" t="s">
        <v>8</v>
      </c>
      <c r="S27" s="1561">
        <f>F27</f>
        <v>100</v>
      </c>
      <c r="T27" s="1560" t="s">
        <v>8</v>
      </c>
      <c r="U27" s="1561">
        <f>H27</f>
        <v>100</v>
      </c>
      <c r="V27" s="1560" t="s">
        <v>8</v>
      </c>
      <c r="W27" s="1561">
        <f>J27</f>
        <v>100</v>
      </c>
      <c r="X27" s="1554"/>
      <c r="Y27" s="3389"/>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9"/>
      <c r="Q28" s="1147" t="str">
        <f t="shared" si="11"/>
        <v>朝向</v>
      </c>
      <c r="R28" s="1555" t="s">
        <v>8</v>
      </c>
      <c r="S28" s="1556">
        <f>F28</f>
        <v>100</v>
      </c>
      <c r="T28" s="1555" t="s">
        <v>8</v>
      </c>
      <c r="U28" s="1556">
        <f>H28</f>
        <v>100</v>
      </c>
      <c r="V28" s="1555" t="s">
        <v>8</v>
      </c>
      <c r="W28" s="1556">
        <f>J28</f>
        <v>100</v>
      </c>
      <c r="X28" s="1557"/>
      <c r="Y28" s="338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9"/>
      <c r="Q29" s="1559">
        <f t="shared" si="11"/>
        <v>111</v>
      </c>
      <c r="R29" s="1560" t="s">
        <v>8</v>
      </c>
      <c r="S29" s="1561">
        <f t="shared" ref="S29:S47" si="12">F29</f>
        <v>100</v>
      </c>
      <c r="T29" s="1560" t="s">
        <v>8</v>
      </c>
      <c r="U29" s="1561">
        <f t="shared" ref="U29:U47" si="13">H29</f>
        <v>100</v>
      </c>
      <c r="V29" s="1560" t="s">
        <v>8</v>
      </c>
      <c r="W29" s="1561">
        <f t="shared" ref="W29:W47" si="14">J29</f>
        <v>100</v>
      </c>
      <c r="X29" s="1554"/>
      <c r="Y29" s="338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9"/>
      <c r="Q30" s="1559">
        <f t="shared" si="11"/>
        <v>111</v>
      </c>
      <c r="R30" s="1560" t="s">
        <v>8</v>
      </c>
      <c r="S30" s="1561">
        <f t="shared" si="12"/>
        <v>100</v>
      </c>
      <c r="T30" s="1560" t="s">
        <v>8</v>
      </c>
      <c r="U30" s="1561">
        <f t="shared" si="13"/>
        <v>100</v>
      </c>
      <c r="V30" s="1560" t="s">
        <v>8</v>
      </c>
      <c r="W30" s="1561">
        <f t="shared" si="14"/>
        <v>100</v>
      </c>
      <c r="X30" s="1554"/>
      <c r="Y30" s="338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9"/>
      <c r="Q31" s="1559">
        <f t="shared" si="11"/>
        <v>111</v>
      </c>
      <c r="R31" s="1560" t="s">
        <v>8</v>
      </c>
      <c r="S31" s="1561">
        <f t="shared" si="12"/>
        <v>100</v>
      </c>
      <c r="T31" s="1560" t="s">
        <v>8</v>
      </c>
      <c r="U31" s="1561">
        <f t="shared" si="13"/>
        <v>100</v>
      </c>
      <c r="V31" s="1560" t="s">
        <v>8</v>
      </c>
      <c r="W31" s="1561">
        <f t="shared" si="14"/>
        <v>100</v>
      </c>
      <c r="X31" s="1554"/>
      <c r="Y31" s="338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9"/>
      <c r="Q32" s="1559">
        <f t="shared" si="11"/>
        <v>111</v>
      </c>
      <c r="R32" s="1560" t="s">
        <v>8</v>
      </c>
      <c r="S32" s="1561">
        <f t="shared" si="12"/>
        <v>100</v>
      </c>
      <c r="T32" s="1560" t="s">
        <v>8</v>
      </c>
      <c r="U32" s="1561">
        <f t="shared" si="13"/>
        <v>100</v>
      </c>
      <c r="V32" s="1560" t="s">
        <v>8</v>
      </c>
      <c r="W32" s="1561">
        <f t="shared" si="14"/>
        <v>100</v>
      </c>
      <c r="X32" s="1554"/>
      <c r="Y32" s="3389"/>
      <c r="Z32" s="1562">
        <f t="shared" si="15"/>
        <v>111</v>
      </c>
      <c r="AA32" s="1563">
        <f t="shared" si="3"/>
        <v>1</v>
      </c>
      <c r="AB32" s="1563">
        <f t="shared" si="4"/>
        <v>1</v>
      </c>
      <c r="AC32" s="1563">
        <f t="shared" si="5"/>
        <v>1</v>
      </c>
    </row>
    <row r="33" spans="1:29" ht="15">
      <c r="A33" s="2863"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0" t="s">
        <v>549</v>
      </c>
      <c r="Q33" s="1559" t="str">
        <f t="shared" si="11"/>
        <v>建筑类型</v>
      </c>
      <c r="R33" s="1560" t="s">
        <v>8</v>
      </c>
      <c r="S33" s="1561">
        <f t="shared" si="12"/>
        <v>100</v>
      </c>
      <c r="T33" s="1560" t="s">
        <v>8</v>
      </c>
      <c r="U33" s="1561">
        <f t="shared" si="13"/>
        <v>100</v>
      </c>
      <c r="V33" s="1560" t="s">
        <v>8</v>
      </c>
      <c r="W33" s="1561">
        <f t="shared" si="14"/>
        <v>100</v>
      </c>
      <c r="X33" s="1554"/>
      <c r="Y33" s="3391"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1"/>
      <c r="Q34" s="1591" t="str">
        <f t="shared" si="11"/>
        <v>项目建筑规模</v>
      </c>
      <c r="R34" s="1564" t="s">
        <v>8</v>
      </c>
      <c r="S34" s="1565" t="e">
        <f t="shared" si="12"/>
        <v>#N/A</v>
      </c>
      <c r="T34" s="1564" t="s">
        <v>8</v>
      </c>
      <c r="U34" s="1565" t="e">
        <f t="shared" si="13"/>
        <v>#N/A</v>
      </c>
      <c r="V34" s="1564" t="s">
        <v>8</v>
      </c>
      <c r="W34" s="1565" t="e">
        <f t="shared" si="14"/>
        <v>#N/A</v>
      </c>
      <c r="X34" s="1566"/>
      <c r="Y34" s="3391"/>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1"/>
      <c r="Q35" s="1559" t="str">
        <f t="shared" si="11"/>
        <v>建筑结构</v>
      </c>
      <c r="R35" s="1560" t="s">
        <v>8</v>
      </c>
      <c r="S35" s="1561">
        <f t="shared" si="12"/>
        <v>100</v>
      </c>
      <c r="T35" s="1560" t="s">
        <v>8</v>
      </c>
      <c r="U35" s="1561">
        <f t="shared" si="13"/>
        <v>100</v>
      </c>
      <c r="V35" s="1560" t="s">
        <v>8</v>
      </c>
      <c r="W35" s="1561">
        <f t="shared" si="14"/>
        <v>100</v>
      </c>
      <c r="X35" s="1554"/>
      <c r="Y35" s="3391"/>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1"/>
      <c r="Q36" s="1559" t="str">
        <f t="shared" si="11"/>
        <v>公共部分装修</v>
      </c>
      <c r="R36" s="1560" t="s">
        <v>8</v>
      </c>
      <c r="S36" s="1561">
        <f t="shared" si="12"/>
        <v>100</v>
      </c>
      <c r="T36" s="1560" t="s">
        <v>8</v>
      </c>
      <c r="U36" s="1561">
        <f t="shared" si="13"/>
        <v>100</v>
      </c>
      <c r="V36" s="1560" t="s">
        <v>8</v>
      </c>
      <c r="W36" s="1561">
        <f t="shared" si="14"/>
        <v>100</v>
      </c>
      <c r="X36" s="1554"/>
      <c r="Y36" s="3391"/>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1"/>
      <c r="Q37" s="1559" t="str">
        <f t="shared" si="11"/>
        <v>成新度</v>
      </c>
      <c r="R37" s="1560" t="s">
        <v>8</v>
      </c>
      <c r="S37" s="1561" t="e">
        <f t="shared" si="12"/>
        <v>#N/A</v>
      </c>
      <c r="T37" s="1560" t="s">
        <v>8</v>
      </c>
      <c r="U37" s="1561" t="e">
        <f t="shared" si="13"/>
        <v>#N/A</v>
      </c>
      <c r="V37" s="1560" t="s">
        <v>8</v>
      </c>
      <c r="W37" s="1561" t="e">
        <f t="shared" si="14"/>
        <v>#N/A</v>
      </c>
      <c r="X37" s="1554"/>
      <c r="Y37" s="3391"/>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1"/>
      <c r="Q38" s="1147" t="str">
        <f t="shared" si="11"/>
        <v>写字楼等级</v>
      </c>
      <c r="R38" s="1555" t="s">
        <v>8</v>
      </c>
      <c r="S38" s="1556">
        <f t="shared" si="12"/>
        <v>100</v>
      </c>
      <c r="T38" s="1555" t="s">
        <v>8</v>
      </c>
      <c r="U38" s="1556">
        <f t="shared" si="13"/>
        <v>100</v>
      </c>
      <c r="V38" s="1555" t="s">
        <v>8</v>
      </c>
      <c r="W38" s="1556">
        <f t="shared" si="14"/>
        <v>100</v>
      </c>
      <c r="X38" s="1557"/>
      <c r="Y38" s="3391"/>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1" t="s">
        <v>549</v>
      </c>
      <c r="Q39" s="1559" t="str">
        <f t="shared" si="11"/>
        <v>物业管理</v>
      </c>
      <c r="R39" s="1560" t="s">
        <v>8</v>
      </c>
      <c r="S39" s="1561">
        <f t="shared" si="12"/>
        <v>100</v>
      </c>
      <c r="T39" s="1560" t="s">
        <v>8</v>
      </c>
      <c r="U39" s="1561">
        <f t="shared" si="13"/>
        <v>100</v>
      </c>
      <c r="V39" s="1560" t="s">
        <v>8</v>
      </c>
      <c r="W39" s="1561">
        <f t="shared" si="14"/>
        <v>100</v>
      </c>
      <c r="X39" s="1554"/>
      <c r="Y39" s="3391" t="s">
        <v>549</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1"/>
      <c r="Q40" s="1559" t="str">
        <f t="shared" si="11"/>
        <v>市政基础设施</v>
      </c>
      <c r="R40" s="1560" t="s">
        <v>8</v>
      </c>
      <c r="S40" s="1561">
        <f t="shared" si="12"/>
        <v>100</v>
      </c>
      <c r="T40" s="1560" t="s">
        <v>8</v>
      </c>
      <c r="U40" s="1561">
        <f t="shared" si="13"/>
        <v>100</v>
      </c>
      <c r="V40" s="1560" t="s">
        <v>8</v>
      </c>
      <c r="W40" s="1561">
        <f t="shared" si="14"/>
        <v>100</v>
      </c>
      <c r="X40" s="1554"/>
      <c r="Y40" s="3391"/>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1"/>
      <c r="Q41" s="1559" t="str">
        <f t="shared" si="11"/>
        <v>层高</v>
      </c>
      <c r="R41" s="1560" t="s">
        <v>8</v>
      </c>
      <c r="S41" s="1561">
        <f t="shared" si="12"/>
        <v>100</v>
      </c>
      <c r="T41" s="1560" t="s">
        <v>8</v>
      </c>
      <c r="U41" s="1561">
        <f t="shared" si="13"/>
        <v>100</v>
      </c>
      <c r="V41" s="1560" t="s">
        <v>8</v>
      </c>
      <c r="W41" s="1561">
        <f t="shared" si="14"/>
        <v>100</v>
      </c>
      <c r="X41" s="1554"/>
      <c r="Y41" s="3391"/>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1"/>
      <c r="Q42" s="1591" t="str">
        <f t="shared" si="11"/>
        <v>单套建筑面积</v>
      </c>
      <c r="R42" s="1564" t="s">
        <v>8</v>
      </c>
      <c r="S42" s="1565">
        <f t="shared" si="12"/>
        <v>100</v>
      </c>
      <c r="T42" s="1564" t="s">
        <v>8</v>
      </c>
      <c r="U42" s="1565">
        <f t="shared" si="13"/>
        <v>100</v>
      </c>
      <c r="V42" s="1564" t="s">
        <v>8</v>
      </c>
      <c r="W42" s="1565">
        <f t="shared" si="14"/>
        <v>100</v>
      </c>
      <c r="X42" s="1566"/>
      <c r="Y42" s="3391"/>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1"/>
      <c r="Q43" s="1559" t="str">
        <f t="shared" si="11"/>
        <v>内部装修</v>
      </c>
      <c r="R43" s="1560" t="s">
        <v>8</v>
      </c>
      <c r="S43" s="1561">
        <f t="shared" si="12"/>
        <v>100</v>
      </c>
      <c r="T43" s="1560" t="s">
        <v>8</v>
      </c>
      <c r="U43" s="1561">
        <f t="shared" si="13"/>
        <v>100</v>
      </c>
      <c r="V43" s="1560" t="s">
        <v>8</v>
      </c>
      <c r="W43" s="1561">
        <f t="shared" si="14"/>
        <v>100</v>
      </c>
      <c r="X43" s="1554"/>
      <c r="Y43" s="3391"/>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1"/>
      <c r="Q44" s="1559" t="str">
        <f t="shared" si="11"/>
        <v>内部装修维护情况</v>
      </c>
      <c r="R44" s="1560" t="s">
        <v>8</v>
      </c>
      <c r="S44" s="1561">
        <f t="shared" si="12"/>
        <v>100</v>
      </c>
      <c r="T44" s="1560" t="s">
        <v>8</v>
      </c>
      <c r="U44" s="1561">
        <f t="shared" si="13"/>
        <v>100</v>
      </c>
      <c r="V44" s="1560" t="s">
        <v>8</v>
      </c>
      <c r="W44" s="1561">
        <f t="shared" si="14"/>
        <v>100</v>
      </c>
      <c r="X44" s="1554"/>
      <c r="Y44" s="339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1"/>
      <c r="Q45" s="1147">
        <f t="shared" si="11"/>
        <v>111</v>
      </c>
      <c r="R45" s="1555" t="s">
        <v>8</v>
      </c>
      <c r="S45" s="1556">
        <f t="shared" si="12"/>
        <v>100</v>
      </c>
      <c r="T45" s="1555" t="s">
        <v>8</v>
      </c>
      <c r="U45" s="1556">
        <f t="shared" si="13"/>
        <v>100</v>
      </c>
      <c r="V45" s="1555" t="s">
        <v>8</v>
      </c>
      <c r="W45" s="1556">
        <f t="shared" si="14"/>
        <v>100</v>
      </c>
      <c r="X45" s="1557"/>
      <c r="Y45" s="339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1"/>
      <c r="Q46" s="1559">
        <f t="shared" si="11"/>
        <v>111</v>
      </c>
      <c r="R46" s="1560" t="s">
        <v>8</v>
      </c>
      <c r="S46" s="1561">
        <f t="shared" si="12"/>
        <v>100</v>
      </c>
      <c r="T46" s="1560" t="s">
        <v>8</v>
      </c>
      <c r="U46" s="1561">
        <f t="shared" si="13"/>
        <v>100</v>
      </c>
      <c r="V46" s="1560" t="s">
        <v>8</v>
      </c>
      <c r="W46" s="1561">
        <f t="shared" si="14"/>
        <v>100</v>
      </c>
      <c r="X46" s="1554"/>
      <c r="Y46" s="339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3"/>
      <c r="Q47" s="1559">
        <f t="shared" si="11"/>
        <v>111</v>
      </c>
      <c r="R47" s="1560" t="s">
        <v>8</v>
      </c>
      <c r="S47" s="1561">
        <f t="shared" si="12"/>
        <v>100</v>
      </c>
      <c r="T47" s="1560" t="s">
        <v>8</v>
      </c>
      <c r="U47" s="1561">
        <f t="shared" si="13"/>
        <v>100</v>
      </c>
      <c r="V47" s="1560" t="s">
        <v>8</v>
      </c>
      <c r="W47" s="1561">
        <f t="shared" si="14"/>
        <v>100</v>
      </c>
      <c r="X47" s="1554"/>
      <c r="Y47" s="3463"/>
      <c r="Z47" s="1562">
        <f t="shared" si="15"/>
        <v>111</v>
      </c>
      <c r="AA47" s="1563">
        <f t="shared" si="3"/>
        <v>1</v>
      </c>
      <c r="AB47" s="1563">
        <f t="shared" si="4"/>
        <v>1</v>
      </c>
      <c r="AC47" s="1563">
        <f t="shared" si="5"/>
        <v>1</v>
      </c>
    </row>
    <row r="48" spans="1:29" ht="15">
      <c r="A48" s="607" t="s">
        <v>735</v>
      </c>
      <c r="B48" s="887"/>
      <c r="C48" s="2592" t="s">
        <v>1</v>
      </c>
      <c r="D48" s="2593"/>
      <c r="E48" s="2594"/>
      <c r="F48" s="2595"/>
      <c r="G48" s="2596"/>
      <c r="H48" s="2597"/>
      <c r="I48" s="2594"/>
      <c r="J48" s="2597"/>
      <c r="K48" s="1597"/>
      <c r="L48" s="2130"/>
      <c r="M48" s="2120"/>
      <c r="N48" s="2120"/>
      <c r="O48" s="2120"/>
      <c r="P48" s="3409" t="str">
        <f>A48</f>
        <v>成交单价（元/平方米）</v>
      </c>
      <c r="Q48" s="3386"/>
      <c r="R48" s="3462">
        <f>E48</f>
        <v>0</v>
      </c>
      <c r="S48" s="3462"/>
      <c r="T48" s="3462">
        <f>G48</f>
        <v>0</v>
      </c>
      <c r="U48" s="3462"/>
      <c r="V48" s="3462">
        <f>I48</f>
        <v>0</v>
      </c>
      <c r="W48" s="3462"/>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09" t="str">
        <f>A49</f>
        <v>比较价格（元/平方米）</v>
      </c>
      <c r="Q49" s="3386"/>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497" t="str">
        <f>A50</f>
        <v>估价对象XX用房的比较价格（楼面单价，元/平方米）</v>
      </c>
      <c r="Q50" s="3409"/>
      <c r="R50" s="3461" t="e">
        <f>IF(F1="售价",ROUND(AVERAGE(R49:V49),0),ROUND(AVERAGE(R49:V49),1))</f>
        <v>#DIV/0!</v>
      </c>
      <c r="S50" s="3461"/>
      <c r="T50" s="3461"/>
      <c r="U50" s="3461"/>
      <c r="V50" s="3461"/>
      <c r="W50" s="346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528</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3"/>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520</v>
      </c>
      <c r="B4" s="513"/>
      <c r="C4" s="3392" t="s">
        <v>521</v>
      </c>
      <c r="D4" s="3393"/>
      <c r="E4" s="3417" t="s">
        <v>522</v>
      </c>
      <c r="F4" s="3418"/>
      <c r="G4" s="3392" t="s">
        <v>523</v>
      </c>
      <c r="H4" s="3393"/>
      <c r="I4" s="3392" t="s">
        <v>524</v>
      </c>
      <c r="J4" s="3393"/>
      <c r="K4" s="514" t="s">
        <v>525</v>
      </c>
      <c r="L4" s="2119"/>
      <c r="M4" s="2120"/>
      <c r="N4" s="2120"/>
      <c r="O4" s="2120"/>
      <c r="P4" s="3394" t="s">
        <v>526</v>
      </c>
      <c r="Q4" s="3395"/>
      <c r="R4" s="3380" t="s">
        <v>522</v>
      </c>
      <c r="S4" s="3381"/>
      <c r="T4" s="3380" t="s">
        <v>523</v>
      </c>
      <c r="U4" s="3381"/>
      <c r="V4" s="3400" t="s">
        <v>524</v>
      </c>
      <c r="W4" s="3400"/>
      <c r="X4" s="1554"/>
      <c r="Y4" s="3380" t="s">
        <v>526</v>
      </c>
      <c r="Z4" s="3381"/>
      <c r="AA4" s="3375" t="s">
        <v>522</v>
      </c>
      <c r="AB4" s="3376" t="s">
        <v>523</v>
      </c>
      <c r="AC4" s="3375" t="s">
        <v>524</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8" t="s">
        <v>529</v>
      </c>
      <c r="Q7" s="3387"/>
      <c r="R7" s="1555" t="s">
        <v>8</v>
      </c>
      <c r="S7" s="1556">
        <f t="shared" ref="S7:S15" si="0">F7</f>
        <v>0</v>
      </c>
      <c r="T7" s="1555" t="s">
        <v>8</v>
      </c>
      <c r="U7" s="1556">
        <f t="shared" ref="U7:U15" si="1">H7</f>
        <v>0</v>
      </c>
      <c r="V7" s="1555" t="s">
        <v>8</v>
      </c>
      <c r="W7" s="1556">
        <f t="shared" ref="W7:W15"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6" t="s">
        <v>534</v>
      </c>
      <c r="Q9" s="1147" t="str">
        <f t="shared" ref="Q9:Q15" si="6">B9</f>
        <v>用途</v>
      </c>
      <c r="R9" s="1555" t="s">
        <v>8</v>
      </c>
      <c r="S9" s="1556">
        <f t="shared" si="0"/>
        <v>100</v>
      </c>
      <c r="T9" s="1555" t="s">
        <v>8</v>
      </c>
      <c r="U9" s="1556">
        <f t="shared" si="1"/>
        <v>100</v>
      </c>
      <c r="V9" s="1555" t="s">
        <v>8</v>
      </c>
      <c r="W9" s="1556">
        <f t="shared" si="2"/>
        <v>100</v>
      </c>
      <c r="X9" s="1557"/>
      <c r="Y9" s="3343" t="s">
        <v>535</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6"/>
      <c r="Q11" s="1147" t="str">
        <f t="shared" si="6"/>
        <v>容积率</v>
      </c>
      <c r="R11" s="1555" t="s">
        <v>8</v>
      </c>
      <c r="S11" s="1556" t="e">
        <f t="shared" si="0"/>
        <v>#N/A</v>
      </c>
      <c r="T11" s="1555" t="s">
        <v>8</v>
      </c>
      <c r="U11" s="1556" t="e">
        <f t="shared" si="1"/>
        <v>#N/A</v>
      </c>
      <c r="V11" s="1555" t="s">
        <v>8</v>
      </c>
      <c r="W11" s="1556" t="e">
        <f t="shared" si="2"/>
        <v>#N/A</v>
      </c>
      <c r="X11" s="1557"/>
      <c r="Y11" s="334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6"/>
      <c r="Q14" s="1147">
        <f t="shared" si="6"/>
        <v>111</v>
      </c>
      <c r="R14" s="1555" t="s">
        <v>8</v>
      </c>
      <c r="S14" s="1556">
        <f t="shared" si="0"/>
        <v>100</v>
      </c>
      <c r="T14" s="1555" t="s">
        <v>8</v>
      </c>
      <c r="U14" s="1556">
        <f t="shared" si="1"/>
        <v>100</v>
      </c>
      <c r="V14" s="1555" t="s">
        <v>8</v>
      </c>
      <c r="W14" s="1556">
        <f t="shared" si="2"/>
        <v>100</v>
      </c>
      <c r="X14" s="1557"/>
      <c r="Y14" s="3343"/>
      <c r="Z14" s="1146">
        <f t="shared" si="7"/>
        <v>111</v>
      </c>
      <c r="AA14" s="1558">
        <f t="shared" si="3"/>
        <v>1</v>
      </c>
      <c r="AB14" s="1558">
        <f t="shared" si="4"/>
        <v>1</v>
      </c>
      <c r="AC14" s="1558">
        <f t="shared" si="5"/>
        <v>1</v>
      </c>
    </row>
    <row r="15" spans="1:29" ht="57">
      <c r="A15" s="2866"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8" t="s">
        <v>539</v>
      </c>
      <c r="Q15" s="1559" t="str">
        <f t="shared" si="6"/>
        <v>产业集聚程度</v>
      </c>
      <c r="R15" s="1560" t="s">
        <v>8</v>
      </c>
      <c r="S15" s="1561">
        <f t="shared" si="0"/>
        <v>100</v>
      </c>
      <c r="T15" s="1560" t="s">
        <v>8</v>
      </c>
      <c r="U15" s="1561">
        <f t="shared" si="1"/>
        <v>100</v>
      </c>
      <c r="V15" s="1560" t="s">
        <v>8</v>
      </c>
      <c r="W15" s="1561">
        <f t="shared" si="2"/>
        <v>100</v>
      </c>
      <c r="X15" s="1554"/>
      <c r="Y15" s="3388"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9"/>
      <c r="Q16" s="1559"/>
      <c r="R16" s="1560"/>
      <c r="S16" s="1561"/>
      <c r="T16" s="1560"/>
      <c r="U16" s="1561"/>
      <c r="V16" s="1560"/>
      <c r="W16" s="1561"/>
      <c r="X16" s="1554"/>
      <c r="Y16" s="3389"/>
      <c r="Z16" s="1562"/>
      <c r="AA16" s="1563">
        <v>1</v>
      </c>
      <c r="AB16" s="1563">
        <v>1</v>
      </c>
      <c r="AC16" s="1563">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9"/>
      <c r="Q17" s="1559" t="str">
        <f>B17</f>
        <v>交通便捷度</v>
      </c>
      <c r="R17" s="1560" t="s">
        <v>8</v>
      </c>
      <c r="S17" s="1561">
        <f>F17</f>
        <v>100</v>
      </c>
      <c r="T17" s="1560" t="s">
        <v>8</v>
      </c>
      <c r="U17" s="1561">
        <f>H17</f>
        <v>100</v>
      </c>
      <c r="V17" s="1560" t="s">
        <v>8</v>
      </c>
      <c r="W17" s="1561">
        <f>J17</f>
        <v>100</v>
      </c>
      <c r="X17" s="1554"/>
      <c r="Y17" s="338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9"/>
      <c r="Q18" s="1559"/>
      <c r="R18" s="1560"/>
      <c r="S18" s="1561"/>
      <c r="T18" s="1560"/>
      <c r="U18" s="1561"/>
      <c r="V18" s="1560"/>
      <c r="W18" s="1561"/>
      <c r="X18" s="1554"/>
      <c r="Y18" s="3389"/>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9"/>
      <c r="Q19" s="1559" t="str">
        <f>B19</f>
        <v>公共配套设施</v>
      </c>
      <c r="R19" s="1560" t="s">
        <v>8</v>
      </c>
      <c r="S19" s="1561">
        <f>F19</f>
        <v>100</v>
      </c>
      <c r="T19" s="1560" t="s">
        <v>8</v>
      </c>
      <c r="U19" s="1561">
        <f>H19</f>
        <v>100</v>
      </c>
      <c r="V19" s="1560" t="s">
        <v>8</v>
      </c>
      <c r="W19" s="1561">
        <f>J19</f>
        <v>100</v>
      </c>
      <c r="X19" s="1554"/>
      <c r="Y19" s="338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9"/>
      <c r="Q20" s="1559"/>
      <c r="R20" s="1560"/>
      <c r="S20" s="1561"/>
      <c r="T20" s="1560"/>
      <c r="U20" s="1561"/>
      <c r="V20" s="1560"/>
      <c r="W20" s="1561"/>
      <c r="X20" s="1554"/>
      <c r="Y20" s="3389"/>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9"/>
      <c r="Q21" s="2544" t="str">
        <f>B21</f>
        <v>基础设施水平</v>
      </c>
      <c r="R21" s="1560" t="s">
        <v>8</v>
      </c>
      <c r="S21" s="1561">
        <f>F21</f>
        <v>100</v>
      </c>
      <c r="T21" s="1560" t="s">
        <v>8</v>
      </c>
      <c r="U21" s="1561">
        <f>H21</f>
        <v>100</v>
      </c>
      <c r="V21" s="1560" t="s">
        <v>8</v>
      </c>
      <c r="W21" s="1561">
        <f>J21</f>
        <v>100</v>
      </c>
      <c r="X21" s="2546"/>
      <c r="Y21" s="338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9"/>
      <c r="Q22" s="2544"/>
      <c r="R22" s="1560"/>
      <c r="S22" s="1561"/>
      <c r="T22" s="1560"/>
      <c r="U22" s="1561"/>
      <c r="V22" s="1560"/>
      <c r="W22" s="1561"/>
      <c r="X22" s="2546"/>
      <c r="Y22" s="3389"/>
      <c r="Z22" s="2545"/>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9"/>
      <c r="Q23" s="1559" t="str">
        <f>B23</f>
        <v>环境质量</v>
      </c>
      <c r="R23" s="1560" t="s">
        <v>8</v>
      </c>
      <c r="S23" s="1561">
        <f>F23</f>
        <v>100</v>
      </c>
      <c r="T23" s="1560" t="s">
        <v>8</v>
      </c>
      <c r="U23" s="1561">
        <f>H23</f>
        <v>100</v>
      </c>
      <c r="V23" s="1560" t="s">
        <v>8</v>
      </c>
      <c r="W23" s="1561">
        <f>J23</f>
        <v>100</v>
      </c>
      <c r="X23" s="1554"/>
      <c r="Y23" s="338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9"/>
      <c r="Q24" s="1559"/>
      <c r="R24" s="1560"/>
      <c r="S24" s="1561"/>
      <c r="T24" s="1560"/>
      <c r="U24" s="1561"/>
      <c r="V24" s="1560"/>
      <c r="W24" s="1561"/>
      <c r="X24" s="1554"/>
      <c r="Y24" s="338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9"/>
      <c r="Q25" s="1559">
        <f>B25</f>
        <v>111</v>
      </c>
      <c r="R25" s="1560" t="s">
        <v>8</v>
      </c>
      <c r="S25" s="1561">
        <f>F25</f>
        <v>100</v>
      </c>
      <c r="T25" s="1560" t="s">
        <v>8</v>
      </c>
      <c r="U25" s="1561">
        <f>H25</f>
        <v>100</v>
      </c>
      <c r="V25" s="1560" t="s">
        <v>8</v>
      </c>
      <c r="W25" s="1561">
        <f>J25</f>
        <v>100</v>
      </c>
      <c r="X25" s="1554"/>
      <c r="Y25" s="338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9"/>
      <c r="Q26" s="1559">
        <f t="shared" ref="Q26:Q40" si="11">B26</f>
        <v>111</v>
      </c>
      <c r="R26" s="1560" t="s">
        <v>8</v>
      </c>
      <c r="S26" s="1561">
        <f>F26</f>
        <v>100</v>
      </c>
      <c r="T26" s="1560" t="s">
        <v>8</v>
      </c>
      <c r="U26" s="1561">
        <f>H26</f>
        <v>100</v>
      </c>
      <c r="V26" s="1560" t="s">
        <v>8</v>
      </c>
      <c r="W26" s="1561">
        <f>J26</f>
        <v>100</v>
      </c>
      <c r="X26" s="1554"/>
      <c r="Y26" s="338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9"/>
      <c r="Q27" s="1147">
        <f t="shared" si="11"/>
        <v>111</v>
      </c>
      <c r="R27" s="1555" t="s">
        <v>8</v>
      </c>
      <c r="S27" s="1556">
        <f>F27</f>
        <v>100</v>
      </c>
      <c r="T27" s="1555" t="s">
        <v>8</v>
      </c>
      <c r="U27" s="1556">
        <f>H27</f>
        <v>100</v>
      </c>
      <c r="V27" s="1555" t="s">
        <v>8</v>
      </c>
      <c r="W27" s="1556">
        <f>J27</f>
        <v>100</v>
      </c>
      <c r="X27" s="1557"/>
      <c r="Y27" s="338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9"/>
      <c r="Q28" s="1559">
        <f t="shared" si="11"/>
        <v>111</v>
      </c>
      <c r="R28" s="1560" t="s">
        <v>8</v>
      </c>
      <c r="S28" s="1561">
        <f t="shared" ref="S28:S40" si="12">F28</f>
        <v>100</v>
      </c>
      <c r="T28" s="1560" t="s">
        <v>8</v>
      </c>
      <c r="U28" s="1561">
        <f t="shared" ref="U28:U40" si="13">H28</f>
        <v>100</v>
      </c>
      <c r="V28" s="1560" t="s">
        <v>8</v>
      </c>
      <c r="W28" s="1561">
        <f t="shared" ref="W28:W40" si="14">J28</f>
        <v>100</v>
      </c>
      <c r="X28" s="1554"/>
      <c r="Y28" s="3389"/>
      <c r="Z28" s="1562">
        <f t="shared" ref="Z28:Z40" si="15">Q28</f>
        <v>111</v>
      </c>
      <c r="AA28" s="1563">
        <f t="shared" si="3"/>
        <v>1</v>
      </c>
      <c r="AB28" s="1563">
        <f t="shared" si="4"/>
        <v>1</v>
      </c>
      <c r="AC28" s="1563">
        <f t="shared" si="5"/>
        <v>1</v>
      </c>
    </row>
    <row r="29" spans="1:29" ht="15">
      <c r="A29" s="2863"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0" t="s">
        <v>549</v>
      </c>
      <c r="Q29" s="1559" t="str">
        <f t="shared" si="11"/>
        <v>建筑类型</v>
      </c>
      <c r="R29" s="1560" t="s">
        <v>8</v>
      </c>
      <c r="S29" s="1561">
        <f t="shared" si="12"/>
        <v>100</v>
      </c>
      <c r="T29" s="1560" t="s">
        <v>8</v>
      </c>
      <c r="U29" s="1561">
        <f t="shared" si="13"/>
        <v>100</v>
      </c>
      <c r="V29" s="1560" t="s">
        <v>8</v>
      </c>
      <c r="W29" s="1561">
        <f t="shared" si="14"/>
        <v>100</v>
      </c>
      <c r="X29" s="1554"/>
      <c r="Y29" s="3391"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1"/>
      <c r="Q30" s="1591" t="str">
        <f t="shared" si="11"/>
        <v>项目建筑规模</v>
      </c>
      <c r="R30" s="1564" t="s">
        <v>8</v>
      </c>
      <c r="S30" s="1565" t="e">
        <f t="shared" si="12"/>
        <v>#N/A</v>
      </c>
      <c r="T30" s="1564" t="s">
        <v>8</v>
      </c>
      <c r="U30" s="1565" t="e">
        <f t="shared" si="13"/>
        <v>#N/A</v>
      </c>
      <c r="V30" s="1564" t="s">
        <v>8</v>
      </c>
      <c r="W30" s="1565" t="e">
        <f t="shared" si="14"/>
        <v>#N/A</v>
      </c>
      <c r="X30" s="1566"/>
      <c r="Y30" s="3391"/>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1"/>
      <c r="Q31" s="1559" t="str">
        <f t="shared" si="11"/>
        <v>建筑结构</v>
      </c>
      <c r="R31" s="1560" t="s">
        <v>8</v>
      </c>
      <c r="S31" s="1561">
        <f t="shared" si="12"/>
        <v>100</v>
      </c>
      <c r="T31" s="1560" t="s">
        <v>8</v>
      </c>
      <c r="U31" s="1561">
        <f t="shared" si="13"/>
        <v>100</v>
      </c>
      <c r="V31" s="1560" t="s">
        <v>8</v>
      </c>
      <c r="W31" s="1561">
        <f t="shared" si="14"/>
        <v>100</v>
      </c>
      <c r="X31" s="1554"/>
      <c r="Y31" s="3391"/>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1"/>
      <c r="Q32" s="1559" t="str">
        <f t="shared" si="11"/>
        <v>公共部分装修</v>
      </c>
      <c r="R32" s="1560" t="s">
        <v>8</v>
      </c>
      <c r="S32" s="1561">
        <f t="shared" si="12"/>
        <v>100</v>
      </c>
      <c r="T32" s="1560" t="s">
        <v>8</v>
      </c>
      <c r="U32" s="1561">
        <f t="shared" si="13"/>
        <v>100</v>
      </c>
      <c r="V32" s="1560" t="s">
        <v>8</v>
      </c>
      <c r="W32" s="1561">
        <f t="shared" si="14"/>
        <v>100</v>
      </c>
      <c r="X32" s="1554"/>
      <c r="Y32" s="3391"/>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1"/>
      <c r="Q33" s="1559" t="str">
        <f t="shared" si="11"/>
        <v>成新度</v>
      </c>
      <c r="R33" s="1560" t="s">
        <v>8</v>
      </c>
      <c r="S33" s="1561" t="e">
        <f t="shared" si="12"/>
        <v>#N/A</v>
      </c>
      <c r="T33" s="1560" t="s">
        <v>8</v>
      </c>
      <c r="U33" s="1561" t="e">
        <f t="shared" si="13"/>
        <v>#N/A</v>
      </c>
      <c r="V33" s="1560" t="s">
        <v>8</v>
      </c>
      <c r="W33" s="1561" t="e">
        <f t="shared" si="14"/>
        <v>#N/A</v>
      </c>
      <c r="X33" s="1554"/>
      <c r="Y33" s="3391"/>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1"/>
      <c r="Q34" s="1147" t="str">
        <f t="shared" si="11"/>
        <v>物业管理</v>
      </c>
      <c r="R34" s="1555" t="s">
        <v>8</v>
      </c>
      <c r="S34" s="1556">
        <f t="shared" si="12"/>
        <v>100</v>
      </c>
      <c r="T34" s="1555" t="s">
        <v>8</v>
      </c>
      <c r="U34" s="1556">
        <f t="shared" si="13"/>
        <v>100</v>
      </c>
      <c r="V34" s="1555" t="s">
        <v>8</v>
      </c>
      <c r="W34" s="1556">
        <f t="shared" si="14"/>
        <v>100</v>
      </c>
      <c r="X34" s="1557"/>
      <c r="Y34" s="3391"/>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1" t="s">
        <v>549</v>
      </c>
      <c r="Q35" s="1559" t="str">
        <f t="shared" si="11"/>
        <v>市政基础设施</v>
      </c>
      <c r="R35" s="1560" t="s">
        <v>8</v>
      </c>
      <c r="S35" s="1561">
        <f t="shared" si="12"/>
        <v>100</v>
      </c>
      <c r="T35" s="1560" t="s">
        <v>8</v>
      </c>
      <c r="U35" s="1561">
        <f t="shared" si="13"/>
        <v>100</v>
      </c>
      <c r="V35" s="1560" t="s">
        <v>8</v>
      </c>
      <c r="W35" s="1561">
        <f t="shared" si="14"/>
        <v>100</v>
      </c>
      <c r="X35" s="1554"/>
      <c r="Y35" s="3391"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1"/>
      <c r="Q36" s="1559" t="str">
        <f t="shared" si="11"/>
        <v>内部装修</v>
      </c>
      <c r="R36" s="1560" t="s">
        <v>8</v>
      </c>
      <c r="S36" s="1561">
        <f t="shared" si="12"/>
        <v>100</v>
      </c>
      <c r="T36" s="1560" t="s">
        <v>8</v>
      </c>
      <c r="U36" s="1561">
        <f t="shared" si="13"/>
        <v>100</v>
      </c>
      <c r="V36" s="1560" t="s">
        <v>8</v>
      </c>
      <c r="W36" s="1561">
        <f t="shared" si="14"/>
        <v>100</v>
      </c>
      <c r="X36" s="1554"/>
      <c r="Y36" s="3391"/>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1"/>
      <c r="Q37" s="1559" t="str">
        <f t="shared" si="11"/>
        <v>内部装修状况</v>
      </c>
      <c r="R37" s="1560" t="s">
        <v>8</v>
      </c>
      <c r="S37" s="1561">
        <f t="shared" si="12"/>
        <v>100</v>
      </c>
      <c r="T37" s="1560" t="s">
        <v>8</v>
      </c>
      <c r="U37" s="1561">
        <f t="shared" si="13"/>
        <v>100</v>
      </c>
      <c r="V37" s="1560" t="s">
        <v>8</v>
      </c>
      <c r="W37" s="1561">
        <f t="shared" si="14"/>
        <v>100</v>
      </c>
      <c r="X37" s="1554"/>
      <c r="Y37" s="339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1"/>
      <c r="Q38" s="1591">
        <f t="shared" si="11"/>
        <v>111</v>
      </c>
      <c r="R38" s="1564" t="s">
        <v>8</v>
      </c>
      <c r="S38" s="1565">
        <f t="shared" si="12"/>
        <v>100</v>
      </c>
      <c r="T38" s="1564" t="s">
        <v>8</v>
      </c>
      <c r="U38" s="1565">
        <f t="shared" si="13"/>
        <v>100</v>
      </c>
      <c r="V38" s="1564" t="s">
        <v>8</v>
      </c>
      <c r="W38" s="1565">
        <f t="shared" si="14"/>
        <v>100</v>
      </c>
      <c r="X38" s="1566"/>
      <c r="Y38" s="339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1"/>
      <c r="Q39" s="1559">
        <f t="shared" si="11"/>
        <v>111</v>
      </c>
      <c r="R39" s="1560" t="s">
        <v>8</v>
      </c>
      <c r="S39" s="1561">
        <f t="shared" si="12"/>
        <v>100</v>
      </c>
      <c r="T39" s="1560" t="s">
        <v>8</v>
      </c>
      <c r="U39" s="1561">
        <f t="shared" si="13"/>
        <v>100</v>
      </c>
      <c r="V39" s="1560" t="s">
        <v>8</v>
      </c>
      <c r="W39" s="1561">
        <f t="shared" si="14"/>
        <v>100</v>
      </c>
      <c r="X39" s="1554"/>
      <c r="Y39" s="339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3"/>
      <c r="Q40" s="1559">
        <f t="shared" si="11"/>
        <v>111</v>
      </c>
      <c r="R40" s="1560" t="s">
        <v>8</v>
      </c>
      <c r="S40" s="1561">
        <f t="shared" si="12"/>
        <v>100</v>
      </c>
      <c r="T40" s="1560" t="s">
        <v>8</v>
      </c>
      <c r="U40" s="1561">
        <f t="shared" si="13"/>
        <v>100</v>
      </c>
      <c r="V40" s="1560" t="s">
        <v>8</v>
      </c>
      <c r="W40" s="1561">
        <f t="shared" si="14"/>
        <v>100</v>
      </c>
      <c r="X40" s="1554"/>
      <c r="Y40" s="3463"/>
      <c r="Z40" s="1562">
        <f t="shared" si="15"/>
        <v>111</v>
      </c>
      <c r="AA40" s="1563">
        <f t="shared" si="3"/>
        <v>1</v>
      </c>
      <c r="AB40" s="1563">
        <f t="shared" si="4"/>
        <v>1</v>
      </c>
      <c r="AC40" s="1563">
        <f t="shared" si="5"/>
        <v>1</v>
      </c>
    </row>
    <row r="41" spans="1:29" ht="15">
      <c r="A41" s="607" t="s">
        <v>735</v>
      </c>
      <c r="B41" s="887"/>
      <c r="C41" s="2592" t="s">
        <v>1</v>
      </c>
      <c r="D41" s="2593"/>
      <c r="E41" s="2594"/>
      <c r="F41" s="2595"/>
      <c r="G41" s="2596"/>
      <c r="H41" s="2597"/>
      <c r="I41" s="2594"/>
      <c r="J41" s="2597"/>
      <c r="K41" s="1597"/>
      <c r="L41" s="2130"/>
      <c r="M41" s="2131"/>
      <c r="N41" s="2120"/>
      <c r="O41" s="2131"/>
      <c r="P41" s="3386" t="str">
        <f>A41</f>
        <v>成交单价（元/平方米）</v>
      </c>
      <c r="Q41" s="3386"/>
      <c r="R41" s="3462">
        <f>E41</f>
        <v>0</v>
      </c>
      <c r="S41" s="3462"/>
      <c r="T41" s="3462">
        <f>G41</f>
        <v>0</v>
      </c>
      <c r="U41" s="3462"/>
      <c r="V41" s="3462">
        <f>I41</f>
        <v>0</v>
      </c>
      <c r="W41" s="3462"/>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86" t="str">
        <f>A42</f>
        <v>比较价格（元/平方米）</v>
      </c>
      <c r="Q42" s="3386"/>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408" t="str">
        <f>A43</f>
        <v>估价对象XX用房的比较价格（楼面单价，元/平方米）</v>
      </c>
      <c r="Q43" s="3409"/>
      <c r="R43" s="3461" t="e">
        <f>IF(F1="售价",ROUND(AVERAGE(R42:V42),0),ROUND(AVERAGE(R42:V42),1))</f>
        <v>#DIV/0!</v>
      </c>
      <c r="S43" s="3461"/>
      <c r="T43" s="3461"/>
      <c r="U43" s="3461"/>
      <c r="V43" s="3461"/>
      <c r="W43" s="346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528</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 workbookViewId="0">
      <selection activeCell="Q18" sqref="Q18"/>
    </sheetView>
  </sheetViews>
  <sheetFormatPr defaultRowHeight="13.5"/>
  <sheetData/>
  <phoneticPr fontId="22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五矿信托：</v>
      </c>
    </row>
    <row r="4" spans="1:4" ht="37.5">
      <c r="A4" s="1777" t="str">
        <f>"受贵公司委托，我公司对"&amp;项目基本情况!K2&amp;项目基本情况!B9&amp;"进行了预评估。"</f>
        <v>受贵公司委托，我公司对河北省廊坊市香河县周庄村西侧出让国有建设用地使用权抵押价格进行了预评估。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廊坊市香河县周庄村西侧出让国有建设用地使用权。根据《国有土地使用证》[]，估价对象（分摊）出让国有建设用地使用权面积为200833.33平方米。根据《建设工程规划许可证》[]、《出让合同》[]，估价对象规划建筑面积为507605.151平方米。</v>
      </c>
    </row>
    <row r="7" spans="1:4" ht="93.75">
      <c r="A7" s="2829" t="s">
        <v>2745</v>
      </c>
    </row>
    <row r="8" spans="1:4" ht="18.75">
      <c r="A8" s="1780" t="s">
        <v>1905</v>
      </c>
    </row>
    <row r="9" spans="1:4" ht="56.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2019年5月21日（评估专业人员勘察现场之日）</v>
      </c>
    </row>
    <row r="12" spans="1:4" ht="18.75">
      <c r="A12" s="1783" t="s">
        <v>2023</v>
      </c>
    </row>
    <row r="13" spans="1:4" ht="18.75">
      <c r="A13" s="1777" t="s">
        <v>2069</v>
      </c>
    </row>
    <row r="14" spans="1:4" ht="37.5">
      <c r="A14" s="1777" t="str">
        <f>"根据"&amp;项目基本情况!F12&amp;"，本次评估估价对象证载（地类）用途为"&amp;项目基本情况!B12&amp;"。"</f>
        <v>根据《国有土地使用证》[香国用（2009）字第0349号]，本次评估估价对象证载（地类）用途为住宅用地（兼容商业）。</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本次评估设定用途即为证载用途住宅、商业用地。</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根据《国有土地使用证》[]，估价对象（分摊）出让国有建设用地使用权面积为200833.33平方米。根据《建设工程规划许可证》[]、《出让合同》[]，估价对象规划建筑面积为507605.151平方米。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92" t="s">
        <v>797</v>
      </c>
      <c r="D4" s="3393"/>
      <c r="E4" s="3392" t="s">
        <v>798</v>
      </c>
      <c r="F4" s="3393"/>
      <c r="G4" s="3392" t="s">
        <v>799</v>
      </c>
      <c r="H4" s="3393"/>
      <c r="I4" s="3392" t="s">
        <v>800</v>
      </c>
      <c r="J4" s="3393"/>
      <c r="K4" s="514" t="s">
        <v>801</v>
      </c>
      <c r="L4" s="2119"/>
      <c r="M4" s="2120"/>
      <c r="N4" s="2120"/>
      <c r="O4" s="2120"/>
      <c r="P4" s="3394" t="s">
        <v>802</v>
      </c>
      <c r="Q4" s="3395"/>
      <c r="R4" s="3380" t="s">
        <v>798</v>
      </c>
      <c r="S4" s="3381"/>
      <c r="T4" s="3380" t="s">
        <v>799</v>
      </c>
      <c r="U4" s="3381"/>
      <c r="V4" s="3400" t="s">
        <v>800</v>
      </c>
      <c r="W4" s="3400"/>
      <c r="X4" s="1554"/>
      <c r="Y4" s="3380" t="s">
        <v>802</v>
      </c>
      <c r="Z4" s="3381"/>
      <c r="AA4" s="3375" t="s">
        <v>798</v>
      </c>
      <c r="AB4" s="3376" t="s">
        <v>799</v>
      </c>
      <c r="AC4" s="3375" t="s">
        <v>800</v>
      </c>
    </row>
    <row r="5" spans="1:29" ht="15">
      <c r="A5" s="515"/>
      <c r="B5" s="516"/>
      <c r="C5" s="3405" t="s">
        <v>2925</v>
      </c>
      <c r="D5" s="3404"/>
      <c r="E5" s="3405" t="s">
        <v>2926</v>
      </c>
      <c r="F5" s="3404"/>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06" t="s">
        <v>2929</v>
      </c>
      <c r="F6" s="3407"/>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8" t="s">
        <v>529</v>
      </c>
      <c r="Q7" s="3387"/>
      <c r="R7" s="1555" t="s">
        <v>8</v>
      </c>
      <c r="S7" s="1556">
        <f t="shared" ref="S7:S14" si="0">F7</f>
        <v>0</v>
      </c>
      <c r="T7" s="1555" t="s">
        <v>8</v>
      </c>
      <c r="U7" s="1556">
        <f t="shared" ref="U7:U14" si="1">H7</f>
        <v>0</v>
      </c>
      <c r="V7" s="1555" t="s">
        <v>8</v>
      </c>
      <c r="W7" s="1556">
        <f t="shared" ref="W7:W14"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6" t="s">
        <v>534</v>
      </c>
      <c r="Q9" s="1147" t="str">
        <f t="shared" ref="Q9:Q14" si="6">B9</f>
        <v>用途</v>
      </c>
      <c r="R9" s="1555" t="s">
        <v>8</v>
      </c>
      <c r="S9" s="1556">
        <f t="shared" si="0"/>
        <v>100</v>
      </c>
      <c r="T9" s="1555" t="s">
        <v>8</v>
      </c>
      <c r="U9" s="1556">
        <f t="shared" si="1"/>
        <v>100</v>
      </c>
      <c r="V9" s="1555" t="s">
        <v>8</v>
      </c>
      <c r="W9" s="1556">
        <f t="shared" si="2"/>
        <v>100</v>
      </c>
      <c r="X9" s="1557"/>
      <c r="Y9" s="3343"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4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85.5">
      <c r="A14" s="2866" t="s">
        <v>2751</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8" t="s">
        <v>539</v>
      </c>
      <c r="Q14" s="1559" t="str">
        <f t="shared" si="6"/>
        <v>交通便捷度</v>
      </c>
      <c r="R14" s="1560" t="s">
        <v>8</v>
      </c>
      <c r="S14" s="1561">
        <f t="shared" si="0"/>
        <v>100</v>
      </c>
      <c r="T14" s="1560" t="s">
        <v>8</v>
      </c>
      <c r="U14" s="1561">
        <f t="shared" si="1"/>
        <v>100</v>
      </c>
      <c r="V14" s="1560" t="s">
        <v>8</v>
      </c>
      <c r="W14" s="1561">
        <f t="shared" si="2"/>
        <v>100</v>
      </c>
      <c r="X14" s="1554"/>
      <c r="Y14" s="3388"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9"/>
      <c r="Q15" s="1559"/>
      <c r="R15" s="1560"/>
      <c r="S15" s="1561"/>
      <c r="T15" s="1560"/>
      <c r="U15" s="1561"/>
      <c r="V15" s="1560"/>
      <c r="W15" s="1561"/>
      <c r="X15" s="1554"/>
      <c r="Y15" s="3389"/>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9"/>
      <c r="Q16" s="1559" t="str">
        <f>B16</f>
        <v>公共配套设施</v>
      </c>
      <c r="R16" s="1560" t="s">
        <v>8</v>
      </c>
      <c r="S16" s="1561">
        <f>F16</f>
        <v>100</v>
      </c>
      <c r="T16" s="1560" t="s">
        <v>8</v>
      </c>
      <c r="U16" s="1561">
        <f>H16</f>
        <v>100</v>
      </c>
      <c r="V16" s="1560" t="s">
        <v>8</v>
      </c>
      <c r="W16" s="1561">
        <f>J16</f>
        <v>100</v>
      </c>
      <c r="X16" s="1554"/>
      <c r="Y16" s="338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9"/>
      <c r="Q17" s="1559"/>
      <c r="R17" s="1560"/>
      <c r="S17" s="1561"/>
      <c r="T17" s="1560"/>
      <c r="U17" s="1561"/>
      <c r="V17" s="1560"/>
      <c r="W17" s="1561"/>
      <c r="X17" s="1554"/>
      <c r="Y17" s="3389"/>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9"/>
      <c r="Q18" s="2544" t="str">
        <f>B18</f>
        <v>基础设施水平</v>
      </c>
      <c r="R18" s="1560" t="s">
        <v>8</v>
      </c>
      <c r="S18" s="1561">
        <f>F18</f>
        <v>100</v>
      </c>
      <c r="T18" s="1560" t="s">
        <v>8</v>
      </c>
      <c r="U18" s="1561">
        <f>H18</f>
        <v>100</v>
      </c>
      <c r="V18" s="1560" t="s">
        <v>8</v>
      </c>
      <c r="W18" s="1561">
        <f>J18</f>
        <v>100</v>
      </c>
      <c r="X18" s="2546"/>
      <c r="Y18" s="338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9"/>
      <c r="Q19" s="2544"/>
      <c r="R19" s="1560"/>
      <c r="S19" s="1561"/>
      <c r="T19" s="1560"/>
      <c r="U19" s="1561"/>
      <c r="V19" s="1560"/>
      <c r="W19" s="1561"/>
      <c r="X19" s="2546"/>
      <c r="Y19" s="3389"/>
      <c r="Z19" s="2545"/>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9"/>
      <c r="Q20" s="1559" t="str">
        <f>B20</f>
        <v>自然及人文环境</v>
      </c>
      <c r="R20" s="1560" t="s">
        <v>8</v>
      </c>
      <c r="S20" s="1561">
        <f>F20</f>
        <v>100</v>
      </c>
      <c r="T20" s="1560" t="s">
        <v>8</v>
      </c>
      <c r="U20" s="1561">
        <f>H20</f>
        <v>100</v>
      </c>
      <c r="V20" s="1560" t="s">
        <v>8</v>
      </c>
      <c r="W20" s="1561">
        <f>J20</f>
        <v>100</v>
      </c>
      <c r="X20" s="1554"/>
      <c r="Y20" s="338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9"/>
      <c r="Q21" s="1559"/>
      <c r="R21" s="1560"/>
      <c r="S21" s="1561"/>
      <c r="T21" s="1560"/>
      <c r="U21" s="1561"/>
      <c r="V21" s="1560"/>
      <c r="W21" s="1561"/>
      <c r="X21" s="1554"/>
      <c r="Y21" s="3389"/>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9"/>
      <c r="Q22" s="1559" t="str">
        <f>B22</f>
        <v>楼层</v>
      </c>
      <c r="R22" s="1560" t="s">
        <v>8</v>
      </c>
      <c r="S22" s="1561">
        <f>F22</f>
        <v>100</v>
      </c>
      <c r="T22" s="1560" t="s">
        <v>8</v>
      </c>
      <c r="U22" s="1561">
        <f>H22</f>
        <v>100</v>
      </c>
      <c r="V22" s="1560" t="s">
        <v>8</v>
      </c>
      <c r="W22" s="1561">
        <f>J22</f>
        <v>100</v>
      </c>
      <c r="X22" s="1554"/>
      <c r="Y22" s="338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9"/>
      <c r="Q23" s="1559">
        <f>B23</f>
        <v>111</v>
      </c>
      <c r="R23" s="1560" t="s">
        <v>8</v>
      </c>
      <c r="S23" s="1561">
        <f>F23</f>
        <v>100</v>
      </c>
      <c r="T23" s="1560" t="s">
        <v>8</v>
      </c>
      <c r="U23" s="1561">
        <f>H23</f>
        <v>100</v>
      </c>
      <c r="V23" s="1560" t="s">
        <v>8</v>
      </c>
      <c r="W23" s="1561">
        <f>J23</f>
        <v>100</v>
      </c>
      <c r="X23" s="1554"/>
      <c r="Y23" s="338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9"/>
      <c r="Q24" s="1559">
        <f t="shared" ref="Q24:Q36" si="11">B24</f>
        <v>111</v>
      </c>
      <c r="R24" s="1560" t="s">
        <v>8</v>
      </c>
      <c r="S24" s="1561">
        <f>F24</f>
        <v>100</v>
      </c>
      <c r="T24" s="1560" t="s">
        <v>8</v>
      </c>
      <c r="U24" s="1561">
        <f>H24</f>
        <v>100</v>
      </c>
      <c r="V24" s="1560" t="s">
        <v>8</v>
      </c>
      <c r="W24" s="1561">
        <f>J24</f>
        <v>100</v>
      </c>
      <c r="X24" s="1554"/>
      <c r="Y24" s="338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9"/>
      <c r="Q25" s="1147">
        <f t="shared" si="11"/>
        <v>111</v>
      </c>
      <c r="R25" s="1555" t="s">
        <v>8</v>
      </c>
      <c r="S25" s="1556">
        <f>F25</f>
        <v>100</v>
      </c>
      <c r="T25" s="1555" t="s">
        <v>8</v>
      </c>
      <c r="U25" s="1556">
        <f>H25</f>
        <v>100</v>
      </c>
      <c r="V25" s="1555" t="s">
        <v>8</v>
      </c>
      <c r="W25" s="1556">
        <f>J25</f>
        <v>100</v>
      </c>
      <c r="X25" s="1557"/>
      <c r="Y25" s="3389"/>
      <c r="Z25" s="1146">
        <f>Q25</f>
        <v>111</v>
      </c>
      <c r="AA25" s="1563">
        <f>D25/F25</f>
        <v>1</v>
      </c>
      <c r="AB25" s="1563">
        <f>D25/H25</f>
        <v>1</v>
      </c>
      <c r="AC25" s="1563">
        <f>D25/J25</f>
        <v>1</v>
      </c>
    </row>
    <row r="26" spans="1:29" ht="15">
      <c r="A26" s="2863"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0"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1"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1"/>
      <c r="Q27" s="1591" t="str">
        <f t="shared" si="11"/>
        <v>项目停车位配比</v>
      </c>
      <c r="R27" s="1564" t="s">
        <v>8</v>
      </c>
      <c r="S27" s="1565">
        <f t="shared" si="12"/>
        <v>100</v>
      </c>
      <c r="T27" s="1564" t="s">
        <v>8</v>
      </c>
      <c r="U27" s="1565">
        <f t="shared" si="13"/>
        <v>100</v>
      </c>
      <c r="V27" s="1564" t="s">
        <v>8</v>
      </c>
      <c r="W27" s="1565">
        <f t="shared" si="14"/>
        <v>100</v>
      </c>
      <c r="X27" s="1566"/>
      <c r="Y27" s="3391"/>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1"/>
      <c r="Q28" s="1559" t="str">
        <f t="shared" si="11"/>
        <v>公共部分装修</v>
      </c>
      <c r="R28" s="1560" t="s">
        <v>8</v>
      </c>
      <c r="S28" s="1561">
        <f t="shared" si="12"/>
        <v>100</v>
      </c>
      <c r="T28" s="1560" t="s">
        <v>8</v>
      </c>
      <c r="U28" s="1561">
        <f t="shared" si="13"/>
        <v>100</v>
      </c>
      <c r="V28" s="1560" t="s">
        <v>8</v>
      </c>
      <c r="W28" s="1561">
        <f t="shared" si="14"/>
        <v>100</v>
      </c>
      <c r="X28" s="1554"/>
      <c r="Y28" s="3391"/>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1"/>
      <c r="Q29" s="1559" t="str">
        <f t="shared" si="11"/>
        <v>成新率</v>
      </c>
      <c r="R29" s="1560" t="s">
        <v>8</v>
      </c>
      <c r="S29" s="1561" t="e">
        <f t="shared" si="12"/>
        <v>#N/A</v>
      </c>
      <c r="T29" s="1560" t="s">
        <v>8</v>
      </c>
      <c r="U29" s="1561" t="e">
        <f t="shared" si="13"/>
        <v>#N/A</v>
      </c>
      <c r="V29" s="1560" t="s">
        <v>8</v>
      </c>
      <c r="W29" s="1561" t="e">
        <f t="shared" si="14"/>
        <v>#N/A</v>
      </c>
      <c r="X29" s="1554"/>
      <c r="Y29" s="3391"/>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1"/>
      <c r="Q30" s="1559" t="str">
        <f t="shared" si="11"/>
        <v>物业等级</v>
      </c>
      <c r="R30" s="1560" t="s">
        <v>8</v>
      </c>
      <c r="S30" s="1561">
        <f t="shared" si="12"/>
        <v>100</v>
      </c>
      <c r="T30" s="1560" t="s">
        <v>8</v>
      </c>
      <c r="U30" s="1561">
        <f t="shared" si="13"/>
        <v>100</v>
      </c>
      <c r="V30" s="1560" t="s">
        <v>8</v>
      </c>
      <c r="W30" s="1561">
        <f t="shared" si="14"/>
        <v>100</v>
      </c>
      <c r="X30" s="1554"/>
      <c r="Y30" s="3391"/>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1"/>
      <c r="Q31" s="1147" t="str">
        <f t="shared" si="11"/>
        <v>停车位面积</v>
      </c>
      <c r="R31" s="1555" t="s">
        <v>8</v>
      </c>
      <c r="S31" s="1556" t="e">
        <f t="shared" si="12"/>
        <v>#N/A</v>
      </c>
      <c r="T31" s="1555" t="s">
        <v>8</v>
      </c>
      <c r="U31" s="1556" t="e">
        <f t="shared" si="13"/>
        <v>#N/A</v>
      </c>
      <c r="V31" s="1555" t="s">
        <v>8</v>
      </c>
      <c r="W31" s="1556" t="e">
        <f t="shared" si="14"/>
        <v>#N/A</v>
      </c>
      <c r="X31" s="1557"/>
      <c r="Y31" s="3391"/>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1" t="s">
        <v>549</v>
      </c>
      <c r="Q32" s="1559" t="str">
        <f t="shared" si="11"/>
        <v>车位类型</v>
      </c>
      <c r="R32" s="1560" t="s">
        <v>8</v>
      </c>
      <c r="S32" s="1561">
        <f t="shared" si="12"/>
        <v>100</v>
      </c>
      <c r="T32" s="1560" t="s">
        <v>8</v>
      </c>
      <c r="U32" s="1561">
        <f t="shared" si="13"/>
        <v>100</v>
      </c>
      <c r="V32" s="1560" t="s">
        <v>8</v>
      </c>
      <c r="W32" s="1561">
        <f t="shared" si="14"/>
        <v>100</v>
      </c>
      <c r="X32" s="1554"/>
      <c r="Y32" s="3391"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1"/>
      <c r="Q33" s="1559" t="str">
        <f t="shared" si="11"/>
        <v>是否直接入户</v>
      </c>
      <c r="R33" s="1560" t="s">
        <v>8</v>
      </c>
      <c r="S33" s="1561">
        <f t="shared" si="12"/>
        <v>100</v>
      </c>
      <c r="T33" s="1560" t="s">
        <v>8</v>
      </c>
      <c r="U33" s="1561">
        <f t="shared" si="13"/>
        <v>100</v>
      </c>
      <c r="V33" s="1560" t="s">
        <v>8</v>
      </c>
      <c r="W33" s="1561">
        <f t="shared" si="14"/>
        <v>100</v>
      </c>
      <c r="X33" s="1554"/>
      <c r="Y33" s="339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1"/>
      <c r="Q34" s="1559">
        <f t="shared" si="11"/>
        <v>111</v>
      </c>
      <c r="R34" s="1560" t="s">
        <v>8</v>
      </c>
      <c r="S34" s="1561">
        <f t="shared" si="12"/>
        <v>100</v>
      </c>
      <c r="T34" s="1560" t="s">
        <v>8</v>
      </c>
      <c r="U34" s="1561">
        <f t="shared" si="13"/>
        <v>100</v>
      </c>
      <c r="V34" s="1560" t="s">
        <v>8</v>
      </c>
      <c r="W34" s="1561">
        <f t="shared" si="14"/>
        <v>100</v>
      </c>
      <c r="X34" s="1554"/>
      <c r="Y34" s="339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1"/>
      <c r="Q35" s="1591">
        <f t="shared" si="11"/>
        <v>111</v>
      </c>
      <c r="R35" s="1564" t="s">
        <v>8</v>
      </c>
      <c r="S35" s="1565">
        <f t="shared" si="12"/>
        <v>100</v>
      </c>
      <c r="T35" s="1564" t="s">
        <v>8</v>
      </c>
      <c r="U35" s="1565">
        <f t="shared" si="13"/>
        <v>100</v>
      </c>
      <c r="V35" s="1564" t="s">
        <v>8</v>
      </c>
      <c r="W35" s="1565">
        <f t="shared" si="14"/>
        <v>100</v>
      </c>
      <c r="X35" s="1566"/>
      <c r="Y35" s="339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1"/>
      <c r="Q36" s="1559">
        <f t="shared" si="11"/>
        <v>111</v>
      </c>
      <c r="R36" s="1560" t="s">
        <v>8</v>
      </c>
      <c r="S36" s="1561">
        <f t="shared" si="12"/>
        <v>100</v>
      </c>
      <c r="T36" s="1560" t="s">
        <v>8</v>
      </c>
      <c r="U36" s="1561">
        <f t="shared" si="13"/>
        <v>100</v>
      </c>
      <c r="V36" s="1560" t="s">
        <v>8</v>
      </c>
      <c r="W36" s="1561">
        <f t="shared" si="14"/>
        <v>100</v>
      </c>
      <c r="X36" s="1554"/>
      <c r="Y36" s="3391"/>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86" t="str">
        <f>A37</f>
        <v>成交单价</v>
      </c>
      <c r="Q37" s="3386"/>
      <c r="R37" s="3462">
        <f>E37</f>
        <v>0</v>
      </c>
      <c r="S37" s="3462"/>
      <c r="T37" s="3462">
        <f>G37</f>
        <v>0</v>
      </c>
      <c r="U37" s="3462"/>
      <c r="V37" s="3462">
        <f>I37</f>
        <v>0</v>
      </c>
      <c r="W37" s="3462"/>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86" t="str">
        <f>A38</f>
        <v>比较价格（元/平方米）</v>
      </c>
      <c r="Q38" s="3386"/>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408" t="str">
        <f>A39</f>
        <v>估价对象XX用房的比较价格（楼面单价，元/平方米）</v>
      </c>
      <c r="Q39" s="3409"/>
      <c r="R39" s="3461" t="e">
        <f>IF(F1="售价",ROUND(AVERAGE(R38:V38),0),ROUND(AVERAGE(R38:V38),1))</f>
        <v>#DIV/0!</v>
      </c>
      <c r="S39" s="3461"/>
      <c r="T39" s="3461"/>
      <c r="U39" s="3461"/>
      <c r="V39" s="3461"/>
      <c r="W39" s="346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528</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3"/>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796</v>
      </c>
      <c r="B4" s="513"/>
      <c r="C4" s="3392" t="s">
        <v>797</v>
      </c>
      <c r="D4" s="3393"/>
      <c r="E4" s="3417" t="s">
        <v>798</v>
      </c>
      <c r="F4" s="3418"/>
      <c r="G4" s="3392" t="s">
        <v>799</v>
      </c>
      <c r="H4" s="3393"/>
      <c r="I4" s="3392" t="s">
        <v>800</v>
      </c>
      <c r="J4" s="3393"/>
      <c r="K4" s="514" t="s">
        <v>801</v>
      </c>
      <c r="L4" s="2119"/>
      <c r="M4" s="2120"/>
      <c r="N4" s="2120"/>
      <c r="O4" s="2120"/>
      <c r="P4" s="3394" t="s">
        <v>802</v>
      </c>
      <c r="Q4" s="3395"/>
      <c r="R4" s="3380" t="s">
        <v>798</v>
      </c>
      <c r="S4" s="3381"/>
      <c r="T4" s="3380" t="s">
        <v>799</v>
      </c>
      <c r="U4" s="3381"/>
      <c r="V4" s="3400" t="s">
        <v>800</v>
      </c>
      <c r="W4" s="3400"/>
      <c r="X4" s="1554"/>
      <c r="Y4" s="3380" t="s">
        <v>802</v>
      </c>
      <c r="Z4" s="3381"/>
      <c r="AA4" s="3375" t="s">
        <v>798</v>
      </c>
      <c r="AB4" s="3376" t="s">
        <v>799</v>
      </c>
      <c r="AC4" s="3375" t="s">
        <v>800</v>
      </c>
    </row>
    <row r="5" spans="1:29" ht="15">
      <c r="A5" s="515"/>
      <c r="B5" s="516"/>
      <c r="C5" s="3405" t="s">
        <v>2925</v>
      </c>
      <c r="D5" s="3404"/>
      <c r="E5" s="3419" t="s">
        <v>2926</v>
      </c>
      <c r="F5" s="3420"/>
      <c r="G5" s="3405" t="s">
        <v>2927</v>
      </c>
      <c r="H5" s="3404"/>
      <c r="I5" s="3405" t="s">
        <v>2928</v>
      </c>
      <c r="J5" s="3404"/>
      <c r="K5" s="514"/>
      <c r="L5" s="2119"/>
      <c r="M5" s="2120"/>
      <c r="N5" s="2120"/>
      <c r="O5" s="2120"/>
      <c r="P5" s="3396"/>
      <c r="Q5" s="3397"/>
      <c r="R5" s="3382"/>
      <c r="S5" s="3383"/>
      <c r="T5" s="3382"/>
      <c r="U5" s="3383"/>
      <c r="V5" s="3400"/>
      <c r="W5" s="3400"/>
      <c r="X5" s="1554"/>
      <c r="Y5" s="3382"/>
      <c r="Z5" s="3383"/>
      <c r="AA5" s="3376"/>
      <c r="AB5" s="3376"/>
      <c r="AC5" s="3376"/>
    </row>
    <row r="6" spans="1:29" ht="15.75" thickBot="1">
      <c r="A6" s="517"/>
      <c r="B6" s="518"/>
      <c r="C6" s="3401" t="s">
        <v>2929</v>
      </c>
      <c r="D6" s="3402"/>
      <c r="E6" s="3421" t="s">
        <v>2929</v>
      </c>
      <c r="F6" s="3422"/>
      <c r="G6" s="3401" t="s">
        <v>2929</v>
      </c>
      <c r="H6" s="3402"/>
      <c r="I6" s="3401" t="s">
        <v>2929</v>
      </c>
      <c r="J6" s="3402"/>
      <c r="K6" s="514" t="s">
        <v>527</v>
      </c>
      <c r="L6" s="2119"/>
      <c r="M6" s="2120"/>
      <c r="N6" s="2120"/>
      <c r="O6" s="2120"/>
      <c r="P6" s="3398"/>
      <c r="Q6" s="3399"/>
      <c r="R6" s="3382"/>
      <c r="S6" s="3383"/>
      <c r="T6" s="3384"/>
      <c r="U6" s="3385"/>
      <c r="V6" s="3400"/>
      <c r="W6" s="3400"/>
      <c r="X6" s="1554"/>
      <c r="Y6" s="3384"/>
      <c r="Z6" s="3385"/>
      <c r="AA6" s="3377"/>
      <c r="AB6" s="3377"/>
      <c r="AC6" s="3377"/>
    </row>
    <row r="7" spans="1:29" s="1216" customFormat="1" ht="15.75" thickBot="1">
      <c r="A7" s="2868"/>
      <c r="B7" s="2875" t="s">
        <v>528</v>
      </c>
      <c r="C7" s="519">
        <f>'数据-取费表'!B2</f>
        <v>43606</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8" t="s">
        <v>529</v>
      </c>
      <c r="Q7" s="3387"/>
      <c r="R7" s="1555" t="s">
        <v>8</v>
      </c>
      <c r="S7" s="1556">
        <f t="shared" ref="S7:S14" si="0">F7</f>
        <v>0</v>
      </c>
      <c r="T7" s="1555" t="s">
        <v>8</v>
      </c>
      <c r="U7" s="1556">
        <f t="shared" ref="U7:U14" si="1">H7</f>
        <v>0</v>
      </c>
      <c r="V7" s="1555" t="s">
        <v>8</v>
      </c>
      <c r="W7" s="1556">
        <f t="shared" ref="W7:W14" si="2">J7</f>
        <v>0</v>
      </c>
      <c r="X7" s="1557"/>
      <c r="Y7" s="3378" t="s">
        <v>529</v>
      </c>
      <c r="Z7" s="3379"/>
      <c r="AA7" s="1558" t="e">
        <f>D7/F7</f>
        <v>#DIV/0!</v>
      </c>
      <c r="AB7" s="1558" t="e">
        <f>D7/H7</f>
        <v>#DIV/0!</v>
      </c>
      <c r="AC7" s="1558" t="e">
        <f>D7/J7</f>
        <v>#DIV/0!</v>
      </c>
    </row>
    <row r="8" spans="1:29" s="1216" customFormat="1" ht="15.75" thickBot="1">
      <c r="A8" s="2869"/>
      <c r="B8" s="2876"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8" t="s">
        <v>532</v>
      </c>
      <c r="Q8" s="3379"/>
      <c r="R8" s="1555" t="s">
        <v>8</v>
      </c>
      <c r="S8" s="1556">
        <f t="shared" si="0"/>
        <v>0</v>
      </c>
      <c r="T8" s="1555" t="s">
        <v>8</v>
      </c>
      <c r="U8" s="1556">
        <f t="shared" si="1"/>
        <v>0</v>
      </c>
      <c r="V8" s="1555" t="s">
        <v>8</v>
      </c>
      <c r="W8" s="1556">
        <f t="shared" si="2"/>
        <v>0</v>
      </c>
      <c r="X8" s="1557"/>
      <c r="Y8" s="3378" t="s">
        <v>532</v>
      </c>
      <c r="Z8" s="3379"/>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6" t="s">
        <v>534</v>
      </c>
      <c r="Q9" s="1147" t="str">
        <f t="shared" ref="Q9:Q14" si="6">B9</f>
        <v>用途</v>
      </c>
      <c r="R9" s="1555" t="s">
        <v>8</v>
      </c>
      <c r="S9" s="1556">
        <f t="shared" si="0"/>
        <v>100</v>
      </c>
      <c r="T9" s="1555" t="s">
        <v>8</v>
      </c>
      <c r="U9" s="1556">
        <f t="shared" si="1"/>
        <v>100</v>
      </c>
      <c r="V9" s="1555" t="s">
        <v>8</v>
      </c>
      <c r="W9" s="1556">
        <f t="shared" si="2"/>
        <v>100</v>
      </c>
      <c r="X9" s="1557"/>
      <c r="Y9" s="3343" t="s">
        <v>535</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6"/>
      <c r="Q10" s="1147" t="str">
        <f t="shared" si="6"/>
        <v>土地使用年限（年）</v>
      </c>
      <c r="R10" s="1555" t="s">
        <v>8</v>
      </c>
      <c r="S10" s="1556">
        <f t="shared" si="0"/>
        <v>100</v>
      </c>
      <c r="T10" s="1555" t="s">
        <v>8</v>
      </c>
      <c r="U10" s="1556">
        <f t="shared" si="1"/>
        <v>100</v>
      </c>
      <c r="V10" s="1555" t="s">
        <v>8</v>
      </c>
      <c r="W10" s="1556">
        <f t="shared" si="2"/>
        <v>100</v>
      </c>
      <c r="X10" s="1557"/>
      <c r="Y10" s="334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6"/>
      <c r="Q11" s="1147">
        <f t="shared" si="6"/>
        <v>111</v>
      </c>
      <c r="R11" s="1555" t="s">
        <v>8</v>
      </c>
      <c r="S11" s="1556">
        <f t="shared" si="0"/>
        <v>100</v>
      </c>
      <c r="T11" s="1555" t="s">
        <v>8</v>
      </c>
      <c r="U11" s="1556">
        <f t="shared" si="1"/>
        <v>100</v>
      </c>
      <c r="V11" s="1555" t="s">
        <v>8</v>
      </c>
      <c r="W11" s="1556">
        <f t="shared" si="2"/>
        <v>100</v>
      </c>
      <c r="X11" s="1557"/>
      <c r="Y11" s="334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6"/>
      <c r="Q12" s="1147">
        <f t="shared" si="6"/>
        <v>111</v>
      </c>
      <c r="R12" s="1555" t="s">
        <v>8</v>
      </c>
      <c r="S12" s="1556">
        <f t="shared" si="0"/>
        <v>100</v>
      </c>
      <c r="T12" s="1555" t="s">
        <v>8</v>
      </c>
      <c r="U12" s="1556">
        <f t="shared" si="1"/>
        <v>100</v>
      </c>
      <c r="V12" s="1555" t="s">
        <v>8</v>
      </c>
      <c r="W12" s="1556">
        <f t="shared" si="2"/>
        <v>100</v>
      </c>
      <c r="X12" s="1557"/>
      <c r="Y12" s="3343"/>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6"/>
      <c r="Q13" s="1147">
        <f t="shared" si="6"/>
        <v>111</v>
      </c>
      <c r="R13" s="1555" t="s">
        <v>8</v>
      </c>
      <c r="S13" s="1556">
        <f t="shared" si="0"/>
        <v>100</v>
      </c>
      <c r="T13" s="1555" t="s">
        <v>8</v>
      </c>
      <c r="U13" s="1556">
        <f t="shared" si="1"/>
        <v>100</v>
      </c>
      <c r="V13" s="1555" t="s">
        <v>8</v>
      </c>
      <c r="W13" s="1556">
        <f t="shared" si="2"/>
        <v>100</v>
      </c>
      <c r="X13" s="1557"/>
      <c r="Y13" s="3343"/>
      <c r="Z13" s="1146">
        <f t="shared" si="7"/>
        <v>111</v>
      </c>
      <c r="AA13" s="1558">
        <f t="shared" si="3"/>
        <v>1</v>
      </c>
      <c r="AB13" s="1558">
        <f t="shared" si="4"/>
        <v>1</v>
      </c>
      <c r="AC13" s="1558">
        <f t="shared" si="5"/>
        <v>1</v>
      </c>
    </row>
    <row r="14" spans="1:29" ht="85.5">
      <c r="A14" s="2866" t="s">
        <v>2751</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8" t="s">
        <v>539</v>
      </c>
      <c r="Q14" s="1559" t="str">
        <f t="shared" si="6"/>
        <v>交通便捷度</v>
      </c>
      <c r="R14" s="1560" t="s">
        <v>8</v>
      </c>
      <c r="S14" s="1561">
        <f t="shared" si="0"/>
        <v>100</v>
      </c>
      <c r="T14" s="1560" t="s">
        <v>8</v>
      </c>
      <c r="U14" s="1561">
        <f t="shared" si="1"/>
        <v>100</v>
      </c>
      <c r="V14" s="1560" t="s">
        <v>8</v>
      </c>
      <c r="W14" s="1561">
        <f t="shared" si="2"/>
        <v>100</v>
      </c>
      <c r="X14" s="1554"/>
      <c r="Y14" s="3388"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9"/>
      <c r="Q15" s="1559"/>
      <c r="R15" s="1560"/>
      <c r="S15" s="1561"/>
      <c r="T15" s="1560"/>
      <c r="U15" s="1561"/>
      <c r="V15" s="1560"/>
      <c r="W15" s="1561"/>
      <c r="X15" s="1554"/>
      <c r="Y15" s="3389"/>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9"/>
      <c r="Q16" s="1559" t="str">
        <f>B16</f>
        <v>公共配套设施</v>
      </c>
      <c r="R16" s="1560" t="s">
        <v>8</v>
      </c>
      <c r="S16" s="1561">
        <f>F16</f>
        <v>100</v>
      </c>
      <c r="T16" s="1560" t="s">
        <v>8</v>
      </c>
      <c r="U16" s="1561">
        <f>H16</f>
        <v>100</v>
      </c>
      <c r="V16" s="1560" t="s">
        <v>8</v>
      </c>
      <c r="W16" s="1561">
        <f>J16</f>
        <v>100</v>
      </c>
      <c r="X16" s="1554"/>
      <c r="Y16" s="338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9"/>
      <c r="Q17" s="1559"/>
      <c r="R17" s="1560"/>
      <c r="S17" s="1561"/>
      <c r="T17" s="1560"/>
      <c r="U17" s="1561"/>
      <c r="V17" s="1560"/>
      <c r="W17" s="1561"/>
      <c r="X17" s="1554"/>
      <c r="Y17" s="3389"/>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9"/>
      <c r="Q18" s="2544" t="str">
        <f>B18</f>
        <v>基础设施水平</v>
      </c>
      <c r="R18" s="1560" t="s">
        <v>8</v>
      </c>
      <c r="S18" s="1561">
        <f>F18</f>
        <v>100</v>
      </c>
      <c r="T18" s="1560" t="s">
        <v>8</v>
      </c>
      <c r="U18" s="1561">
        <f>H18</f>
        <v>100</v>
      </c>
      <c r="V18" s="1560" t="s">
        <v>8</v>
      </c>
      <c r="W18" s="1561">
        <f>J18</f>
        <v>100</v>
      </c>
      <c r="X18" s="2546"/>
      <c r="Y18" s="338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9"/>
      <c r="Q19" s="2544"/>
      <c r="R19" s="1560"/>
      <c r="S19" s="1561"/>
      <c r="T19" s="1560"/>
      <c r="U19" s="1561"/>
      <c r="V19" s="1560"/>
      <c r="W19" s="1561"/>
      <c r="X19" s="2546"/>
      <c r="Y19" s="3389"/>
      <c r="Z19" s="2545"/>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9"/>
      <c r="Q20" s="1559" t="str">
        <f>B20</f>
        <v>自然及人文环境</v>
      </c>
      <c r="R20" s="1560" t="s">
        <v>8</v>
      </c>
      <c r="S20" s="1561">
        <f>F20</f>
        <v>100</v>
      </c>
      <c r="T20" s="1560" t="s">
        <v>8</v>
      </c>
      <c r="U20" s="1561">
        <f>H20</f>
        <v>100</v>
      </c>
      <c r="V20" s="1560" t="s">
        <v>8</v>
      </c>
      <c r="W20" s="1561">
        <f>J20</f>
        <v>100</v>
      </c>
      <c r="X20" s="1554"/>
      <c r="Y20" s="338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9"/>
      <c r="Q21" s="1559"/>
      <c r="R21" s="1560"/>
      <c r="S21" s="1561"/>
      <c r="T21" s="1560"/>
      <c r="U21" s="1561"/>
      <c r="V21" s="1560"/>
      <c r="W21" s="1561"/>
      <c r="X21" s="1554"/>
      <c r="Y21" s="3389"/>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9"/>
      <c r="Q22" s="1559" t="str">
        <f>B22</f>
        <v>楼层</v>
      </c>
      <c r="R22" s="1560" t="s">
        <v>8</v>
      </c>
      <c r="S22" s="1561">
        <f>F22</f>
        <v>100</v>
      </c>
      <c r="T22" s="1560" t="s">
        <v>8</v>
      </c>
      <c r="U22" s="1561">
        <f>H22</f>
        <v>100</v>
      </c>
      <c r="V22" s="1560" t="s">
        <v>8</v>
      </c>
      <c r="W22" s="1561">
        <f>J22</f>
        <v>100</v>
      </c>
      <c r="X22" s="1554"/>
      <c r="Y22" s="338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9"/>
      <c r="Q23" s="1559">
        <f>B23</f>
        <v>111</v>
      </c>
      <c r="R23" s="1560" t="s">
        <v>8</v>
      </c>
      <c r="S23" s="1561">
        <f>F23</f>
        <v>100</v>
      </c>
      <c r="T23" s="1560" t="s">
        <v>8</v>
      </c>
      <c r="U23" s="1561">
        <f>H23</f>
        <v>100</v>
      </c>
      <c r="V23" s="1560" t="s">
        <v>8</v>
      </c>
      <c r="W23" s="1561">
        <f>J23</f>
        <v>100</v>
      </c>
      <c r="X23" s="1554"/>
      <c r="Y23" s="338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9"/>
      <c r="Q24" s="1559">
        <f t="shared" ref="Q24:Q34" si="11">B24</f>
        <v>111</v>
      </c>
      <c r="R24" s="1560" t="s">
        <v>8</v>
      </c>
      <c r="S24" s="1561">
        <f>F24</f>
        <v>100</v>
      </c>
      <c r="T24" s="1560" t="s">
        <v>8</v>
      </c>
      <c r="U24" s="1561">
        <f>H24</f>
        <v>100</v>
      </c>
      <c r="V24" s="1560" t="s">
        <v>8</v>
      </c>
      <c r="W24" s="1561">
        <f>J24</f>
        <v>100</v>
      </c>
      <c r="X24" s="1554"/>
      <c r="Y24" s="338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9"/>
      <c r="Q25" s="1147">
        <f t="shared" si="11"/>
        <v>111</v>
      </c>
      <c r="R25" s="1555" t="s">
        <v>8</v>
      </c>
      <c r="S25" s="1556">
        <f>F25</f>
        <v>100</v>
      </c>
      <c r="T25" s="1555" t="s">
        <v>8</v>
      </c>
      <c r="U25" s="1556">
        <f>H25</f>
        <v>100</v>
      </c>
      <c r="V25" s="1555" t="s">
        <v>8</v>
      </c>
      <c r="W25" s="1556">
        <f>J25</f>
        <v>100</v>
      </c>
      <c r="X25" s="1557"/>
      <c r="Y25" s="3389"/>
      <c r="Z25" s="1146">
        <f>Q25</f>
        <v>111</v>
      </c>
      <c r="AA25" s="1563">
        <f>D25/F25</f>
        <v>1</v>
      </c>
      <c r="AB25" s="1563">
        <f>D25/H25</f>
        <v>1</v>
      </c>
      <c r="AC25" s="1563">
        <f>D25/J25</f>
        <v>1</v>
      </c>
    </row>
    <row r="26" spans="1:29" ht="15">
      <c r="A26" s="2863"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0"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1"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1"/>
      <c r="Q27" s="1591" t="str">
        <f t="shared" si="11"/>
        <v>成新率</v>
      </c>
      <c r="R27" s="1564" t="s">
        <v>8</v>
      </c>
      <c r="S27" s="1565" t="e">
        <f t="shared" si="12"/>
        <v>#N/A</v>
      </c>
      <c r="T27" s="1564" t="s">
        <v>8</v>
      </c>
      <c r="U27" s="1565" t="e">
        <f t="shared" si="13"/>
        <v>#N/A</v>
      </c>
      <c r="V27" s="1564" t="s">
        <v>8</v>
      </c>
      <c r="W27" s="1565" t="e">
        <f t="shared" si="14"/>
        <v>#N/A</v>
      </c>
      <c r="X27" s="1566"/>
      <c r="Y27" s="3391"/>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1"/>
      <c r="Q28" s="1559" t="str">
        <f t="shared" si="11"/>
        <v>物业等级</v>
      </c>
      <c r="R28" s="1560" t="s">
        <v>8</v>
      </c>
      <c r="S28" s="1561">
        <f t="shared" si="12"/>
        <v>100</v>
      </c>
      <c r="T28" s="1560" t="s">
        <v>8</v>
      </c>
      <c r="U28" s="1561">
        <f t="shared" si="13"/>
        <v>100</v>
      </c>
      <c r="V28" s="1560" t="s">
        <v>8</v>
      </c>
      <c r="W28" s="1561">
        <f t="shared" si="14"/>
        <v>100</v>
      </c>
      <c r="X28" s="1554"/>
      <c r="Y28" s="3391"/>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1"/>
      <c r="Q29" s="1559" t="str">
        <f t="shared" si="11"/>
        <v>有无电梯</v>
      </c>
      <c r="R29" s="1560" t="s">
        <v>8</v>
      </c>
      <c r="S29" s="1561">
        <f t="shared" si="12"/>
        <v>100</v>
      </c>
      <c r="T29" s="1560" t="s">
        <v>8</v>
      </c>
      <c r="U29" s="1561">
        <f t="shared" si="13"/>
        <v>100</v>
      </c>
      <c r="V29" s="1560" t="s">
        <v>8</v>
      </c>
      <c r="W29" s="1561">
        <f t="shared" si="14"/>
        <v>100</v>
      </c>
      <c r="X29" s="1554"/>
      <c r="Y29" s="3391"/>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1"/>
      <c r="Q30" s="1559" t="str">
        <f t="shared" si="11"/>
        <v>建筑面积</v>
      </c>
      <c r="R30" s="1560" t="s">
        <v>8</v>
      </c>
      <c r="S30" s="1561" t="e">
        <f t="shared" si="12"/>
        <v>#N/A</v>
      </c>
      <c r="T30" s="1560" t="s">
        <v>8</v>
      </c>
      <c r="U30" s="1561" t="e">
        <f t="shared" si="13"/>
        <v>#N/A</v>
      </c>
      <c r="V30" s="1560" t="s">
        <v>8</v>
      </c>
      <c r="W30" s="1561" t="e">
        <f t="shared" si="14"/>
        <v>#N/A</v>
      </c>
      <c r="X30" s="1554"/>
      <c r="Y30" s="3391"/>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1"/>
      <c r="Q31" s="1147" t="str">
        <f t="shared" si="11"/>
        <v>是否封闭</v>
      </c>
      <c r="R31" s="1555" t="s">
        <v>8</v>
      </c>
      <c r="S31" s="1556">
        <f t="shared" si="12"/>
        <v>100</v>
      </c>
      <c r="T31" s="1555" t="s">
        <v>8</v>
      </c>
      <c r="U31" s="1556">
        <f t="shared" si="13"/>
        <v>100</v>
      </c>
      <c r="V31" s="1555" t="s">
        <v>8</v>
      </c>
      <c r="W31" s="1556">
        <f t="shared" si="14"/>
        <v>100</v>
      </c>
      <c r="X31" s="1557"/>
      <c r="Y31" s="339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1" t="s">
        <v>549</v>
      </c>
      <c r="Q32" s="1559">
        <f t="shared" si="11"/>
        <v>111</v>
      </c>
      <c r="R32" s="1560" t="s">
        <v>8</v>
      </c>
      <c r="S32" s="1561">
        <f t="shared" si="12"/>
        <v>100</v>
      </c>
      <c r="T32" s="1560" t="s">
        <v>8</v>
      </c>
      <c r="U32" s="1561">
        <f t="shared" si="13"/>
        <v>100</v>
      </c>
      <c r="V32" s="1560" t="s">
        <v>8</v>
      </c>
      <c r="W32" s="1561">
        <f t="shared" si="14"/>
        <v>100</v>
      </c>
      <c r="X32" s="1554"/>
      <c r="Y32" s="3391"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1"/>
      <c r="Q33" s="1559">
        <f t="shared" si="11"/>
        <v>111</v>
      </c>
      <c r="R33" s="1560" t="s">
        <v>8</v>
      </c>
      <c r="S33" s="1561">
        <f t="shared" si="12"/>
        <v>100</v>
      </c>
      <c r="T33" s="1560" t="s">
        <v>8</v>
      </c>
      <c r="U33" s="1561">
        <f t="shared" si="13"/>
        <v>100</v>
      </c>
      <c r="V33" s="1560" t="s">
        <v>8</v>
      </c>
      <c r="W33" s="1561">
        <f t="shared" si="14"/>
        <v>100</v>
      </c>
      <c r="X33" s="1554"/>
      <c r="Y33" s="339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1"/>
      <c r="Q34" s="1559">
        <f t="shared" si="11"/>
        <v>111</v>
      </c>
      <c r="R34" s="1560" t="s">
        <v>8</v>
      </c>
      <c r="S34" s="1561">
        <f t="shared" si="12"/>
        <v>100</v>
      </c>
      <c r="T34" s="1560" t="s">
        <v>8</v>
      </c>
      <c r="U34" s="1561">
        <f t="shared" si="13"/>
        <v>100</v>
      </c>
      <c r="V34" s="1560" t="s">
        <v>8</v>
      </c>
      <c r="W34" s="1561">
        <f t="shared" si="14"/>
        <v>100</v>
      </c>
      <c r="X34" s="1554"/>
      <c r="Y34" s="3391"/>
      <c r="Z34" s="1562">
        <f t="shared" si="15"/>
        <v>111</v>
      </c>
      <c r="AA34" s="1563">
        <f t="shared" si="3"/>
        <v>1</v>
      </c>
      <c r="AB34" s="1563">
        <f t="shared" si="4"/>
        <v>1</v>
      </c>
      <c r="AC34" s="1563">
        <f t="shared" si="5"/>
        <v>1</v>
      </c>
    </row>
    <row r="35" spans="1:29" ht="15">
      <c r="A35" s="607" t="s">
        <v>735</v>
      </c>
      <c r="B35" s="887"/>
      <c r="C35" s="2592" t="s">
        <v>1</v>
      </c>
      <c r="D35" s="2593"/>
      <c r="E35" s="2594"/>
      <c r="F35" s="2595"/>
      <c r="G35" s="2596"/>
      <c r="H35" s="2597"/>
      <c r="I35" s="2594"/>
      <c r="J35" s="2597"/>
      <c r="K35" s="1597"/>
      <c r="L35" s="2130"/>
      <c r="M35" s="2131"/>
      <c r="N35" s="2120"/>
      <c r="O35" s="2131"/>
      <c r="P35" s="3386" t="str">
        <f>A35</f>
        <v>成交单价（元/平方米）</v>
      </c>
      <c r="Q35" s="3386"/>
      <c r="R35" s="3462">
        <f>E35</f>
        <v>0</v>
      </c>
      <c r="S35" s="3462"/>
      <c r="T35" s="3462">
        <f>G35</f>
        <v>0</v>
      </c>
      <c r="U35" s="3462"/>
      <c r="V35" s="3462">
        <f>I35</f>
        <v>0</v>
      </c>
      <c r="W35" s="3462"/>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86" t="str">
        <f>A36</f>
        <v>比较价格（元/平方米）</v>
      </c>
      <c r="Q36" s="3386"/>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408" t="str">
        <f>A37</f>
        <v>估价对象XX用房的比较价格（楼面单价，元/平方米）</v>
      </c>
      <c r="Q37" s="3409"/>
      <c r="R37" s="3461" t="e">
        <f>IF(F1="售价",ROUND(AVERAGE(R36:V36),0),ROUND(AVERAGE(R36:V36),1))</f>
        <v>#DIV/0!</v>
      </c>
      <c r="S37" s="3461"/>
      <c r="T37" s="3461"/>
      <c r="U37" s="3461"/>
      <c r="V37" s="3461"/>
      <c r="W37" s="346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528</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2" sqref="V32"/>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1" t="s">
        <v>2302</v>
      </c>
      <c r="D1" s="3502"/>
      <c r="E1" s="3502"/>
      <c r="F1" s="3502"/>
      <c r="G1" s="3502"/>
      <c r="H1" s="3502"/>
      <c r="I1" s="3502"/>
      <c r="J1" s="3502"/>
      <c r="K1" s="3502"/>
      <c r="L1" s="3502"/>
      <c r="M1" s="3502"/>
      <c r="N1" s="3502"/>
      <c r="O1" s="3502"/>
      <c r="P1" s="3502"/>
      <c r="Q1" s="3502"/>
      <c r="R1" s="3502"/>
      <c r="S1" s="3503"/>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43606</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90" zoomScaleNormal="90" workbookViewId="0">
      <selection activeCell="D45" sqref="D4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35</v>
      </c>
      <c r="D1" s="3078" t="s">
        <v>3051</v>
      </c>
      <c r="E1" s="2352" t="s">
        <v>2372</v>
      </c>
      <c r="F1" s="2353">
        <f ca="1">J53</f>
        <v>37.24</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7168</v>
      </c>
      <c r="C2" s="2043"/>
      <c r="D2" s="2041"/>
      <c r="E2" s="2042"/>
      <c r="F2" s="2042"/>
      <c r="G2" s="1577"/>
      <c r="H2" s="2043"/>
      <c r="I2" s="2043"/>
      <c r="J2" s="2043"/>
      <c r="K2" s="2044"/>
      <c r="L2" s="2043"/>
      <c r="M2" s="2043"/>
    </row>
    <row r="3" spans="1:33" ht="18" customHeight="1" thickBot="1">
      <c r="A3" s="833" t="s">
        <v>794</v>
      </c>
      <c r="B3" s="834">
        <f ca="1">IF(ISERROR(B2*10000/F43),0,ROUND(B2*10000/F43,0))</f>
        <v>530</v>
      </c>
      <c r="C3" s="2043"/>
      <c r="D3" s="2041"/>
      <c r="E3" s="2042"/>
      <c r="F3" s="2042"/>
      <c r="G3" s="1577"/>
      <c r="H3" s="776" t="s">
        <v>694</v>
      </c>
      <c r="I3" s="1359"/>
      <c r="J3" s="1359"/>
      <c r="K3" s="1578"/>
      <c r="L3" s="1359"/>
      <c r="M3" s="1359"/>
    </row>
    <row r="4" spans="1:33" ht="18" customHeight="1">
      <c r="A4" s="777" t="s">
        <v>1727</v>
      </c>
      <c r="B4" s="778" t="s">
        <v>698</v>
      </c>
      <c r="C4" s="778" t="s">
        <v>1729</v>
      </c>
      <c r="D4" s="778" t="s">
        <v>632</v>
      </c>
      <c r="E4" s="779" t="s">
        <v>1730</v>
      </c>
      <c r="F4" s="780"/>
      <c r="G4" s="1579"/>
      <c r="H4" s="777" t="s">
        <v>1727</v>
      </c>
      <c r="I4" s="778" t="s">
        <v>698</v>
      </c>
      <c r="J4" s="778" t="s">
        <v>1729</v>
      </c>
      <c r="K4" s="778" t="s">
        <v>1734</v>
      </c>
      <c r="L4" s="779" t="s">
        <v>1730</v>
      </c>
      <c r="M4" s="780"/>
    </row>
    <row r="5" spans="1:33" ht="18" customHeight="1">
      <c r="A5" s="781">
        <v>1</v>
      </c>
      <c r="B5" s="782" t="s">
        <v>2456</v>
      </c>
      <c r="C5" s="55">
        <f ca="1">C6+C10+C12</f>
        <v>1424</v>
      </c>
      <c r="D5" s="2461" t="s">
        <v>2459</v>
      </c>
      <c r="E5" s="2455"/>
      <c r="F5" s="2456"/>
      <c r="G5" s="1579"/>
      <c r="H5" s="781">
        <v>1</v>
      </c>
      <c r="I5" s="782" t="s">
        <v>2456</v>
      </c>
      <c r="J5" s="55">
        <f ca="1">J6+J10+J12</f>
        <v>0</v>
      </c>
      <c r="K5" s="2461" t="s">
        <v>2459</v>
      </c>
      <c r="L5" s="2455"/>
      <c r="M5" s="2456"/>
    </row>
    <row r="6" spans="1:33" ht="18" customHeight="1">
      <c r="A6" s="1816" t="s">
        <v>1823</v>
      </c>
      <c r="B6" s="3465" t="s">
        <v>2461</v>
      </c>
      <c r="C6" s="783">
        <f ca="1">ROUND(F6*F8*F7*(1-F9)/10000,0)</f>
        <v>1424</v>
      </c>
      <c r="D6" s="2462" t="s">
        <v>2460</v>
      </c>
      <c r="E6" s="784" t="s">
        <v>1737</v>
      </c>
      <c r="F6" s="785">
        <f ca="1">INDIRECT("'数据-取费表'!u"&amp;$G$1)</f>
        <v>350</v>
      </c>
      <c r="G6" s="1579"/>
      <c r="H6" s="2469" t="s">
        <v>1823</v>
      </c>
      <c r="I6" s="3465" t="s">
        <v>2461</v>
      </c>
      <c r="J6" s="783">
        <f ca="1">ROUND(M6*M8*M7*(1-M9)/10000,0)</f>
        <v>0</v>
      </c>
      <c r="K6" s="341" t="s">
        <v>1736</v>
      </c>
      <c r="L6" s="784" t="s">
        <v>1737</v>
      </c>
      <c r="M6" s="785">
        <f ca="1">INDIRECT("'数据-取费表'!z"&amp;$G$1)</f>
        <v>0</v>
      </c>
    </row>
    <row r="7" spans="1:33" ht="18" customHeight="1">
      <c r="A7" s="2465"/>
      <c r="B7" s="3466"/>
      <c r="C7" s="788"/>
      <c r="D7" s="789"/>
      <c r="E7" s="784" t="s">
        <v>1738</v>
      </c>
      <c r="F7" s="785">
        <f ca="1">IF(INDIRECT("'数据-取费表'!ah"&amp;$G$1)="",INDIRECT("'数据-取费表'!k"&amp;$G$1),INDIRECT("'数据-取费表'!ah"&amp;$G$1))</f>
        <v>3768</v>
      </c>
      <c r="G7" s="1579"/>
      <c r="H7" s="2454"/>
      <c r="I7" s="3466"/>
      <c r="J7" s="788"/>
      <c r="K7" s="789"/>
      <c r="L7" s="784" t="s">
        <v>1738</v>
      </c>
      <c r="M7" s="785">
        <f ca="1">F7</f>
        <v>3768</v>
      </c>
    </row>
    <row r="8" spans="1:33" ht="18" customHeight="1">
      <c r="A8" s="2458"/>
      <c r="B8" s="3467"/>
      <c r="C8" s="788"/>
      <c r="D8" s="789"/>
      <c r="E8" s="784" t="s">
        <v>1739</v>
      </c>
      <c r="F8" s="785">
        <f ca="1">INDIRECT("'数据-取费表'!ai"&amp;$G$1)</f>
        <v>12</v>
      </c>
      <c r="G8" s="1579"/>
      <c r="H8" s="2454"/>
      <c r="I8" s="3467"/>
      <c r="J8" s="788"/>
      <c r="K8" s="789"/>
      <c r="L8" s="784" t="s">
        <v>1739</v>
      </c>
      <c r="M8" s="785">
        <f ca="1">INDIRECT("'数据-取费表'!ai"&amp;$G$1)</f>
        <v>12</v>
      </c>
    </row>
    <row r="9" spans="1:33" ht="18" customHeight="1">
      <c r="A9" s="786"/>
      <c r="B9" s="3468"/>
      <c r="C9" s="788"/>
      <c r="D9" s="789"/>
      <c r="E9" s="784" t="s">
        <v>1740</v>
      </c>
      <c r="F9" s="794">
        <f ca="1">INDIRECT("'数据-取费表'!w"&amp;$G$1)</f>
        <v>0.1</v>
      </c>
      <c r="G9" s="1579"/>
      <c r="H9" s="2470"/>
      <c r="I9" s="3467"/>
      <c r="J9" s="788"/>
      <c r="K9" s="789"/>
      <c r="L9" s="795" t="s">
        <v>1740</v>
      </c>
      <c r="M9" s="796">
        <f ca="1">INDIRECT("'数据-取费表'!ab"&amp;$G$1)</f>
        <v>0</v>
      </c>
    </row>
    <row r="10" spans="1:33" ht="18" customHeight="1">
      <c r="A10" s="1816" t="s">
        <v>1824</v>
      </c>
      <c r="B10" s="2459" t="s">
        <v>2457</v>
      </c>
      <c r="C10" s="799">
        <f ca="1">ROUND(IF(F10="押一",C6/12*F11,IF(F10="押二",C6/12*2*F11,IF(F10="押三",C6/12*3*F11,C11*F11))),0)</f>
        <v>0</v>
      </c>
      <c r="D10" s="2466" t="s">
        <v>2970</v>
      </c>
      <c r="E10" s="2463" t="s">
        <v>2462</v>
      </c>
      <c r="F10" s="2586" t="s">
        <v>3057</v>
      </c>
      <c r="G10" s="1579"/>
      <c r="H10" s="2526" t="s">
        <v>1824</v>
      </c>
      <c r="I10" s="2531" t="s">
        <v>2457</v>
      </c>
      <c r="J10" s="783">
        <f ca="1">ROUND(IF(M10="押一",J6/12*M11,IF(M10="押二",J6/12*2*M11,IF(M10="押三",J6/12*3*M11,J11*M11))),0)</f>
        <v>0</v>
      </c>
      <c r="K10" s="2466" t="s">
        <v>2970</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1741</v>
      </c>
      <c r="C13" s="792">
        <f ca="1">ROUND(C29*F13,0)</f>
        <v>64208</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1830</v>
      </c>
      <c r="B14" s="784" t="s">
        <v>644</v>
      </c>
      <c r="C14" s="804">
        <f ca="1">INDIRECT("'数据-取费表'!m"&amp;$G$1)+INDIRECT("'数据-取费表'!t"&amp;$G$1)</f>
        <v>40578</v>
      </c>
      <c r="D14" s="3186" t="s">
        <v>1744</v>
      </c>
      <c r="E14" s="3187"/>
      <c r="F14" s="805"/>
      <c r="G14" s="1579"/>
      <c r="H14" s="1635" t="s">
        <v>1823</v>
      </c>
      <c r="I14" s="2217" t="s">
        <v>2822</v>
      </c>
      <c r="J14" s="53">
        <f ca="1">C29</f>
        <v>64208</v>
      </c>
      <c r="K14" s="26"/>
      <c r="L14" s="801"/>
      <c r="M14" s="802"/>
    </row>
    <row r="15" spans="1:33" s="2050" customFormat="1" ht="18" customHeight="1" thickBot="1">
      <c r="A15" s="1634" t="s">
        <v>1831</v>
      </c>
      <c r="B15" s="784" t="s">
        <v>646</v>
      </c>
      <c r="C15" s="53">
        <f ca="1">ROUND(C14*F15,0)</f>
        <v>1623</v>
      </c>
      <c r="D15" s="806" t="s">
        <v>1745</v>
      </c>
      <c r="E15" s="806" t="s">
        <v>1746</v>
      </c>
      <c r="F15" s="807">
        <f>'数据-取费表'!B33</f>
        <v>0.04</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1832</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6052</v>
      </c>
      <c r="K16" s="1807" t="s">
        <v>1749</v>
      </c>
      <c r="L16" s="3188"/>
      <c r="M16" s="2456"/>
    </row>
    <row r="17" spans="1:33" s="2050" customFormat="1" ht="18" customHeight="1">
      <c r="A17" s="1634" t="s">
        <v>1886</v>
      </c>
      <c r="B17" s="784" t="s">
        <v>652</v>
      </c>
      <c r="C17" s="53">
        <f ca="1">ROUND(F17*(F43+INDIRECT("'数据-取费表'!S"&amp;$G$1))/10000,0)</f>
        <v>2765</v>
      </c>
      <c r="D17" s="784" t="s">
        <v>1750</v>
      </c>
      <c r="E17" s="784" t="s">
        <v>1751</v>
      </c>
      <c r="F17" s="56">
        <f>'数据-取费表'!B35</f>
        <v>200</v>
      </c>
      <c r="G17" s="1580"/>
      <c r="H17" s="1635" t="s">
        <v>1823</v>
      </c>
      <c r="I17" s="784" t="s">
        <v>655</v>
      </c>
      <c r="J17" s="53">
        <f ca="1">ROUND(IF(项目基本情况!B11="自然人",J5*M17,J18+J19+J20),0)</f>
        <v>5410</v>
      </c>
      <c r="K17" s="3186" t="s">
        <v>1752</v>
      </c>
      <c r="L17" s="3185"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609</v>
      </c>
      <c r="D18" s="784" t="s">
        <v>1745</v>
      </c>
      <c r="E18" s="784" t="s">
        <v>1746</v>
      </c>
      <c r="F18" s="809">
        <f>'数据-取费表'!B36</f>
        <v>1.4999999999999999E-2</v>
      </c>
      <c r="G18" s="1580"/>
      <c r="H18" s="1634" t="s">
        <v>1830</v>
      </c>
      <c r="I18" s="784" t="s">
        <v>1754</v>
      </c>
      <c r="J18" s="53">
        <f ca="1">ROUND(J5*M18/1.05,1)</f>
        <v>0</v>
      </c>
      <c r="K18" s="3185" t="s">
        <v>1755</v>
      </c>
      <c r="L18" s="784" t="s">
        <v>1746</v>
      </c>
      <c r="M18" s="809">
        <f>'数据-取费表'!B41</f>
        <v>9.8999999999999991E-2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1823</v>
      </c>
      <c r="B19" s="784" t="s">
        <v>661</v>
      </c>
      <c r="C19" s="53">
        <f ca="1">SUM(C14:C18)</f>
        <v>45575</v>
      </c>
      <c r="D19" s="261" t="s">
        <v>1756</v>
      </c>
      <c r="E19" s="3190"/>
      <c r="F19" s="56"/>
      <c r="G19" s="1579"/>
      <c r="H19" s="1634" t="s">
        <v>1831</v>
      </c>
      <c r="I19" s="784" t="s">
        <v>1757</v>
      </c>
      <c r="J19" s="53">
        <f ca="1">IF(K19="按租金收入计税",ROUND(J5*M19,1),ROUND(C29*F33*0.7,1))</f>
        <v>5393.5</v>
      </c>
      <c r="K19" s="811" t="s">
        <v>664</v>
      </c>
      <c r="L19" s="784" t="s">
        <v>1746</v>
      </c>
      <c r="M19" s="809">
        <f>IF(K19="按租金收入计税",'数据-取费表'!B51,'数据-取费表'!B50)</f>
        <v>1.2E-2</v>
      </c>
    </row>
    <row r="20" spans="1:33" s="2050" customFormat="1" ht="18" customHeight="1">
      <c r="A20" s="1635" t="s">
        <v>1888</v>
      </c>
      <c r="B20" s="784" t="s">
        <v>665</v>
      </c>
      <c r="C20" s="53">
        <f ca="1">ROUND(C19*F20,0)</f>
        <v>912</v>
      </c>
      <c r="D20" s="812" t="s">
        <v>1758</v>
      </c>
      <c r="E20" s="784" t="s">
        <v>1746</v>
      </c>
      <c r="F20" s="809">
        <f>'数据-取费表'!B37</f>
        <v>0.02</v>
      </c>
      <c r="G20" s="1580"/>
      <c r="H20" s="1637" t="s">
        <v>1832</v>
      </c>
      <c r="I20" s="341" t="s">
        <v>1759</v>
      </c>
      <c r="J20" s="54">
        <f ca="1">ROUND(M20*M21/10000,0)</f>
        <v>16</v>
      </c>
      <c r="K20" s="814" t="s">
        <v>1760</v>
      </c>
      <c r="L20" s="784" t="s">
        <v>1761</v>
      </c>
      <c r="M20" s="640">
        <f>'数据-取费表'!B52</f>
        <v>3</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54694.8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3190"/>
      <c r="F22" s="56"/>
      <c r="G22" s="1579"/>
      <c r="H22" s="1635" t="s">
        <v>1888</v>
      </c>
      <c r="I22" s="784" t="s">
        <v>1767</v>
      </c>
      <c r="J22" s="53">
        <f ca="1">ROUND(J14*M22,0)</f>
        <v>642</v>
      </c>
      <c r="K22" s="3185" t="s">
        <v>1768</v>
      </c>
      <c r="L22" s="784" t="s">
        <v>1746</v>
      </c>
      <c r="M22" s="817">
        <f ca="1">INDIRECT("'数据-取费表'!Ak"&amp;$G$1)</f>
        <v>0.01</v>
      </c>
    </row>
    <row r="23" spans="1:33" s="2050" customFormat="1" ht="18" customHeight="1">
      <c r="A23" s="1634" t="s">
        <v>1830</v>
      </c>
      <c r="B23" s="784" t="s">
        <v>2435</v>
      </c>
      <c r="C23" s="53">
        <f ca="1">ROUND(IF('数据-取费表'!B22&lt;=1,(C19+C20)*F24*F23/2,(C19+C20)*(POWER((1+F24),F23/2)-1)),0)</f>
        <v>3351</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678</v>
      </c>
      <c r="J23" s="53">
        <f ca="1">ROUND(J13*M23,0)</f>
        <v>0</v>
      </c>
      <c r="K23" s="3185" t="s">
        <v>1770</v>
      </c>
      <c r="L23" s="784" t="s">
        <v>1746</v>
      </c>
      <c r="M23" s="818">
        <f ca="1">INDIRECT("'数据-取费表'!Al"&amp;$G$1)</f>
        <v>1E-3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665</v>
      </c>
      <c r="J24" s="2509">
        <f ca="1">ROUND(J5*M24,0)</f>
        <v>0</v>
      </c>
      <c r="K24" s="2510" t="s">
        <v>1773</v>
      </c>
      <c r="L24" s="2511" t="s">
        <v>1746</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3190"/>
      <c r="F25" s="56"/>
      <c r="G25" s="1579"/>
      <c r="H25" s="1815" t="s">
        <v>1775</v>
      </c>
      <c r="I25" s="2963" t="s">
        <v>2819</v>
      </c>
      <c r="J25" s="792">
        <f ca="1">J5-J16</f>
        <v>-6052</v>
      </c>
      <c r="K25" s="2513" t="s">
        <v>699</v>
      </c>
      <c r="L25" s="2514"/>
      <c r="M25" s="2515"/>
    </row>
    <row r="26" spans="1:33" ht="18" customHeight="1">
      <c r="A26" s="1634" t="s">
        <v>1830</v>
      </c>
      <c r="B26" s="784" t="s">
        <v>2436</v>
      </c>
      <c r="C26" s="53">
        <f ca="1">ROUND((C19+C20)*F26,0)</f>
        <v>6973</v>
      </c>
      <c r="D26" s="812" t="s">
        <v>700</v>
      </c>
      <c r="E26" s="795" t="s">
        <v>701</v>
      </c>
      <c r="F26" s="794">
        <f ca="1">INDIRECT("'数据-取费表'!q"&amp;$G$1)</f>
        <v>0.15</v>
      </c>
      <c r="G26" s="1579"/>
      <c r="H26" s="2467" t="s">
        <v>1779</v>
      </c>
      <c r="I26" s="2218" t="s">
        <v>2824</v>
      </c>
      <c r="J26" s="783">
        <f ca="1">IF(J5&lt;&gt;0,ROUND(J25*(1-((1+M28)/(1+M26))^M27)/(M26-M28),0),0)</f>
        <v>0</v>
      </c>
      <c r="K26" s="814" t="s">
        <v>703</v>
      </c>
      <c r="L26" s="784" t="s">
        <v>2417</v>
      </c>
      <c r="M26" s="794">
        <f ca="1">INDIRECT("'数据-取费表'!I"&amp;$G$1)</f>
        <v>0.05</v>
      </c>
    </row>
    <row r="27" spans="1:33" ht="18" customHeight="1">
      <c r="A27" s="1634" t="s">
        <v>1831</v>
      </c>
      <c r="B27" s="784" t="s">
        <v>685</v>
      </c>
      <c r="C27" s="53">
        <f ca="1">ROUND(F21*F26,4)</f>
        <v>3.0000000000000001E-3</v>
      </c>
      <c r="D27" s="812" t="s">
        <v>705</v>
      </c>
      <c r="E27" s="806"/>
      <c r="F27" s="807"/>
      <c r="G27" s="1579"/>
      <c r="H27" s="2468"/>
      <c r="I27" s="787"/>
      <c r="J27" s="788"/>
      <c r="K27" s="821" t="s">
        <v>1782</v>
      </c>
      <c r="L27" s="784" t="s">
        <v>707</v>
      </c>
      <c r="M27" s="822">
        <f ca="1">INDIRECT("'数据-取费表'!ag"&amp;$G$1)</f>
        <v>0</v>
      </c>
    </row>
    <row r="28" spans="1:33" s="2050" customFormat="1" ht="18" customHeight="1">
      <c r="A28" s="1636" t="s">
        <v>1840</v>
      </c>
      <c r="B28" s="784" t="s">
        <v>686</v>
      </c>
      <c r="C28" s="53">
        <f>ROUND(F28/(1+'数据-取费表'!C42),4)</f>
        <v>9.0800000000000006E-2</v>
      </c>
      <c r="D28" s="812" t="s">
        <v>2297</v>
      </c>
      <c r="E28" s="784" t="s">
        <v>1746</v>
      </c>
      <c r="F28" s="809">
        <f>'数据-取费表'!B41</f>
        <v>9.8999999999999991E-2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64208</v>
      </c>
      <c r="D29" s="2510"/>
      <c r="E29" s="2511"/>
      <c r="F29" s="2512"/>
      <c r="G29" s="1580"/>
      <c r="H29" s="823" t="s">
        <v>1786</v>
      </c>
      <c r="I29" s="824" t="s">
        <v>1787</v>
      </c>
      <c r="J29" s="825">
        <f ca="1">ROUND(J26/(1+F40)^F41,0)</f>
        <v>0</v>
      </c>
      <c r="K29" s="826" t="s">
        <v>1788</v>
      </c>
      <c r="L29" s="827"/>
      <c r="M29" s="828">
        <f ca="1">INDIRECT("'数据-取费表'!k"&amp;$G$1)</f>
        <v>135260.769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1747</v>
      </c>
      <c r="B30" s="1813" t="s">
        <v>1748</v>
      </c>
      <c r="C30" s="792">
        <f ca="1">ROUND(C31+C36+C37+C38,0)</f>
        <v>1049</v>
      </c>
      <c r="D30" s="1807" t="s">
        <v>1749</v>
      </c>
      <c r="E30" s="3188"/>
      <c r="F30" s="2456"/>
      <c r="G30" s="2048"/>
      <c r="H30" s="2051"/>
      <c r="I30" s="2052"/>
      <c r="J30" s="2053"/>
      <c r="K30" s="2054"/>
      <c r="L30" s="2055"/>
      <c r="M30" s="2056"/>
    </row>
    <row r="31" spans="1:33" ht="18" customHeight="1">
      <c r="A31" s="1635" t="s">
        <v>1823</v>
      </c>
      <c r="B31" s="784" t="s">
        <v>655</v>
      </c>
      <c r="C31" s="53">
        <f ca="1">ROUND(IF(项目基本情况!B11="自然人",C5*F31,C32+C33+C34),1)</f>
        <v>321.60000000000002</v>
      </c>
      <c r="D31" s="3186" t="s">
        <v>1752</v>
      </c>
      <c r="E31" s="3185"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1754</v>
      </c>
      <c r="C32" s="53">
        <f ca="1">ROUND(C5*F32/1.05,1)</f>
        <v>134.30000000000001</v>
      </c>
      <c r="D32" s="3185" t="s">
        <v>1755</v>
      </c>
      <c r="E32" s="784" t="s">
        <v>1746</v>
      </c>
      <c r="F32" s="809">
        <f>'数据-取费表'!B41</f>
        <v>9.8999999999999991E-2</v>
      </c>
      <c r="G32" s="2048"/>
      <c r="H32" s="2057"/>
      <c r="I32" s="2058"/>
      <c r="J32" s="2059"/>
      <c r="K32" s="2060"/>
      <c r="L32" s="2061"/>
      <c r="M32" s="2062"/>
    </row>
    <row r="33" spans="1:18" ht="18" customHeight="1">
      <c r="A33" s="1634" t="s">
        <v>1831</v>
      </c>
      <c r="B33" s="784" t="s">
        <v>1757</v>
      </c>
      <c r="C33" s="53">
        <f ca="1">IF(D33="按租金收入计税",ROUND(C5*F33,1),IF(D33="按房产原值计税",ROUND(C29*F33*0.7,1),INDIRECT("'数据-取费表'!Aj"&amp;$G$1)))</f>
        <v>170.9</v>
      </c>
      <c r="D33" s="811" t="s">
        <v>3053</v>
      </c>
      <c r="E33" s="784" t="s">
        <v>1746</v>
      </c>
      <c r="F33" s="809">
        <f>IF(D33="按租金收入计税",'数据-取费表'!B51,'数据-取费表'!B50)</f>
        <v>0.12</v>
      </c>
      <c r="G33" s="2048"/>
      <c r="H33" s="2063"/>
      <c r="I33" s="2063"/>
      <c r="J33" s="2063"/>
      <c r="K33" s="2064"/>
      <c r="L33" s="2063"/>
      <c r="M33" s="2063"/>
    </row>
    <row r="34" spans="1:18" ht="18" customHeight="1">
      <c r="A34" s="1637" t="s">
        <v>1832</v>
      </c>
      <c r="B34" s="341" t="s">
        <v>1759</v>
      </c>
      <c r="C34" s="54">
        <f ca="1">ROUND(F34*F35/10000,1)</f>
        <v>16.399999999999999</v>
      </c>
      <c r="D34" s="814" t="s">
        <v>1760</v>
      </c>
      <c r="E34" s="784" t="s">
        <v>1761</v>
      </c>
      <c r="F34" s="640">
        <f>'数据-取费表'!B52</f>
        <v>3</v>
      </c>
      <c r="G34" s="2048"/>
      <c r="H34" s="2051"/>
      <c r="I34" s="835" t="s">
        <v>1812</v>
      </c>
      <c r="J34" s="836"/>
      <c r="K34" s="2066"/>
      <c r="L34" s="2065"/>
      <c r="M34" s="2065"/>
    </row>
    <row r="35" spans="1:18" ht="18" customHeight="1">
      <c r="A35" s="815"/>
      <c r="B35" s="793"/>
      <c r="C35" s="69"/>
      <c r="D35" s="816"/>
      <c r="E35" s="784" t="s">
        <v>1765</v>
      </c>
      <c r="F35" s="785">
        <f ca="1">INDIRECT("'数据-取费表'!r"&amp;$G$1)</f>
        <v>54694.8</v>
      </c>
      <c r="G35" s="2048"/>
      <c r="H35" s="2051"/>
      <c r="I35" s="837" t="s">
        <v>1813</v>
      </c>
      <c r="J35" s="838">
        <f ca="1">ROUND(C13*J36,0)</f>
        <v>5458</v>
      </c>
      <c r="K35" s="2064"/>
      <c r="L35" s="2063"/>
      <c r="M35" s="2063"/>
    </row>
    <row r="36" spans="1:18" ht="18" customHeight="1">
      <c r="A36" s="1635" t="s">
        <v>1888</v>
      </c>
      <c r="B36" s="784" t="s">
        <v>1767</v>
      </c>
      <c r="C36" s="53">
        <f ca="1">ROUND(C29*F36,1)</f>
        <v>642.1</v>
      </c>
      <c r="D36" s="3185" t="s">
        <v>1802</v>
      </c>
      <c r="E36" s="784" t="s">
        <v>1746</v>
      </c>
      <c r="F36" s="817">
        <f ca="1">INDIRECT("'数据-取费表'!Ak"&amp;$G$1)</f>
        <v>0.01</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64.2</v>
      </c>
      <c r="D37" s="3185" t="s">
        <v>1770</v>
      </c>
      <c r="E37" s="784" t="s">
        <v>1746</v>
      </c>
      <c r="F37" s="818">
        <f ca="1">INDIRECT("'数据-取费表'!Al"&amp;$G$1)</f>
        <v>1E-3</v>
      </c>
      <c r="G37" s="2048"/>
      <c r="H37" s="2063"/>
      <c r="I37" s="841" t="s">
        <v>1815</v>
      </c>
      <c r="J37" s="842"/>
      <c r="K37" s="2068"/>
      <c r="L37" s="2063"/>
      <c r="M37" s="2063"/>
    </row>
    <row r="38" spans="1:18" ht="18" customHeight="1" thickBot="1">
      <c r="A38" s="2516" t="s">
        <v>1890</v>
      </c>
      <c r="B38" s="2511" t="s">
        <v>665</v>
      </c>
      <c r="C38" s="2509">
        <f ca="1">ROUND(C5*F38,1)</f>
        <v>21.4</v>
      </c>
      <c r="D38" s="2510" t="s">
        <v>1773</v>
      </c>
      <c r="E38" s="2511" t="s">
        <v>1746</v>
      </c>
      <c r="F38" s="2507">
        <f ca="1">INDIRECT("'数据-取费表'!Am"&amp;$G$1)</f>
        <v>1.4999999999999999E-2</v>
      </c>
      <c r="G38" s="2048"/>
      <c r="H38" s="2063"/>
      <c r="I38" s="843" t="s">
        <v>1816</v>
      </c>
      <c r="J38" s="844"/>
      <c r="K38" s="2069"/>
      <c r="L38" s="2063"/>
      <c r="M38" s="2063"/>
    </row>
    <row r="39" spans="1:18" ht="24.6" customHeight="1" thickTop="1">
      <c r="A39" s="1815" t="s">
        <v>1775</v>
      </c>
      <c r="B39" s="2963" t="s">
        <v>2819</v>
      </c>
      <c r="C39" s="792">
        <f ca="1">C5-C30</f>
        <v>375</v>
      </c>
      <c r="D39" s="2513" t="s">
        <v>699</v>
      </c>
      <c r="E39" s="2514"/>
      <c r="F39" s="2515"/>
      <c r="G39" s="2048"/>
      <c r="H39" s="2063"/>
      <c r="I39" s="837" t="s">
        <v>1817</v>
      </c>
      <c r="J39" s="845">
        <f ca="1">ROUND(J35/C39,3)</f>
        <v>14.555</v>
      </c>
      <c r="K39" s="2069"/>
      <c r="L39" s="2063"/>
      <c r="M39" s="2063"/>
    </row>
    <row r="40" spans="1:18" ht="18" customHeight="1">
      <c r="A40" s="781" t="s">
        <v>1779</v>
      </c>
      <c r="B40" s="2218" t="s">
        <v>2299</v>
      </c>
      <c r="C40" s="783">
        <f ca="1">ROUND(C39*(1-((1+F42)/(1+F40))^F41)/(F40-F42),0)</f>
        <v>7168</v>
      </c>
      <c r="D40" s="814" t="s">
        <v>703</v>
      </c>
      <c r="E40" s="784" t="s">
        <v>2417</v>
      </c>
      <c r="F40" s="794">
        <f ca="1">INDIRECT("'数据-取费表'!I"&amp;$G$1)</f>
        <v>0.05</v>
      </c>
      <c r="G40" s="2048"/>
      <c r="H40" s="2048"/>
      <c r="I40" s="837" t="s">
        <v>1818</v>
      </c>
      <c r="J40" s="845">
        <f ca="1">1-J39</f>
        <v>-13.555</v>
      </c>
      <c r="K40" s="2069"/>
      <c r="L40" s="2048"/>
      <c r="M40" s="2048"/>
    </row>
    <row r="41" spans="1:18" ht="18" customHeight="1">
      <c r="A41" s="786"/>
      <c r="B41" s="787"/>
      <c r="C41" s="788"/>
      <c r="D41" s="821" t="s">
        <v>1807</v>
      </c>
      <c r="E41" s="784" t="s">
        <v>707</v>
      </c>
      <c r="F41" s="822">
        <v>37.24</v>
      </c>
      <c r="G41" s="2048"/>
      <c r="H41" s="1974"/>
      <c r="I41" s="843" t="s">
        <v>1819</v>
      </c>
      <c r="J41" s="846"/>
      <c r="K41" s="2068"/>
      <c r="L41" s="1974"/>
      <c r="M41" s="1974"/>
    </row>
    <row r="42" spans="1:18" ht="18" customHeight="1">
      <c r="A42" s="790"/>
      <c r="B42" s="791"/>
      <c r="C42" s="792"/>
      <c r="D42" s="816"/>
      <c r="E42" s="784" t="s">
        <v>1785</v>
      </c>
      <c r="F42" s="794">
        <f ca="1">INDIRECT("'数据-取费表'!v"&amp;$G$1)</f>
        <v>0.01</v>
      </c>
      <c r="G42" s="2048"/>
      <c r="H42" s="1974"/>
      <c r="I42" s="847" t="s">
        <v>1820</v>
      </c>
      <c r="J42" s="845">
        <f ca="1">ROUND(C13/C40,3)</f>
        <v>8.9580000000000002</v>
      </c>
      <c r="K42" s="2068"/>
      <c r="L42" s="1974"/>
      <c r="M42" s="1974"/>
    </row>
    <row r="43" spans="1:18" ht="18" customHeight="1" thickBot="1">
      <c r="A43" s="823" t="s">
        <v>1786</v>
      </c>
      <c r="B43" s="824" t="s">
        <v>1809</v>
      </c>
      <c r="C43" s="825">
        <f ca="1">ROUND(C40*10000/F43,0)</f>
        <v>530</v>
      </c>
      <c r="D43" s="826" t="s">
        <v>1810</v>
      </c>
      <c r="E43" s="827" t="s">
        <v>1811</v>
      </c>
      <c r="F43" s="828">
        <f ca="1">INDIRECT("'数据-取费表'!k"&amp;$G$1)</f>
        <v>135260.769</v>
      </c>
      <c r="G43" s="2048"/>
      <c r="H43" s="1974"/>
      <c r="I43" s="847" t="s">
        <v>1821</v>
      </c>
      <c r="J43" s="848">
        <f ca="1">1-J42</f>
        <v>-7.9580000000000002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-19278</v>
      </c>
      <c r="D46" s="2071"/>
      <c r="E46" s="2071"/>
      <c r="F46" s="2071"/>
      <c r="I46" s="2343" t="s">
        <v>2341</v>
      </c>
      <c r="J46" s="2344"/>
      <c r="K46" s="2345"/>
      <c r="L46" s="3110">
        <f>IF(OR(M47="住宅",D1="土地（套用方法）"),0,IF(L48&gt;J51,L60,J60))</f>
        <v>0</v>
      </c>
      <c r="O46" s="2359" t="s">
        <v>2408</v>
      </c>
      <c r="P46" s="1579"/>
      <c r="Q46" s="1590"/>
      <c r="R46" s="1579"/>
    </row>
    <row r="47" spans="1:18" s="2045" customFormat="1" ht="18" customHeight="1" thickBot="1">
      <c r="A47" s="2337">
        <v>1</v>
      </c>
      <c r="B47" s="2338" t="s">
        <v>634</v>
      </c>
      <c r="C47" s="2539">
        <f ca="1">C48+C52+C54</f>
        <v>0</v>
      </c>
      <c r="D47" s="2071"/>
      <c r="E47" s="2071"/>
      <c r="F47" s="2071"/>
      <c r="I47" s="3100" t="s">
        <v>2342</v>
      </c>
      <c r="J47" s="2346" t="s">
        <v>3033</v>
      </c>
      <c r="K47" s="3107" t="s">
        <v>2347</v>
      </c>
      <c r="L47" s="3111">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1869</v>
      </c>
      <c r="B48" s="2608" t="s">
        <v>2536</v>
      </c>
      <c r="C48" s="2339">
        <f ca="1">ROUND(F48*F50*F49*(1-F51)/10000,0)</f>
        <v>0</v>
      </c>
      <c r="D48" s="2340" t="s">
        <v>635</v>
      </c>
      <c r="E48" s="2341" t="s">
        <v>2294</v>
      </c>
      <c r="F48" s="2342"/>
      <c r="G48" s="2076"/>
      <c r="I48" s="3079" t="s">
        <v>2343</v>
      </c>
      <c r="J48" s="2347" t="s">
        <v>2348</v>
      </c>
      <c r="K48" s="3108" t="s">
        <v>2349</v>
      </c>
      <c r="L48" s="1894">
        <f ca="1">INDIRECT("'数据-取费表'!f"&amp;$G$1)</f>
        <v>40.24</v>
      </c>
      <c r="O48" s="2363" t="s">
        <v>2377</v>
      </c>
      <c r="P48" s="2364" t="s">
        <v>2403</v>
      </c>
      <c r="Q48" s="2365">
        <f ca="1">C40+J29</f>
        <v>7168</v>
      </c>
      <c r="R48" s="2364" t="s">
        <v>2378</v>
      </c>
    </row>
    <row r="49" spans="1:18" s="2045" customFormat="1" ht="18" customHeight="1" thickBot="1">
      <c r="A49" s="786"/>
      <c r="B49" s="787"/>
      <c r="C49" s="788"/>
      <c r="D49" s="789"/>
      <c r="E49" s="784" t="s">
        <v>1738</v>
      </c>
      <c r="F49" s="785">
        <f ca="1">F7</f>
        <v>3768</v>
      </c>
      <c r="G49" s="2076"/>
      <c r="H49" s="2079"/>
      <c r="I49" s="3079" t="s">
        <v>2344</v>
      </c>
      <c r="J49" s="2348"/>
      <c r="K49" s="3109" t="s">
        <v>2350</v>
      </c>
      <c r="L49" s="2349"/>
      <c r="O49" s="2363" t="s">
        <v>2379</v>
      </c>
      <c r="P49" s="2364" t="s">
        <v>2404</v>
      </c>
      <c r="Q49" s="2365" t="str">
        <f ca="1">J60</f>
        <v>0</v>
      </c>
      <c r="R49" s="2364" t="s">
        <v>2380</v>
      </c>
    </row>
    <row r="50" spans="1:18" s="2045" customFormat="1" ht="18" customHeight="1" thickBot="1">
      <c r="A50" s="786"/>
      <c r="B50" s="787"/>
      <c r="C50" s="788"/>
      <c r="D50" s="789"/>
      <c r="E50" s="784" t="s">
        <v>1739</v>
      </c>
      <c r="F50" s="785">
        <f ca="1">F8</f>
        <v>12</v>
      </c>
      <c r="G50" s="2081"/>
      <c r="H50" s="2079"/>
      <c r="I50" s="3079" t="s">
        <v>2345</v>
      </c>
      <c r="J50" s="3104">
        <f>SUMPRODUCT((I63:I65=J47)*(J62:L62=J48)*(J63:L65))</f>
        <v>60</v>
      </c>
      <c r="K50" s="3109" t="s">
        <v>2351</v>
      </c>
      <c r="L50" s="2349"/>
      <c r="O50" s="2366" t="s">
        <v>2381</v>
      </c>
      <c r="P50" s="2364" t="s">
        <v>2405</v>
      </c>
      <c r="Q50" s="2365">
        <f ca="1">C29</f>
        <v>64208</v>
      </c>
      <c r="R50" s="2364" t="s">
        <v>2378</v>
      </c>
    </row>
    <row r="51" spans="1:18" s="2045" customFormat="1" ht="18" customHeight="1" thickBot="1">
      <c r="A51" s="786"/>
      <c r="B51" s="787"/>
      <c r="C51" s="788"/>
      <c r="D51" s="789"/>
      <c r="E51" s="784" t="s">
        <v>639</v>
      </c>
      <c r="F51" s="2336"/>
      <c r="H51" s="2079"/>
      <c r="I51" s="3101" t="s">
        <v>2346</v>
      </c>
      <c r="J51" s="3105">
        <f>IF(J49="",J50,J49+J50-YEAR('数据-取费表'!B2))</f>
        <v>60</v>
      </c>
      <c r="K51" s="3079" t="s">
        <v>2352</v>
      </c>
      <c r="L51" s="3112">
        <f ca="1">ROUND(-PV(INDIRECT("'数据-取费表'!h"&amp;$G$1),L48,(C39-C13*J36),0),0)</f>
        <v>-93733</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2970</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2974</v>
      </c>
      <c r="J53" s="3106">
        <f ca="1">IF(M47="住宅",IF(D1="——",MAX(J51,L48),MAX(J51,L48-'数据-取费表'!B20)),IF(D1="——",MIN(J51,L48),MIN(J51,L48-'数据-取费表'!B20)))</f>
        <v>37.24</v>
      </c>
      <c r="K53" s="3471" t="s">
        <v>2962</v>
      </c>
      <c r="L53" s="3472"/>
      <c r="O53" s="2366" t="s">
        <v>2386</v>
      </c>
      <c r="P53" s="2364" t="s">
        <v>2387</v>
      </c>
      <c r="Q53" s="2365">
        <f ca="1">J53</f>
        <v>37.24</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7168</v>
      </c>
      <c r="R54" s="2368" t="s">
        <v>2390</v>
      </c>
    </row>
    <row r="55" spans="1:18" s="2045" customFormat="1" ht="18" customHeight="1" thickTop="1" thickBot="1">
      <c r="A55" s="797">
        <v>2</v>
      </c>
      <c r="B55" s="798" t="s">
        <v>643</v>
      </c>
      <c r="C55" s="799">
        <f ca="1">C13</f>
        <v>64208</v>
      </c>
      <c r="D55" s="795"/>
      <c r="E55" s="795"/>
      <c r="F55" s="800"/>
      <c r="I55" s="3115" t="s">
        <v>2353</v>
      </c>
      <c r="J55" s="3054" t="e">
        <f ca="1">ROUND(IF(J47="钢混",J57/J50,1-(1-2%)*(J50-J57)/J50),3)</f>
        <v>#VALUE!</v>
      </c>
      <c r="K55" s="3116" t="s">
        <v>2354</v>
      </c>
      <c r="L55" s="2351"/>
      <c r="O55" s="2369" t="s">
        <v>2409</v>
      </c>
      <c r="P55" s="1579"/>
      <c r="Q55" s="1590"/>
      <c r="R55" s="1579"/>
    </row>
    <row r="56" spans="1:18" s="2045" customFormat="1" ht="42.75" customHeight="1" thickBot="1">
      <c r="A56" s="1636"/>
      <c r="B56" s="2217" t="s">
        <v>2298</v>
      </c>
      <c r="C56" s="53">
        <f ca="1">C29</f>
        <v>64208</v>
      </c>
      <c r="D56" s="3185"/>
      <c r="E56" s="784"/>
      <c r="F56" s="809"/>
      <c r="I56" s="3117" t="s">
        <v>2355</v>
      </c>
      <c r="J56" s="3127" t="s">
        <v>1677</v>
      </c>
      <c r="K56" s="3079" t="s">
        <v>2360</v>
      </c>
      <c r="L56" s="1894" t="str">
        <f ca="1">IF(L48&lt;J51,"——",L48-J51)</f>
        <v>——</v>
      </c>
      <c r="O56" s="2360" t="s">
        <v>2373</v>
      </c>
      <c r="P56" s="2361" t="s">
        <v>2374</v>
      </c>
      <c r="Q56" s="2362" t="s">
        <v>2375</v>
      </c>
      <c r="R56" s="2361" t="s">
        <v>2376</v>
      </c>
    </row>
    <row r="57" spans="1:18" s="2045" customFormat="1" ht="28.5" customHeight="1" thickBot="1">
      <c r="A57" s="797" t="s">
        <v>1747</v>
      </c>
      <c r="B57" s="798" t="s">
        <v>650</v>
      </c>
      <c r="C57" s="799">
        <f ca="1">ROUND(C58+C63+C64+C65,0)</f>
        <v>723</v>
      </c>
      <c r="D57" s="26" t="s">
        <v>1749</v>
      </c>
      <c r="E57" s="3190"/>
      <c r="F57" s="56"/>
      <c r="I57" s="3118" t="s">
        <v>2356</v>
      </c>
      <c r="J57" s="3119" t="str">
        <f ca="1">IF(OR(M47="住宅",J51&lt;L48,J56="是"),"——",J51-L48)</f>
        <v>——</v>
      </c>
      <c r="K57" s="3079" t="s">
        <v>2361</v>
      </c>
      <c r="L57" s="1894" t="str">
        <f ca="1">IF(L48&lt;J51,"——",IF(L55="比较法",L49,IF(L55="基准地价",L50,L51)))</f>
        <v>——</v>
      </c>
      <c r="O57" s="2363" t="s">
        <v>2377</v>
      </c>
      <c r="P57" s="2364" t="s">
        <v>2403</v>
      </c>
      <c r="Q57" s="2365">
        <f ca="1">C40+J29</f>
        <v>7168</v>
      </c>
      <c r="R57" s="2364" t="s">
        <v>2378</v>
      </c>
    </row>
    <row r="58" spans="1:18" s="2045" customFormat="1" ht="28.5" customHeight="1" thickBot="1">
      <c r="A58" s="1635" t="s">
        <v>1823</v>
      </c>
      <c r="B58" s="784" t="s">
        <v>655</v>
      </c>
      <c r="C58" s="53">
        <f ca="1">ROUND(IF(项目基本情况!B11="自然人",C47*F58,C59+C60+C61),1)</f>
        <v>16.399999999999999</v>
      </c>
      <c r="D58" s="3186" t="s">
        <v>656</v>
      </c>
      <c r="E58" s="3185" t="s">
        <v>689</v>
      </c>
      <c r="F58" s="810" t="str">
        <f ca="1">IF(项目基本情况!B11="企业","",IF(INDIRECT("'数据-取费表'!c"&amp;$G$1)="住宅",5%,IF(F48*F49*F50/12/(1+'数据-取费表'!C42)&gt;20000,12%,7%)))</f>
        <v/>
      </c>
      <c r="I58" s="3118"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1830</v>
      </c>
      <c r="B59" s="784" t="s">
        <v>659</v>
      </c>
      <c r="C59" s="53">
        <f ca="1">ROUND(C47*F59/1.05,1)</f>
        <v>0</v>
      </c>
      <c r="D59" s="3185" t="s">
        <v>1755</v>
      </c>
      <c r="E59" s="784" t="s">
        <v>1746</v>
      </c>
      <c r="F59" s="809">
        <f t="shared" ref="F59:F65" si="0">F32</f>
        <v>9.8999999999999991E-2</v>
      </c>
      <c r="I59" s="3118" t="s">
        <v>2358</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1831</v>
      </c>
      <c r="B60" s="784" t="s">
        <v>1757</v>
      </c>
      <c r="C60" s="53">
        <f ca="1">IF(D60="按租金收入计税",ROUND(C47*F60,1),IF(D60="按房产原值计税",ROUND(C56*F60*0.7,1),INDIRECT("'数据-取费表'!Aj"&amp;$G$1)))</f>
        <v>0</v>
      </c>
      <c r="D60" s="3185" t="str">
        <f>D33</f>
        <v>按租金收入计税</v>
      </c>
      <c r="E60" s="784" t="s">
        <v>1746</v>
      </c>
      <c r="F60" s="809">
        <f t="shared" si="0"/>
        <v>0.12</v>
      </c>
      <c r="I60" s="3120" t="s">
        <v>2359</v>
      </c>
      <c r="J60" s="3121" t="str">
        <f ca="1">IF(OR(M47="住宅",J51&lt;L48,J56="是"),"0",ROUND(J59/(1+J52)^J53,0))</f>
        <v>0</v>
      </c>
      <c r="K60" s="3122" t="s">
        <v>2364</v>
      </c>
      <c r="L60" s="3121">
        <f ca="1">IF(OR(M47="住宅",L48&lt;J51),0,ROUND(L57*(L58/L59-1),0))</f>
        <v>0</v>
      </c>
      <c r="O60" s="2366" t="s">
        <v>2382</v>
      </c>
      <c r="P60" s="2364" t="s">
        <v>2391</v>
      </c>
      <c r="Q60" s="2367">
        <f>L52</f>
        <v>0</v>
      </c>
      <c r="R60" s="2368"/>
    </row>
    <row r="61" spans="1:18" s="2045" customFormat="1" ht="18" customHeight="1" thickBot="1">
      <c r="A61" s="1637" t="s">
        <v>1832</v>
      </c>
      <c r="B61" s="341" t="s">
        <v>667</v>
      </c>
      <c r="C61" s="54">
        <f ca="1">ROUND(F61*F62/10000,1)</f>
        <v>16.399999999999999</v>
      </c>
      <c r="D61" s="814" t="s">
        <v>668</v>
      </c>
      <c r="E61" s="784" t="s">
        <v>669</v>
      </c>
      <c r="F61" s="640">
        <f t="shared" si="0"/>
        <v>3</v>
      </c>
      <c r="K61" s="2072"/>
      <c r="O61" s="2366" t="s">
        <v>2384</v>
      </c>
      <c r="P61" s="2364" t="s">
        <v>2392</v>
      </c>
      <c r="Q61" s="2365" t="e">
        <f ca="1">L58</f>
        <v>#DIV/0!</v>
      </c>
      <c r="R61" s="2368" t="s">
        <v>2393</v>
      </c>
    </row>
    <row r="62" spans="1:18" s="2045" customFormat="1" ht="15.75" thickBot="1">
      <c r="A62" s="815"/>
      <c r="B62" s="793"/>
      <c r="C62" s="69"/>
      <c r="D62" s="816"/>
      <c r="E62" s="784" t="s">
        <v>673</v>
      </c>
      <c r="F62" s="785">
        <f t="shared" ca="1" si="0"/>
        <v>54694.8</v>
      </c>
      <c r="I62" s="3123" t="s">
        <v>2365</v>
      </c>
      <c r="J62" s="3124" t="s">
        <v>2366</v>
      </c>
      <c r="K62" s="3124" t="s">
        <v>2367</v>
      </c>
      <c r="L62" s="3124" t="s">
        <v>2348</v>
      </c>
      <c r="M62" s="3125" t="s">
        <v>2938</v>
      </c>
      <c r="O62" s="2366" t="s">
        <v>2386</v>
      </c>
      <c r="P62" s="2364" t="str">
        <f>K59</f>
        <v>建设期及建筑物耐用年限下的土地年期修正系数Kn</v>
      </c>
      <c r="Q62" s="2365" t="e">
        <f ca="1">L59</f>
        <v>#DIV/0!</v>
      </c>
      <c r="R62" s="2368" t="s">
        <v>2395</v>
      </c>
    </row>
    <row r="63" spans="1:18" s="2045" customFormat="1" ht="15.75" thickBot="1">
      <c r="A63" s="1635" t="s">
        <v>1888</v>
      </c>
      <c r="B63" s="784" t="s">
        <v>675</v>
      </c>
      <c r="C63" s="53">
        <f ca="1">ROUND(C56*F63,1)</f>
        <v>642.1</v>
      </c>
      <c r="D63" s="3185" t="s">
        <v>1802</v>
      </c>
      <c r="E63" s="784" t="s">
        <v>1746</v>
      </c>
      <c r="F63" s="817">
        <f t="shared" ca="1" si="0"/>
        <v>0.01</v>
      </c>
      <c r="I63" s="3123" t="s">
        <v>2368</v>
      </c>
      <c r="J63" s="3124">
        <v>70</v>
      </c>
      <c r="K63" s="3124">
        <v>50</v>
      </c>
      <c r="L63" s="3124">
        <v>80</v>
      </c>
      <c r="M63" s="3126">
        <v>0.02</v>
      </c>
      <c r="O63" s="2363" t="s">
        <v>2389</v>
      </c>
      <c r="P63" s="2364" t="s">
        <v>2406</v>
      </c>
      <c r="Q63" s="2365">
        <f ca="1">Q57+Q58</f>
        <v>7168</v>
      </c>
      <c r="R63" s="2368" t="s">
        <v>2390</v>
      </c>
    </row>
    <row r="64" spans="1:18" s="2045" customFormat="1" ht="16.5" thickBot="1">
      <c r="A64" s="1635" t="s">
        <v>1889</v>
      </c>
      <c r="B64" s="784" t="s">
        <v>678</v>
      </c>
      <c r="C64" s="53">
        <f ca="1">ROUND(C55*F64,1)</f>
        <v>64.2</v>
      </c>
      <c r="D64" s="3185" t="s">
        <v>679</v>
      </c>
      <c r="E64" s="784" t="s">
        <v>1746</v>
      </c>
      <c r="F64" s="818">
        <f t="shared" ca="1" si="0"/>
        <v>1E-3</v>
      </c>
      <c r="I64" s="3123" t="s">
        <v>2369</v>
      </c>
      <c r="J64" s="3124">
        <v>50</v>
      </c>
      <c r="K64" s="3124">
        <v>35</v>
      </c>
      <c r="L64" s="3124">
        <v>60</v>
      </c>
      <c r="M64" s="846">
        <v>0</v>
      </c>
      <c r="O64" s="2369" t="s">
        <v>2413</v>
      </c>
      <c r="P64" s="1579"/>
      <c r="Q64" s="1590"/>
      <c r="R64" s="1579"/>
    </row>
    <row r="65" spans="1:18" s="2045" customFormat="1" ht="15.75" thickBot="1">
      <c r="A65" s="1635" t="s">
        <v>1890</v>
      </c>
      <c r="B65" s="784" t="s">
        <v>665</v>
      </c>
      <c r="C65" s="53">
        <f ca="1">ROUND(C47*F65,1)</f>
        <v>0</v>
      </c>
      <c r="D65" s="3185" t="s">
        <v>682</v>
      </c>
      <c r="E65" s="784" t="s">
        <v>1746</v>
      </c>
      <c r="F65" s="794">
        <f t="shared" ca="1" si="0"/>
        <v>1.4999999999999999E-2</v>
      </c>
      <c r="I65" s="3123" t="s">
        <v>2370</v>
      </c>
      <c r="J65" s="3124">
        <v>40</v>
      </c>
      <c r="K65" s="3124">
        <v>30</v>
      </c>
      <c r="L65" s="3124">
        <v>50</v>
      </c>
      <c r="M65" s="3126">
        <v>0.02</v>
      </c>
      <c r="O65" s="2360" t="s">
        <v>2373</v>
      </c>
      <c r="P65" s="2361" t="s">
        <v>2374</v>
      </c>
      <c r="Q65" s="2362" t="s">
        <v>2375</v>
      </c>
      <c r="R65" s="2361" t="s">
        <v>2376</v>
      </c>
    </row>
    <row r="66" spans="1:18" s="2045" customFormat="1" ht="24.75" thickBot="1">
      <c r="A66" s="797" t="s">
        <v>1775</v>
      </c>
      <c r="B66" s="2964" t="s">
        <v>2819</v>
      </c>
      <c r="C66" s="799">
        <f ca="1">C47-C57</f>
        <v>-723</v>
      </c>
      <c r="D66" s="3186" t="s">
        <v>699</v>
      </c>
      <c r="E66" s="3189"/>
      <c r="F66" s="820"/>
      <c r="K66" s="2072"/>
      <c r="O66" s="2363" t="s">
        <v>2377</v>
      </c>
      <c r="P66" s="2364" t="s">
        <v>2403</v>
      </c>
      <c r="Q66" s="2365">
        <f ca="1">C40+J29</f>
        <v>7168</v>
      </c>
      <c r="R66" s="2364" t="s">
        <v>2378</v>
      </c>
    </row>
    <row r="67" spans="1:18" s="2045" customFormat="1" ht="20.25" thickBot="1">
      <c r="A67" s="781" t="s">
        <v>1779</v>
      </c>
      <c r="B67" s="2218" t="s">
        <v>2299</v>
      </c>
      <c r="C67" s="783">
        <f ca="1">ROUND(C66*(1-((1+F69)/(1+F67))^F68)/(F67-F69),0)</f>
        <v>-12110</v>
      </c>
      <c r="D67" s="814" t="s">
        <v>703</v>
      </c>
      <c r="E67" s="784" t="s">
        <v>704</v>
      </c>
      <c r="F67" s="794">
        <f ca="1">F40</f>
        <v>0.05</v>
      </c>
      <c r="K67" s="2072"/>
      <c r="O67" s="2363" t="s">
        <v>2379</v>
      </c>
      <c r="P67" s="2364" t="s">
        <v>2410</v>
      </c>
      <c r="Q67" s="2365">
        <f ca="1">L60</f>
        <v>0</v>
      </c>
      <c r="R67" s="2368" t="s">
        <v>2412</v>
      </c>
    </row>
    <row r="68" spans="1:18" ht="21.75" thickBot="1">
      <c r="A68" s="786"/>
      <c r="B68" s="787"/>
      <c r="C68" s="788"/>
      <c r="D68" s="821" t="s">
        <v>1807</v>
      </c>
      <c r="E68" s="784" t="s">
        <v>707</v>
      </c>
      <c r="F68" s="822">
        <f>F41</f>
        <v>37.24</v>
      </c>
      <c r="O68" s="2366" t="s">
        <v>2381</v>
      </c>
      <c r="P68" s="2364" t="s">
        <v>2411</v>
      </c>
      <c r="Q68" s="2370">
        <f ca="1">L51</f>
        <v>-93733</v>
      </c>
      <c r="R68" s="2371" t="s">
        <v>2414</v>
      </c>
    </row>
    <row r="69" spans="1:18" ht="20.25" thickBot="1">
      <c r="A69" s="790"/>
      <c r="B69" s="791"/>
      <c r="C69" s="792"/>
      <c r="D69" s="816"/>
      <c r="E69" s="784" t="s">
        <v>709</v>
      </c>
      <c r="F69" s="2336"/>
      <c r="O69" s="2366" t="s">
        <v>2382</v>
      </c>
      <c r="P69" s="2372" t="s">
        <v>2396</v>
      </c>
      <c r="Q69" s="2365">
        <f ca="1">ROUND(Q70-Q71*Q72,0)</f>
        <v>-5083</v>
      </c>
      <c r="R69" s="2368"/>
    </row>
    <row r="70" spans="1:18" ht="15.75" thickBot="1">
      <c r="A70" s="823" t="s">
        <v>1786</v>
      </c>
      <c r="B70" s="824" t="s">
        <v>1809</v>
      </c>
      <c r="C70" s="825">
        <f ca="1">ROUND(C67*10000/F70,0)</f>
        <v>-895</v>
      </c>
      <c r="D70" s="826" t="s">
        <v>1810</v>
      </c>
      <c r="E70" s="827" t="s">
        <v>1811</v>
      </c>
      <c r="F70" s="828">
        <f ca="1">F43</f>
        <v>135260.769</v>
      </c>
      <c r="O70" s="2366" t="s">
        <v>2397</v>
      </c>
      <c r="P70" s="2372" t="s">
        <v>2398</v>
      </c>
      <c r="Q70" s="2365">
        <f ca="1">C39</f>
        <v>375</v>
      </c>
      <c r="R70" s="2364" t="s">
        <v>2378</v>
      </c>
    </row>
    <row r="71" spans="1:18" ht="15.75" thickBot="1">
      <c r="O71" s="2366" t="s">
        <v>2399</v>
      </c>
      <c r="P71" s="2372" t="s">
        <v>2400</v>
      </c>
      <c r="Q71" s="2365">
        <f ca="1">C13</f>
        <v>64208</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7168</v>
      </c>
      <c r="R76" s="2368" t="s">
        <v>2390</v>
      </c>
    </row>
  </sheetData>
  <sheetProtection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9" sqref="P2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2036</v>
      </c>
      <c r="B1" s="3206"/>
      <c r="C1" s="3206"/>
      <c r="D1" s="3206"/>
      <c r="E1" s="3206"/>
      <c r="F1" s="3206"/>
      <c r="G1" s="3206"/>
      <c r="H1" s="3206"/>
      <c r="I1" s="3206"/>
      <c r="J1" s="3206"/>
      <c r="K1" s="3206"/>
      <c r="L1" s="3206"/>
      <c r="M1" s="3206"/>
      <c r="N1" s="3206"/>
      <c r="O1" s="3206"/>
      <c r="P1" s="3206"/>
      <c r="Q1" s="3206"/>
      <c r="R1" s="3206"/>
    </row>
    <row r="2" spans="1:18">
      <c r="A2" s="1793" t="s">
        <v>2038</v>
      </c>
      <c r="B2" s="1793"/>
      <c r="C2" s="1793"/>
      <c r="D2" s="1793"/>
      <c r="E2" s="1793"/>
      <c r="F2" s="1793"/>
      <c r="G2" s="1793"/>
      <c r="H2" s="1793"/>
      <c r="I2" s="1794"/>
      <c r="J2" s="1794"/>
      <c r="K2" s="1795" t="str">
        <f>"估价期日："&amp;TEXT(项目基本情况!D3,"yyyy年m月d日;;")</f>
        <v>估价期日：2019年5月21日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7" t="s">
        <v>2027</v>
      </c>
      <c r="B3" s="3207" t="s">
        <v>2728</v>
      </c>
      <c r="C3" s="3208" t="s">
        <v>2028</v>
      </c>
      <c r="D3" s="3207" t="s">
        <v>2732</v>
      </c>
      <c r="E3" s="3210" t="s">
        <v>2029</v>
      </c>
      <c r="F3" s="3210"/>
      <c r="G3" s="3210"/>
      <c r="H3" s="3210" t="s">
        <v>2030</v>
      </c>
      <c r="I3" s="3210"/>
      <c r="J3" s="3210"/>
      <c r="K3" s="3208" t="s">
        <v>2031</v>
      </c>
      <c r="L3" s="3208" t="s">
        <v>2032</v>
      </c>
      <c r="M3" s="3207" t="s">
        <v>2729</v>
      </c>
      <c r="N3" s="3209" t="str">
        <f>"（分摊）"&amp;项目基本情况!B16&amp;"国有建设用地使用权面积/㎡"</f>
        <v>（分摊）出让国有建设用地使用权面积/㎡</v>
      </c>
      <c r="O3" s="3207" t="s">
        <v>2061</v>
      </c>
      <c r="P3" s="3208" t="s">
        <v>2041</v>
      </c>
      <c r="Q3" s="3208" t="s">
        <v>2062</v>
      </c>
      <c r="R3" s="3208" t="s">
        <v>2033</v>
      </c>
    </row>
    <row r="4" spans="1:18" ht="36.75" customHeight="1">
      <c r="A4" s="3207"/>
      <c r="B4" s="3207"/>
      <c r="C4" s="3208"/>
      <c r="D4" s="3207"/>
      <c r="E4" s="2614" t="s">
        <v>2040</v>
      </c>
      <c r="F4" s="2614" t="s">
        <v>2741</v>
      </c>
      <c r="G4" s="2614" t="s">
        <v>2034</v>
      </c>
      <c r="H4" s="2614" t="s">
        <v>2035</v>
      </c>
      <c r="I4" s="2614" t="s">
        <v>2742</v>
      </c>
      <c r="J4" s="2614" t="s">
        <v>2034</v>
      </c>
      <c r="K4" s="3208"/>
      <c r="L4" s="3208"/>
      <c r="M4" s="3207"/>
      <c r="N4" s="3209"/>
      <c r="O4" s="3207"/>
      <c r="P4" s="3208"/>
      <c r="Q4" s="3208"/>
      <c r="R4" s="3208"/>
    </row>
    <row r="5" spans="1:18" ht="135" customHeight="1">
      <c r="A5" s="1929" t="s">
        <v>2652</v>
      </c>
      <c r="B5" s="2823" t="s">
        <v>2650</v>
      </c>
      <c r="C5" s="2613">
        <v>22</v>
      </c>
      <c r="D5" s="2612" t="s">
        <v>2651</v>
      </c>
      <c r="E5" s="1796" t="str">
        <f>项目基本情况!B12</f>
        <v>住宅用地（兼容商业）</v>
      </c>
      <c r="F5" s="2612">
        <v>258</v>
      </c>
      <c r="G5" s="1796" t="str">
        <f>项目基本情况!B13</f>
        <v>住宅、商业用地</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红线外七通、宗地红线内场地平整</v>
      </c>
      <c r="M5" s="1796">
        <f>IF(项目基本情况!B16="出让",项目基本情况!D20,"——")</f>
        <v>0</v>
      </c>
      <c r="N5" s="1796">
        <f>项目基本情况!C22</f>
        <v>200833.33</v>
      </c>
      <c r="O5" s="1796">
        <f>项目基本情况!C21</f>
        <v>507605.15100000001</v>
      </c>
      <c r="P5" s="1796">
        <f ca="1">结果表!E42</f>
        <v>7693</v>
      </c>
      <c r="Q5" s="1796">
        <f ca="1">结果表!D42</f>
        <v>3044</v>
      </c>
      <c r="R5" s="1797">
        <f ca="1">结果表!C42</f>
        <v>154493</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798">
        <f ca="1">结果表!O39</f>
        <v>154493</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8"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2063</v>
      </c>
      <c r="B1" s="3214"/>
      <c r="C1" s="3214"/>
      <c r="D1" s="3214"/>
    </row>
    <row r="2" spans="1:4" ht="47.25" customHeight="1">
      <c r="A2" s="3218" t="str">
        <f>"1.权利限制："&amp;项目基本情况!L24&amp;"未设定租赁等其他他项权利。"</f>
        <v>1.权利限制：根据估价对象《不动产权证书》——、《国有土地使用权》复印件，截至估价期日，估价对象抵押权未见登记。未设定租赁等其他他项权利。</v>
      </c>
      <c r="B2" s="3218"/>
      <c r="C2" s="3218"/>
      <c r="D2" s="3218"/>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7" t="s">
        <v>2064</v>
      </c>
      <c r="B5" s="3217"/>
      <c r="C5" s="3217"/>
      <c r="D5" s="3217"/>
    </row>
    <row r="6" spans="1:4">
      <c r="A6" s="3214" t="s">
        <v>2042</v>
      </c>
      <c r="B6" s="3214"/>
      <c r="C6" s="3214"/>
      <c r="D6" s="3214"/>
    </row>
    <row r="7" spans="1:4" ht="33" customHeight="1">
      <c r="A7" s="3214" t="s">
        <v>2573</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（1）根据估价对象《不动产权证书》——、《国有土地使用权》复印件，截至估价期日，估价对象抵押权未见登记。</v>
      </c>
      <c r="B11" s="3216"/>
      <c r="C11" s="3216"/>
      <c r="D11" s="3216"/>
    </row>
    <row r="12" spans="1:4" ht="168" customHeight="1">
      <c r="A12" s="3217" t="s">
        <v>2066</v>
      </c>
      <c r="B12" s="3217"/>
      <c r="C12" s="3217"/>
      <c r="D12" s="3217"/>
    </row>
    <row r="13" spans="1:4">
      <c r="A13" s="3215" t="s">
        <v>2743</v>
      </c>
      <c r="B13" s="3215"/>
      <c r="C13" s="3215"/>
      <c r="D13" s="3215"/>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2699</v>
      </c>
      <c r="B17" s="3214"/>
      <c r="C17" s="3214"/>
      <c r="D17" s="3214"/>
    </row>
    <row r="18" spans="1:4">
      <c r="A18" s="3214" t="s">
        <v>2691</v>
      </c>
      <c r="B18" s="3214"/>
      <c r="C18" s="3214"/>
      <c r="D18" s="3214"/>
    </row>
    <row r="19" spans="1:4">
      <c r="A19" s="2824" t="s">
        <v>2692</v>
      </c>
      <c r="B19" s="2824" t="s">
        <v>2693</v>
      </c>
      <c r="C19" s="2824" t="s">
        <v>2694</v>
      </c>
      <c r="D19" s="2824" t="s">
        <v>2695</v>
      </c>
    </row>
    <row r="20" spans="1:4">
      <c r="A20" s="2824" t="str">
        <f>项目基本情况!B4</f>
        <v>叶凌</v>
      </c>
      <c r="B20" s="2824">
        <f ca="1">项目基本情况!C4</f>
        <v>94010078</v>
      </c>
      <c r="C20" s="2826"/>
      <c r="D20" s="1786" t="s">
        <v>2700</v>
      </c>
    </row>
    <row r="21" spans="1:4">
      <c r="A21" s="2824" t="str">
        <f>项目基本情况!D4</f>
        <v>刘敬东</v>
      </c>
      <c r="B21" s="2824">
        <f ca="1">项目基本情况!E4</f>
        <v>2000110137</v>
      </c>
      <c r="C21" s="2826"/>
      <c r="D21" s="1786" t="s">
        <v>2701</v>
      </c>
    </row>
    <row r="23" spans="1:4">
      <c r="A23" s="3214" t="s">
        <v>2696</v>
      </c>
      <c r="B23" s="3214"/>
      <c r="C23" s="3214"/>
      <c r="D23" s="3214"/>
    </row>
    <row r="24" spans="1:4">
      <c r="A24" s="2824" t="s">
        <v>2692</v>
      </c>
      <c r="B24" s="2824" t="s">
        <v>2697</v>
      </c>
      <c r="C24" s="2824" t="s">
        <v>2694</v>
      </c>
      <c r="D24" s="2824" t="s">
        <v>2695</v>
      </c>
    </row>
    <row r="25" spans="1:4">
      <c r="A25" s="2827" t="s">
        <v>2698</v>
      </c>
      <c r="B25" s="2824" t="s">
        <v>951</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6" t="s">
        <v>53</v>
      </c>
      <c r="B15" s="3227" t="s">
        <v>845</v>
      </c>
      <c r="C15" s="3223"/>
    </row>
    <row r="16" spans="1:7" ht="14.25">
      <c r="A16" s="3226"/>
      <c r="B16" s="3224" t="s">
        <v>54</v>
      </c>
      <c r="C16" s="1168" t="s">
        <v>53</v>
      </c>
    </row>
    <row r="17" spans="1:3" ht="14.25">
      <c r="A17" s="3226"/>
      <c r="B17" s="3224"/>
      <c r="C17" s="1168" t="s">
        <v>55</v>
      </c>
    </row>
    <row r="18" spans="1:3" ht="14.25">
      <c r="A18" s="3226"/>
      <c r="B18" s="3224"/>
      <c r="C18" s="1168" t="s">
        <v>56</v>
      </c>
    </row>
    <row r="19" spans="1:3" ht="14.25">
      <c r="A19" s="3226"/>
      <c r="B19" s="3222" t="s">
        <v>57</v>
      </c>
      <c r="C19" s="3223"/>
    </row>
    <row r="20" spans="1:3" ht="14.25">
      <c r="A20" s="1169" t="s">
        <v>58</v>
      </c>
      <c r="B20" s="1170"/>
      <c r="C20" s="1171"/>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2" t="s">
        <v>836</v>
      </c>
    </row>
    <row r="25" spans="1:3" ht="14.25">
      <c r="A25" s="3225"/>
      <c r="B25" s="3229"/>
      <c r="C25" s="1172" t="s">
        <v>837</v>
      </c>
    </row>
    <row r="26" spans="1:3" ht="14.25">
      <c r="A26" s="3225"/>
      <c r="B26" s="3229"/>
      <c r="C26" s="1172" t="s">
        <v>838</v>
      </c>
    </row>
    <row r="27" spans="1:3" ht="14.25">
      <c r="A27" s="3225"/>
      <c r="B27" s="3229"/>
      <c r="C27" s="1172" t="s">
        <v>839</v>
      </c>
    </row>
    <row r="28" spans="1:3" ht="14.25">
      <c r="A28" s="3225"/>
      <c r="B28" s="3229"/>
      <c r="C28" s="1172" t="s">
        <v>840</v>
      </c>
    </row>
    <row r="29" spans="1:3" ht="14.25">
      <c r="A29" s="3225"/>
      <c r="B29" s="3229"/>
      <c r="C29" s="1172" t="s">
        <v>841</v>
      </c>
    </row>
    <row r="30" spans="1:3" ht="14.25">
      <c r="A30" s="3225"/>
      <c r="B30" s="3229"/>
      <c r="C30" s="1172" t="s">
        <v>842</v>
      </c>
    </row>
    <row r="31" spans="1:3" ht="14.25">
      <c r="A31" s="3225"/>
      <c r="B31" s="3229"/>
      <c r="C31" s="1172" t="s">
        <v>843</v>
      </c>
    </row>
    <row r="32" spans="1:3" ht="14.25">
      <c r="A32" s="3225"/>
      <c r="B32" s="3229"/>
      <c r="C32" s="1172" t="s">
        <v>1645</v>
      </c>
    </row>
    <row r="33" spans="1:3" ht="14.25">
      <c r="A33" s="3225"/>
      <c r="B33" s="3219" t="s">
        <v>1651</v>
      </c>
      <c r="C33" s="1172" t="s">
        <v>1646</v>
      </c>
    </row>
    <row r="34" spans="1:3" ht="14.25">
      <c r="A34" s="3225"/>
      <c r="B34" s="3220"/>
      <c r="C34" s="1177" t="s">
        <v>1647</v>
      </c>
    </row>
    <row r="35" spans="1:3" ht="14.25">
      <c r="A35" s="3225"/>
      <c r="B35" s="3220"/>
      <c r="C35" s="1178" t="s">
        <v>1648</v>
      </c>
    </row>
    <row r="36" spans="1:3" ht="14.25">
      <c r="A36" s="3225"/>
      <c r="B36" s="3220"/>
      <c r="C36" s="1178" t="s">
        <v>1649</v>
      </c>
    </row>
    <row r="37" spans="1:3" ht="14.25">
      <c r="A37" s="3225"/>
      <c r="B37" s="322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43614</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2977</v>
      </c>
      <c r="B14" s="3133">
        <f ca="1">IF(C14&lt;B2,"已过期",1120040230)</f>
        <v>1120040230</v>
      </c>
      <c r="C14" s="3137">
        <v>43835</v>
      </c>
      <c r="D14" s="3138" t="s">
        <v>2978</v>
      </c>
      <c r="E14" s="3133">
        <f ca="1">IF(F14&lt;B2,"已过期",98030020)</f>
        <v>98030020</v>
      </c>
      <c r="F14" s="3136">
        <v>47118</v>
      </c>
    </row>
    <row r="15" spans="1:6" ht="20.25" customHeight="1">
      <c r="A15" s="3133" t="s">
        <v>2572</v>
      </c>
      <c r="B15" s="3133">
        <f ca="1">IF(C15&lt;B2,"已过期",1120070085)</f>
        <v>1120070085</v>
      </c>
      <c r="C15" s="3137">
        <v>43814</v>
      </c>
      <c r="D15" s="3133" t="s">
        <v>2979</v>
      </c>
      <c r="E15" s="3133">
        <f ca="1">IF(F15&lt;B2,"已过期",2004110128)</f>
        <v>2004110128</v>
      </c>
      <c r="F15" s="3139">
        <v>47118</v>
      </c>
    </row>
    <row r="16" spans="1:6" ht="20.25" customHeight="1">
      <c r="A16" s="3133" t="s">
        <v>1922</v>
      </c>
      <c r="B16" s="3133">
        <f ca="1">IF(C16&lt;B2,"已过期",1120140022)</f>
        <v>1120140022</v>
      </c>
      <c r="C16" s="3135">
        <v>44029</v>
      </c>
      <c r="D16" s="3133" t="s">
        <v>2980</v>
      </c>
      <c r="E16" s="3133">
        <f ca="1">IF(F16&lt;B2,"已过期",2008110059)</f>
        <v>2008110059</v>
      </c>
      <c r="F16" s="3136">
        <v>47177</v>
      </c>
    </row>
    <row r="17" spans="1:7" ht="20.25" customHeight="1">
      <c r="A17" s="3133"/>
      <c r="B17" s="3133"/>
      <c r="C17" s="3135"/>
      <c r="D17" s="3138" t="s">
        <v>2981</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30" t="s">
        <v>1925</v>
      </c>
      <c r="B25" s="3230"/>
      <c r="C25" s="3230"/>
      <c r="D25" s="3230"/>
      <c r="E25" s="3230"/>
      <c r="F25" s="3230"/>
      <c r="G25" s="3230"/>
    </row>
    <row r="26" spans="1:7" ht="20.25" customHeight="1">
      <c r="A26" s="3231" t="s">
        <v>1926</v>
      </c>
      <c r="B26" s="3231"/>
      <c r="C26" s="3231"/>
      <c r="D26" s="3231" t="s">
        <v>1927</v>
      </c>
      <c r="E26" s="3231"/>
      <c r="F26" s="3231"/>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2939</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5" sqref="AA1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131</v>
      </c>
      <c r="C1" s="1537"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48" t="s">
        <v>2543</v>
      </c>
      <c r="R1" s="2547" t="s">
        <v>2537</v>
      </c>
      <c r="S1" s="6" t="s">
        <v>145</v>
      </c>
      <c r="T1" s="7" t="s">
        <v>146</v>
      </c>
      <c r="U1" s="6" t="s">
        <v>147</v>
      </c>
      <c r="V1" s="6" t="s">
        <v>148</v>
      </c>
      <c r="W1" s="1004" t="s">
        <v>873</v>
      </c>
    </row>
    <row r="2" spans="1:23">
      <c r="A2" s="8" t="s">
        <v>73</v>
      </c>
      <c r="B2" s="8" t="s">
        <v>149</v>
      </c>
      <c r="C2" s="1538"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38"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38"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8" t="s">
        <v>1713</v>
      </c>
      <c r="F7" s="9" t="s">
        <v>153</v>
      </c>
      <c r="H7" s="9" t="s">
        <v>104</v>
      </c>
      <c r="I7" s="9" t="s">
        <v>105</v>
      </c>
    </row>
    <row r="8" spans="1:23">
      <c r="A8" s="8" t="s">
        <v>106</v>
      </c>
      <c r="B8" s="8" t="s">
        <v>107</v>
      </c>
      <c r="C8" s="1538" t="s">
        <v>1714</v>
      </c>
      <c r="F8" s="9" t="s">
        <v>154</v>
      </c>
      <c r="H8" s="9"/>
      <c r="I8" s="9" t="s">
        <v>108</v>
      </c>
    </row>
    <row r="9" spans="1:23">
      <c r="A9" s="8" t="s">
        <v>109</v>
      </c>
      <c r="B9" s="8" t="s">
        <v>155</v>
      </c>
      <c r="C9" s="1538" t="s">
        <v>1715</v>
      </c>
      <c r="F9" s="9" t="s">
        <v>110</v>
      </c>
      <c r="H9" s="9"/>
    </row>
    <row r="10" spans="1:23">
      <c r="A10" s="8" t="s">
        <v>111</v>
      </c>
      <c r="B10" s="8" t="s">
        <v>156</v>
      </c>
      <c r="C10" s="1538" t="s">
        <v>1716</v>
      </c>
      <c r="F10" s="9" t="s">
        <v>6</v>
      </c>
    </row>
    <row r="11" spans="1:23">
      <c r="A11" s="8" t="s">
        <v>112</v>
      </c>
      <c r="B11" s="8" t="s">
        <v>157</v>
      </c>
      <c r="C11" s="1538" t="s">
        <v>1717</v>
      </c>
    </row>
    <row r="12" spans="1:23">
      <c r="A12" s="8" t="s">
        <v>113</v>
      </c>
      <c r="B12" s="8" t="s">
        <v>158</v>
      </c>
      <c r="C12" s="1538" t="s">
        <v>1718</v>
      </c>
    </row>
    <row r="13" spans="1:23">
      <c r="A13" s="8" t="s">
        <v>114</v>
      </c>
      <c r="B13" s="8" t="s">
        <v>159</v>
      </c>
      <c r="C13" s="1538" t="s">
        <v>1719</v>
      </c>
    </row>
    <row r="14" spans="1:23">
      <c r="A14" s="8" t="s">
        <v>115</v>
      </c>
      <c r="B14" s="8" t="s">
        <v>160</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2951</v>
      </c>
      <c r="C18" s="1541"/>
    </row>
    <row r="19" spans="1:3">
      <c r="A19" s="8" t="s">
        <v>120</v>
      </c>
      <c r="B19" s="3065" t="s">
        <v>2959</v>
      </c>
      <c r="C19" s="1541"/>
    </row>
    <row r="20" spans="1:3">
      <c r="A20" s="1145" t="s">
        <v>3054</v>
      </c>
      <c r="B20" s="3065" t="s">
        <v>3056</v>
      </c>
      <c r="C20" s="1541"/>
    </row>
    <row r="21" spans="1:3">
      <c r="A21" s="8" t="s">
        <v>121</v>
      </c>
      <c r="B21" s="8" t="s">
        <v>1640</v>
      </c>
      <c r="C21" s="1541"/>
    </row>
    <row r="22" spans="1:3">
      <c r="A22" s="8" t="s">
        <v>122</v>
      </c>
      <c r="B22" s="8" t="s">
        <v>1640</v>
      </c>
      <c r="C22" s="1541"/>
    </row>
    <row r="23" spans="1:3">
      <c r="A23" s="8" t="s">
        <v>123</v>
      </c>
      <c r="B23" s="8" t="s">
        <v>1640</v>
      </c>
      <c r="C23" s="1541"/>
    </row>
    <row r="24" spans="1:3">
      <c r="A24" s="8" t="s">
        <v>12</v>
      </c>
      <c r="B24" s="8" t="s">
        <v>1640</v>
      </c>
      <c r="C24" s="1541"/>
    </row>
    <row r="25" spans="1:3">
      <c r="A25" s="8" t="s">
        <v>124</v>
      </c>
      <c r="B25" s="8" t="s">
        <v>1640</v>
      </c>
      <c r="C25" s="1541"/>
    </row>
    <row r="26" spans="1:3">
      <c r="A26" s="8" t="s">
        <v>125</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香河万通房地产开发有限公司拟使用河北省廊坊市香河县周庄村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2"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21日，在规划利用条件下、设定土地开发程度为红线外“七通”、宗地内场地平整，设定用途为住宅、商业用地，剩余土地使用年限为的出让国有建设用地使用权价格。</v>
      </c>
      <c r="D53" s="1753"/>
      <c r="E53" s="1753"/>
    </row>
    <row r="54" spans="1:5">
      <c r="A54" s="3232"/>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2"/>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2"/>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2"/>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收益还原法</vt:lpstr>
      <vt:lpstr>住宅案例</vt:lpstr>
      <vt:lpstr>不动产收益法</vt:lpstr>
      <vt:lpstr>酒店收入计算</vt:lpstr>
      <vt:lpstr>成本逼近法</vt:lpstr>
      <vt:lpstr>不动产比较法-商业</vt:lpstr>
      <vt:lpstr>不动产比较法-办公</vt:lpstr>
      <vt:lpstr>不动产比较法-工业</vt:lpstr>
      <vt:lpstr>商业案例</vt:lpstr>
      <vt:lpstr>不动产比较法-车位</vt:lpstr>
      <vt:lpstr>不动产比较法-仓储</vt:lpstr>
      <vt:lpstr>典型户型修正</vt:lpstr>
      <vt:lpstr>存贷款利率</vt:lpstr>
      <vt:lpstr>不动产收益法 (2)</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2019-05-29T06:09:54Z</dcterms:modified>
</cp:coreProperties>
</file>