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897-城关中心在建\"/>
    </mc:Choice>
  </mc:AlternateContent>
  <xr:revisionPtr revIDLastSave="0" documentId="13_ncr:1_{F0DDAD9B-1037-4D29-B8B7-D00DC02E2105}" xr6:coauthVersionLast="47" xr6:coauthVersionMax="47"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表"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state="hidden" r:id="rId26"/>
    <sheet name="收益法 (元)" sheetId="67" state="hidden" r:id="rId27"/>
    <sheet name="收益法-酒店模型" sheetId="77" state="hidden" r:id="rId28"/>
    <sheet name="收益法（汇总）" sheetId="70" state="hidden" r:id="rId29"/>
    <sheet name="收益法车" sheetId="82" state="hidden" r:id="rId30"/>
    <sheet name="收益法机" sheetId="83"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9">收益法车!$A$1:$F$43,收益法车!$H$3:$M$29,收益法车!$A$46:$F$71,收益法车!$I$46:$N$65</definedName>
    <definedName name="_xlnm.Print_Area" localSheetId="30">收益法机!$A$1:$F$43,收益法机!$H$3:$M$29,收益法机!$A$46:$F$71,收益法机!$I$46:$N$65</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Y67" i="81" l="1"/>
  <c r="X69" i="81"/>
  <c r="V69" i="81"/>
  <c r="X66" i="81"/>
  <c r="X67" i="81" s="1"/>
  <c r="X65" i="81"/>
  <c r="T65" i="81"/>
  <c r="E46" i="39" s="1"/>
  <c r="W65" i="81"/>
  <c r="T64" i="81"/>
  <c r="E33" i="80" l="1"/>
  <c r="F33" i="80" s="1"/>
  <c r="N14" i="1" l="1"/>
  <c r="Y9" i="1"/>
  <c r="W9" i="1"/>
  <c r="V9" i="1"/>
  <c r="U9" i="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D22" i="83" l="1"/>
  <c r="D23" i="83"/>
  <c r="P61" i="83"/>
  <c r="P61" i="82"/>
  <c r="D22" i="82"/>
  <c r="D23" i="82"/>
  <c r="C11" i="21" l="1"/>
  <c r="K11" i="21"/>
  <c r="G116" i="21"/>
  <c r="F116" i="21"/>
  <c r="E116" i="21"/>
  <c r="D116" i="21"/>
  <c r="C116" i="21"/>
  <c r="D91" i="21"/>
  <c r="E91" i="21" s="1"/>
  <c r="F91" i="21" s="1"/>
  <c r="G91" i="21" s="1"/>
  <c r="D68" i="21"/>
  <c r="E68" i="21" s="1"/>
  <c r="F68" i="21" s="1"/>
  <c r="G68" i="21" s="1"/>
  <c r="H68" i="21" s="1"/>
  <c r="I68" i="21" s="1"/>
  <c r="J68" i="21" s="1"/>
  <c r="D66" i="21"/>
  <c r="F117" i="39"/>
  <c r="L14" i="1"/>
  <c r="D82" i="39"/>
  <c r="E82" i="39" s="1"/>
  <c r="I38" i="39"/>
  <c r="G38" i="39"/>
  <c r="E38" i="39"/>
  <c r="E7" i="39"/>
  <c r="E116" i="39"/>
  <c r="F116" i="39" s="1"/>
  <c r="D79" i="39"/>
  <c r="E79" i="39" s="1"/>
  <c r="F79" i="39" s="1"/>
  <c r="G79" i="39" s="1"/>
  <c r="H79" i="39" s="1"/>
  <c r="I79" i="39" s="1"/>
  <c r="J79" i="39" s="1"/>
  <c r="E70" i="39"/>
  <c r="F70" i="39" s="1"/>
  <c r="G70" i="39" s="1"/>
  <c r="H70" i="39" s="1"/>
  <c r="I70" i="39" s="1"/>
  <c r="I7" i="39"/>
  <c r="G7" i="39"/>
  <c r="I5" i="39"/>
  <c r="G5" i="39"/>
  <c r="E5" i="39"/>
  <c r="D21" i="80" l="1"/>
  <c r="F19" i="6" s="1"/>
  <c r="E21" i="80"/>
  <c r="F21" i="80"/>
  <c r="G21" i="80"/>
  <c r="H21" i="80"/>
  <c r="I20" i="80"/>
  <c r="C20" i="80" s="1"/>
  <c r="D30" i="80" s="1"/>
  <c r="F30" i="80" s="1"/>
  <c r="C19" i="80"/>
  <c r="C18" i="80"/>
  <c r="C4" i="80"/>
  <c r="C5" i="80"/>
  <c r="C6" i="80"/>
  <c r="C7" i="80"/>
  <c r="C8" i="80"/>
  <c r="C9" i="80"/>
  <c r="C10" i="80"/>
  <c r="C11" i="80"/>
  <c r="C12" i="80"/>
  <c r="C13" i="80"/>
  <c r="C14" i="80"/>
  <c r="C15" i="80"/>
  <c r="C16" i="80"/>
  <c r="C17" i="80"/>
  <c r="C3" i="80"/>
  <c r="I21" i="80" l="1"/>
  <c r="C21" i="80"/>
  <c r="D29" i="80" s="1"/>
  <c r="D3" i="4"/>
  <c r="G14" i="73"/>
  <c r="F14" i="73"/>
  <c r="E14" i="73"/>
  <c r="F29" i="80" l="1"/>
  <c r="F28" i="80" s="1"/>
  <c r="D28"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D31" i="80" l="1"/>
  <c r="F31" i="80" s="1"/>
  <c r="D34" i="80"/>
  <c r="D32" i="80"/>
  <c r="F32" i="80" s="1"/>
  <c r="F34" i="80" s="1"/>
  <c r="E34" i="80" s="1"/>
  <c r="E28" i="80"/>
  <c r="G15" i="73"/>
  <c r="F15" i="73"/>
  <c r="E15" i="73"/>
  <c r="G16" i="73"/>
  <c r="F16" i="73"/>
  <c r="E16" i="73"/>
  <c r="H34" i="80"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E68" i="7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AB34" i="71" s="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E34" i="71"/>
  <c r="B28" i="71"/>
  <c r="B27" i="71" s="1"/>
  <c r="B26" i="71" s="1"/>
  <c r="P28" i="71"/>
  <c r="E28" i="71" s="1"/>
  <c r="U68" i="71"/>
  <c r="Q28" i="71"/>
  <c r="C63" i="71"/>
  <c r="C64" i="71" s="1"/>
  <c r="T68" i="71"/>
  <c r="O68" i="71"/>
  <c r="D68" i="71"/>
  <c r="C67" i="71"/>
  <c r="D67" i="71" s="1"/>
  <c r="Q68" i="71"/>
  <c r="E71" i="71"/>
  <c r="E70" i="71"/>
  <c r="C75" i="71"/>
  <c r="D75" i="71" s="1"/>
  <c r="D76" i="71"/>
  <c r="E79" i="71"/>
  <c r="E78" i="71" s="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57" i="43"/>
  <c r="H25" i="40"/>
  <c r="J25" i="40"/>
  <c r="H29" i="39"/>
  <c r="AB29" i="39" s="1"/>
  <c r="J29" i="39"/>
  <c r="AC29" i="39" s="1"/>
  <c r="J18" i="36"/>
  <c r="AC18" i="36" s="1"/>
  <c r="H18" i="35"/>
  <c r="AB18" i="35" s="1"/>
  <c r="J18" i="35"/>
  <c r="W18" i="35" s="1"/>
  <c r="H21" i="37"/>
  <c r="F21" i="37"/>
  <c r="AA21" i="37" s="1"/>
  <c r="H21" i="34"/>
  <c r="AB21" i="34" s="1"/>
  <c r="H21" i="33"/>
  <c r="U21" i="33" s="1"/>
  <c r="F21" i="33"/>
  <c r="AA21" i="33" s="1"/>
  <c r="H1" i="69"/>
  <c r="AC25" i="40"/>
  <c r="W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s="1"/>
  <c r="Q25" i="36"/>
  <c r="Z25" i="36" s="1"/>
  <c r="Q24" i="36"/>
  <c r="Z24" i="36" s="1"/>
  <c r="H24" i="36"/>
  <c r="AB24" i="36" s="1"/>
  <c r="Q23" i="36"/>
  <c r="Z23" i="36"/>
  <c r="Q22" i="36"/>
  <c r="Z22" i="36"/>
  <c r="J22" i="36"/>
  <c r="AC22" i="36" s="1"/>
  <c r="Q20" i="36"/>
  <c r="Z20" i="36"/>
  <c r="Q16" i="36"/>
  <c r="Z16" i="36" s="1"/>
  <c r="Q14" i="36"/>
  <c r="Z14" i="36"/>
  <c r="Q13" i="36"/>
  <c r="Z13" i="36" s="1"/>
  <c r="Q12" i="36"/>
  <c r="Z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J25" i="35" s="1"/>
  <c r="B75" i="35"/>
  <c r="J24" i="35" s="1"/>
  <c r="AC24" i="35" s="1"/>
  <c r="B73" i="35"/>
  <c r="B57" i="35"/>
  <c r="F11" i="35" s="1"/>
  <c r="S11" i="35" s="1"/>
  <c r="B61" i="35"/>
  <c r="B59" i="35"/>
  <c r="F12" i="35" s="1"/>
  <c r="B131" i="34"/>
  <c r="B129" i="34"/>
  <c r="J46" i="34" s="1"/>
  <c r="AC46" i="34" s="1"/>
  <c r="B127" i="34"/>
  <c r="F45" i="34" s="1"/>
  <c r="S45" i="34" s="1"/>
  <c r="B99" i="34"/>
  <c r="B97" i="34"/>
  <c r="B95" i="34"/>
  <c r="H30" i="34" s="1"/>
  <c r="AB30" i="34" s="1"/>
  <c r="B93" i="34"/>
  <c r="H29" i="34" s="1"/>
  <c r="AB29" i="34" s="1"/>
  <c r="B75" i="34"/>
  <c r="B73" i="34"/>
  <c r="B71" i="34"/>
  <c r="J12" i="34" s="1"/>
  <c r="W12" i="34" s="1"/>
  <c r="B130" i="33"/>
  <c r="F46" i="33" s="1"/>
  <c r="AA46" i="33" s="1"/>
  <c r="B128" i="33"/>
  <c r="B126" i="33"/>
  <c r="B98" i="33"/>
  <c r="F31" i="33" s="1"/>
  <c r="S31" i="33" s="1"/>
  <c r="B96" i="33"/>
  <c r="H30" i="33" s="1"/>
  <c r="AB30" i="33" s="1"/>
  <c r="B94" i="33"/>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B130" i="21"/>
  <c r="B128" i="21"/>
  <c r="J45" i="21" s="1"/>
  <c r="W45" i="21" s="1"/>
  <c r="B126" i="21"/>
  <c r="B98" i="21"/>
  <c r="H31" i="21" s="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AC19" i="21" s="1"/>
  <c r="J26" i="21"/>
  <c r="W26" i="21"/>
  <c r="F26" i="21"/>
  <c r="S26" i="21" s="1"/>
  <c r="S41" i="21"/>
  <c r="F45" i="39"/>
  <c r="S45" i="39" s="1"/>
  <c r="J45" i="39"/>
  <c r="W45" i="39" s="1"/>
  <c r="J44" i="39"/>
  <c r="AC44" i="39" s="1"/>
  <c r="J35" i="39"/>
  <c r="AC35" i="39" s="1"/>
  <c r="F35" i="39"/>
  <c r="AA35" i="39" s="1"/>
  <c r="W25" i="37"/>
  <c r="W31" i="37"/>
  <c r="E103" i="37"/>
  <c r="F103" i="37" s="1"/>
  <c r="G103" i="37" s="1"/>
  <c r="H103" i="37" s="1"/>
  <c r="I103" i="37" s="1"/>
  <c r="J103" i="37" s="1"/>
  <c r="K103" i="37" s="1"/>
  <c r="L103" i="37" s="1"/>
  <c r="M103" i="37" s="1"/>
  <c r="F29" i="36"/>
  <c r="AA29" i="36" s="1"/>
  <c r="F16" i="36"/>
  <c r="AA16" i="36" s="1"/>
  <c r="J33" i="36"/>
  <c r="AC33" i="36" s="1"/>
  <c r="H22" i="35"/>
  <c r="W28" i="35"/>
  <c r="U31" i="35"/>
  <c r="W22" i="35"/>
  <c r="U34" i="35"/>
  <c r="F36" i="34"/>
  <c r="J35" i="34"/>
  <c r="H39" i="33"/>
  <c r="AB39" i="33"/>
  <c r="U33" i="33"/>
  <c r="U35" i="33"/>
  <c r="S40" i="33"/>
  <c r="W33" i="33"/>
  <c r="W39" i="33"/>
  <c r="H39" i="37"/>
  <c r="AB39" i="37" s="1"/>
  <c r="F11" i="40"/>
  <c r="AA11" i="40"/>
  <c r="H11" i="40"/>
  <c r="AB11" i="40" s="1"/>
  <c r="W8" i="40"/>
  <c r="U9" i="40"/>
  <c r="S34" i="40"/>
  <c r="U34" i="40"/>
  <c r="S38" i="40"/>
  <c r="F42" i="39"/>
  <c r="AA42" i="39" s="1"/>
  <c r="H39" i="39"/>
  <c r="U39" i="39" s="1"/>
  <c r="S38" i="39"/>
  <c r="E100" i="39"/>
  <c r="H19" i="39"/>
  <c r="F19" i="39"/>
  <c r="AA19" i="39" s="1"/>
  <c r="H17" i="39"/>
  <c r="AB17" i="39" s="1"/>
  <c r="F17" i="39"/>
  <c r="AA17" i="39" s="1"/>
  <c r="J23" i="40"/>
  <c r="AC23" i="40" s="1"/>
  <c r="F21" i="40"/>
  <c r="AA21" i="40" s="1"/>
  <c r="J21" i="40"/>
  <c r="W21" i="40" s="1"/>
  <c r="H42" i="39"/>
  <c r="AB42" i="39" s="1"/>
  <c r="J31" i="39"/>
  <c r="W31" i="39" s="1"/>
  <c r="F100" i="39"/>
  <c r="J19" i="39"/>
  <c r="AC19" i="39" s="1"/>
  <c r="J17" i="39"/>
  <c r="AC17" i="39" s="1"/>
  <c r="J27" i="39"/>
  <c r="AC27" i="39" s="1"/>
  <c r="U34" i="21"/>
  <c r="C25" i="39"/>
  <c r="H11" i="39"/>
  <c r="H32" i="33"/>
  <c r="AB32" i="33" s="1"/>
  <c r="H11" i="21"/>
  <c r="U11" i="21" s="1"/>
  <c r="H37" i="40"/>
  <c r="U37" i="40" s="1"/>
  <c r="H36" i="40"/>
  <c r="AB36" i="40" s="1"/>
  <c r="F35" i="40"/>
  <c r="AA35" i="40"/>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S41" i="33"/>
  <c r="G113" i="33"/>
  <c r="H113" i="33" s="1"/>
  <c r="I113" i="33" s="1"/>
  <c r="J113" i="33" s="1"/>
  <c r="K113" i="33" s="1"/>
  <c r="L113" i="33" s="1"/>
  <c r="M113" i="33" s="1"/>
  <c r="H37" i="33"/>
  <c r="AB37" i="33"/>
  <c r="H15" i="33"/>
  <c r="AB15" i="33" s="1"/>
  <c r="H11" i="33"/>
  <c r="F28" i="40"/>
  <c r="AA28" i="40"/>
  <c r="S42" i="34"/>
  <c r="AC38" i="34"/>
  <c r="AA38" i="34"/>
  <c r="J37" i="34"/>
  <c r="AC37" i="34" s="1"/>
  <c r="J11" i="33"/>
  <c r="W11" i="33" s="1"/>
  <c r="S28" i="34"/>
  <c r="J44" i="34"/>
  <c r="F44" i="34"/>
  <c r="S44" i="34" s="1"/>
  <c r="J10" i="35"/>
  <c r="AC10" i="35" s="1"/>
  <c r="J14" i="21"/>
  <c r="W14" i="21" s="1"/>
  <c r="H28" i="21"/>
  <c r="AB28" i="21" s="1"/>
  <c r="F28" i="21"/>
  <c r="AA28" i="21" s="1"/>
  <c r="J28" i="21"/>
  <c r="W28" i="21" s="1"/>
  <c r="J30" i="21"/>
  <c r="AC30" i="21" s="1"/>
  <c r="J44" i="21"/>
  <c r="AC44" i="21" s="1"/>
  <c r="H44" i="21"/>
  <c r="U44" i="21" s="1"/>
  <c r="F44" i="21"/>
  <c r="AA44" i="21" s="1"/>
  <c r="J46" i="2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J13" i="33"/>
  <c r="F13" i="33"/>
  <c r="S13" i="33" s="1"/>
  <c r="J29" i="33"/>
  <c r="H29" i="33"/>
  <c r="U29" i="33" s="1"/>
  <c r="F29" i="33"/>
  <c r="S29" i="33" s="1"/>
  <c r="J31" i="33"/>
  <c r="H31" i="33"/>
  <c r="H45" i="33"/>
  <c r="J45" i="33"/>
  <c r="W45" i="33" s="1"/>
  <c r="F45" i="33"/>
  <c r="AA45" i="33" s="1"/>
  <c r="J14" i="34"/>
  <c r="W14" i="34" s="1"/>
  <c r="F14" i="34"/>
  <c r="H14" i="34"/>
  <c r="F30" i="34"/>
  <c r="S30" i="34" s="1"/>
  <c r="J30" i="34"/>
  <c r="H32" i="34"/>
  <c r="F32" i="34"/>
  <c r="J32" i="34"/>
  <c r="W32" i="34" s="1"/>
  <c r="H46" i="34"/>
  <c r="F46" i="34"/>
  <c r="H11" i="35"/>
  <c r="AB11" i="35" s="1"/>
  <c r="J11" i="35"/>
  <c r="W11" i="35" s="1"/>
  <c r="AC11" i="35"/>
  <c r="J26" i="36"/>
  <c r="W26" i="36" s="1"/>
  <c r="H28" i="36"/>
  <c r="U28" i="36" s="1"/>
  <c r="H32" i="36"/>
  <c r="AB32" i="36" s="1"/>
  <c r="J32" i="36"/>
  <c r="W32" i="36" s="1"/>
  <c r="J11" i="36"/>
  <c r="AC11" i="36" s="1"/>
  <c r="H11" i="36"/>
  <c r="U11" i="36" s="1"/>
  <c r="F11" i="36"/>
  <c r="AA11" i="36" s="1"/>
  <c r="J13" i="36"/>
  <c r="F13" i="36"/>
  <c r="S13" i="36" s="1"/>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F30" i="33"/>
  <c r="J30" i="33"/>
  <c r="H44" i="33"/>
  <c r="J44" i="33"/>
  <c r="AC44" i="33"/>
  <c r="F44" i="33"/>
  <c r="S44" i="33" s="1"/>
  <c r="J46" i="33"/>
  <c r="AC46" i="33" s="1"/>
  <c r="H46" i="33"/>
  <c r="AB46" i="33"/>
  <c r="H13" i="34"/>
  <c r="U13" i="34" s="1"/>
  <c r="J13" i="34"/>
  <c r="W13" i="34" s="1"/>
  <c r="F13" i="34"/>
  <c r="AA13" i="34" s="1"/>
  <c r="J29" i="34"/>
  <c r="F29" i="34"/>
  <c r="S29" i="34" s="1"/>
  <c r="J31" i="34"/>
  <c r="AC31" i="34" s="1"/>
  <c r="H31" i="34"/>
  <c r="F31" i="34"/>
  <c r="S31" i="34" s="1"/>
  <c r="H45" i="34"/>
  <c r="U45" i="34" s="1"/>
  <c r="J45" i="34"/>
  <c r="W45" i="34"/>
  <c r="H47" i="34"/>
  <c r="U47" i="34" s="1"/>
  <c r="F47" i="34"/>
  <c r="S47" i="34" s="1"/>
  <c r="J47" i="34"/>
  <c r="AC47" i="34" s="1"/>
  <c r="F13" i="35"/>
  <c r="J13" i="35"/>
  <c r="AC13" i="35" s="1"/>
  <c r="H13" i="35"/>
  <c r="U13" i="35" s="1"/>
  <c r="W25" i="35"/>
  <c r="F25" i="35"/>
  <c r="S25" i="35" s="1"/>
  <c r="H25" i="35"/>
  <c r="AB25" i="35" s="1"/>
  <c r="J35" i="35"/>
  <c r="AC35" i="35" s="1"/>
  <c r="F35" i="35"/>
  <c r="AA35" i="35"/>
  <c r="H35" i="35"/>
  <c r="F25" i="36"/>
  <c r="S25" i="36" s="1"/>
  <c r="H25" i="36"/>
  <c r="AB25" i="36"/>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S13" i="39" s="1"/>
  <c r="H13" i="39"/>
  <c r="H14" i="40"/>
  <c r="AB14" i="40" s="1"/>
  <c r="J14" i="40"/>
  <c r="W14" i="40" s="1"/>
  <c r="F14" i="40"/>
  <c r="J14" i="37"/>
  <c r="J27" i="37"/>
  <c r="AC27" i="37" s="1"/>
  <c r="U46" i="33"/>
  <c r="AA14" i="33"/>
  <c r="J36" i="37"/>
  <c r="AC36" i="37" s="1"/>
  <c r="J10" i="36"/>
  <c r="AC10" i="36" s="1"/>
  <c r="W31" i="34"/>
  <c r="S45" i="33"/>
  <c r="AC28" i="21"/>
  <c r="BA586" i="3"/>
  <c r="F15" i="21"/>
  <c r="S15" i="21" s="1"/>
  <c r="J41" i="39"/>
  <c r="W41" i="39" s="1"/>
  <c r="W44" i="39"/>
  <c r="G544" i="3"/>
  <c r="G536" i="3"/>
  <c r="G535" i="3"/>
  <c r="G528" i="3"/>
  <c r="G527" i="3"/>
  <c r="G514" i="3"/>
  <c r="G508" i="3"/>
  <c r="G504" i="3"/>
  <c r="G500" i="3"/>
  <c r="G584" i="3"/>
  <c r="G580" i="3"/>
  <c r="G576" i="3"/>
  <c r="G568" i="3"/>
  <c r="G560" i="3"/>
  <c r="G554" i="3"/>
  <c r="G550" i="3"/>
  <c r="BL584" i="3"/>
  <c r="BL580" i="3"/>
  <c r="BL572" i="3"/>
  <c r="BL546" i="3"/>
  <c r="BL582" i="3"/>
  <c r="BL574" i="3"/>
  <c r="BL570" i="3"/>
  <c r="G529" i="3"/>
  <c r="BL514" i="3"/>
  <c r="G493" i="3"/>
  <c r="BA584" i="3"/>
  <c r="BA580" i="3"/>
  <c r="BA578" i="3"/>
  <c r="BA576" i="3"/>
  <c r="BA572" i="3"/>
  <c r="BA570" i="3"/>
  <c r="BA564" i="3"/>
  <c r="BA528" i="3"/>
  <c r="BA583" i="3"/>
  <c r="BA581" i="3"/>
  <c r="BA579" i="3"/>
  <c r="BA575" i="3"/>
  <c r="BA573" i="3"/>
  <c r="BA571" i="3"/>
  <c r="BA543" i="3"/>
  <c r="BA495" i="3"/>
  <c r="G583" i="3"/>
  <c r="G579" i="3"/>
  <c r="G577" i="3"/>
  <c r="G575" i="3"/>
  <c r="G571" i="3"/>
  <c r="G569" i="3"/>
  <c r="G567" i="3"/>
  <c r="G561" i="3"/>
  <c r="AC557" i="3"/>
  <c r="BQ557" i="3"/>
  <c r="BQ583" i="3"/>
  <c r="BL583" i="3" s="1"/>
  <c r="BQ581" i="3"/>
  <c r="BL581" i="3" s="1"/>
  <c r="BQ579" i="3"/>
  <c r="BL579" i="3" s="1"/>
  <c r="BQ577" i="3"/>
  <c r="BL577" i="3" s="1"/>
  <c r="BQ575" i="3"/>
  <c r="BL575" i="3" s="1"/>
  <c r="BQ573" i="3"/>
  <c r="BL573" i="3" s="1"/>
  <c r="AZ573" i="3" s="1"/>
  <c r="BQ571" i="3"/>
  <c r="BL571" i="3" s="1"/>
  <c r="BQ569" i="3"/>
  <c r="BQ567" i="3"/>
  <c r="BQ565" i="3"/>
  <c r="BQ563" i="3"/>
  <c r="BQ561" i="3"/>
  <c r="BQ559" i="3"/>
  <c r="G559" i="3"/>
  <c r="G555" i="3"/>
  <c r="G553" i="3"/>
  <c r="G545" i="3"/>
  <c r="G543" i="3"/>
  <c r="G537" i="3"/>
  <c r="BQ555" i="3"/>
  <c r="BQ553" i="3"/>
  <c r="BQ551" i="3"/>
  <c r="BQ549" i="3"/>
  <c r="BQ547" i="3"/>
  <c r="BQ545" i="3"/>
  <c r="BQ543" i="3"/>
  <c r="BQ541" i="3"/>
  <c r="BQ539" i="3"/>
  <c r="BQ537" i="3"/>
  <c r="BL537" i="3" s="1"/>
  <c r="BQ535" i="3"/>
  <c r="BQ533" i="3"/>
  <c r="BQ531" i="3"/>
  <c r="BQ529" i="3"/>
  <c r="BQ527" i="3"/>
  <c r="BQ525" i="3"/>
  <c r="BQ523" i="3"/>
  <c r="AC521" i="3"/>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W47" i="34"/>
  <c r="AA13" i="33"/>
  <c r="AC45" i="33"/>
  <c r="W44" i="33"/>
  <c r="F43" i="33"/>
  <c r="AA43" i="33" s="1"/>
  <c r="W15" i="34"/>
  <c r="AC15" i="34"/>
  <c r="W16" i="35"/>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AB44" i="39"/>
  <c r="U44" i="39"/>
  <c r="G100" i="39"/>
  <c r="H37" i="39"/>
  <c r="AC37" i="39"/>
  <c r="W37" i="39"/>
  <c r="H25" i="39"/>
  <c r="AB25" i="39" s="1"/>
  <c r="J25" i="39"/>
  <c r="AC25" i="39" s="1"/>
  <c r="F25" i="39"/>
  <c r="AA25" i="39" s="1"/>
  <c r="H41" i="39"/>
  <c r="AB41" i="39" s="1"/>
  <c r="S42"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12" i="3"/>
  <c r="G506" i="3"/>
  <c r="G498"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BA379" i="3"/>
  <c r="AZ379" i="3" s="1"/>
  <c r="BL380" i="3"/>
  <c r="AZ380" i="3" s="1"/>
  <c r="G381" i="3"/>
  <c r="BA383" i="3"/>
  <c r="AZ383" i="3" s="1"/>
  <c r="BL384" i="3"/>
  <c r="G385" i="3"/>
  <c r="BA387" i="3"/>
  <c r="BL388" i="3"/>
  <c r="G389" i="3"/>
  <c r="BA391" i="3"/>
  <c r="AZ391" i="3" s="1"/>
  <c r="BL392" i="3"/>
  <c r="G393" i="3"/>
  <c r="AZ341" i="3"/>
  <c r="G520" i="3"/>
  <c r="G17" i="3"/>
  <c r="BA17" i="3"/>
  <c r="BA15" i="3"/>
  <c r="BB5" i="3"/>
  <c r="E5" i="6" s="1"/>
  <c r="G509" i="3"/>
  <c r="U36" i="40"/>
  <c r="F83" i="43"/>
  <c r="H85" i="43" s="1"/>
  <c r="F50" i="43"/>
  <c r="H54" i="43" s="1"/>
  <c r="F72" i="43"/>
  <c r="H75" i="43" s="1"/>
  <c r="U17" i="39"/>
  <c r="S14" i="35"/>
  <c r="U35" i="21"/>
  <c r="G8"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71" i="3"/>
  <c r="F23" i="39"/>
  <c r="AA23" i="39" s="1"/>
  <c r="H27" i="36"/>
  <c r="U27" i="36" s="1"/>
  <c r="F27" i="36"/>
  <c r="AA27" i="36" s="1"/>
  <c r="H33" i="34"/>
  <c r="U33" i="34" s="1"/>
  <c r="F32" i="37"/>
  <c r="G96" i="37"/>
  <c r="H96" i="37" s="1"/>
  <c r="I96" i="37" s="1"/>
  <c r="J96" i="37" s="1"/>
  <c r="K96" i="37" s="1"/>
  <c r="L96" i="37" s="1"/>
  <c r="M96" i="37" s="1"/>
  <c r="F20" i="36"/>
  <c r="AA20" i="36" s="1"/>
  <c r="J33" i="34"/>
  <c r="AC33" i="34" s="1"/>
  <c r="H23" i="39"/>
  <c r="U23" i="39" s="1"/>
  <c r="D48" i="9"/>
  <c r="M52" i="9" s="1"/>
  <c r="K9" i="1"/>
  <c r="D93" i="9"/>
  <c r="K6" i="1"/>
  <c r="AP6" i="1" s="1"/>
  <c r="W26" i="33"/>
  <c r="W27" i="34"/>
  <c r="AC27" i="34"/>
  <c r="AB34" i="36"/>
  <c r="U34" i="36"/>
  <c r="AB33" i="36"/>
  <c r="U33" i="36"/>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AA27" i="40"/>
  <c r="U21" i="40"/>
  <c r="AB19" i="40"/>
  <c r="S43" i="39"/>
  <c r="S37" i="39"/>
  <c r="U35" i="39"/>
  <c r="F106" i="39"/>
  <c r="J21" i="39"/>
  <c r="W21" i="39" s="1"/>
  <c r="W19" i="39"/>
  <c r="S17"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S28" i="35"/>
  <c r="AB16" i="35"/>
  <c r="S20" i="35"/>
  <c r="AC20" i="35"/>
  <c r="S22" i="35"/>
  <c r="U14" i="35"/>
  <c r="AC9" i="35"/>
  <c r="W9" i="35"/>
  <c r="W13" i="35"/>
  <c r="F9" i="35"/>
  <c r="S9" i="35" s="1"/>
  <c r="H9" i="35"/>
  <c r="U9" i="35" s="1"/>
  <c r="AB40" i="37"/>
  <c r="S25" i="37"/>
  <c r="W27" i="37"/>
  <c r="U29" i="37"/>
  <c r="AB31" i="37"/>
  <c r="W30" i="37"/>
  <c r="S36" i="37"/>
  <c r="AA38" i="37"/>
  <c r="U32" i="37"/>
  <c r="W38" i="37"/>
  <c r="AC35" i="37"/>
  <c r="S37"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1" i="21"/>
  <c r="AA38" i="21"/>
  <c r="AA36" i="21"/>
  <c r="AC40" i="21"/>
  <c r="J15" i="21"/>
  <c r="W15" i="21" s="1"/>
  <c r="F77" i="21"/>
  <c r="G77" i="21" s="1"/>
  <c r="F23" i="21"/>
  <c r="S23" i="21" s="1"/>
  <c r="E85" i="2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AB31" i="40"/>
  <c r="S37" i="40"/>
  <c r="AB28" i="40"/>
  <c r="W28" i="40"/>
  <c r="W34" i="40"/>
  <c r="W19" i="40"/>
  <c r="W27" i="40"/>
  <c r="S36" i="40"/>
  <c r="W37" i="40"/>
  <c r="AC14" i="40"/>
  <c r="S13" i="40"/>
  <c r="S33" i="40"/>
  <c r="AA15" i="40"/>
  <c r="U11" i="40"/>
  <c r="S31" i="40"/>
  <c r="AB13" i="40"/>
  <c r="U15" i="40"/>
  <c r="AB17" i="40"/>
  <c r="U8" i="40"/>
  <c r="S8" i="40"/>
  <c r="AC41" i="39"/>
  <c r="W25" i="39"/>
  <c r="U13" i="39"/>
  <c r="AB13" i="39"/>
  <c r="AA13" i="39"/>
  <c r="S14" i="39"/>
  <c r="AA14" i="39"/>
  <c r="U43" i="39"/>
  <c r="AB43" i="39"/>
  <c r="AB11" i="39"/>
  <c r="U11" i="39"/>
  <c r="W17" i="39"/>
  <c r="AA45" i="39"/>
  <c r="AB39" i="39"/>
  <c r="U3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S32" i="34"/>
  <c r="AA32" i="34"/>
  <c r="U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W13" i="33"/>
  <c r="AC13" i="33"/>
  <c r="U15" i="33"/>
  <c r="S11" i="33"/>
  <c r="U37" i="33"/>
  <c r="AC28" i="33"/>
  <c r="S28" i="33"/>
  <c r="W9" i="33"/>
  <c r="W8" i="33"/>
  <c r="S44" i="21"/>
  <c r="U28" i="21"/>
  <c r="S45" i="21"/>
  <c r="F33" i="21"/>
  <c r="AA33" i="21" s="1"/>
  <c r="J33" i="21"/>
  <c r="AC33" i="21" s="1"/>
  <c r="H33" i="21"/>
  <c r="AB33" i="21" s="1"/>
  <c r="F37" i="21"/>
  <c r="AA37" i="21" s="1"/>
  <c r="AA26" i="21"/>
  <c r="U40" i="21"/>
  <c r="AB31" i="21"/>
  <c r="U31" i="21"/>
  <c r="U13" i="21"/>
  <c r="AB13" i="21"/>
  <c r="J37" i="21"/>
  <c r="W37" i="21" s="1"/>
  <c r="H15" i="21"/>
  <c r="AB15" i="21" s="1"/>
  <c r="U15" i="21"/>
  <c r="AC14" i="21"/>
  <c r="W30" i="21"/>
  <c r="H45" i="21"/>
  <c r="U45" i="21" s="1"/>
  <c r="F29" i="21"/>
  <c r="AA29" i="21" s="1"/>
  <c r="F13" i="21"/>
  <c r="AA13" i="21" s="1"/>
  <c r="AC38" i="21"/>
  <c r="H32" i="21"/>
  <c r="U32" i="21" s="1"/>
  <c r="H9" i="21"/>
  <c r="AB9" i="21" s="1"/>
  <c r="J9" i="21"/>
  <c r="W9" i="21" s="1"/>
  <c r="F32" i="21"/>
  <c r="AA32" i="21" s="1"/>
  <c r="AA31" i="21"/>
  <c r="W29" i="21"/>
  <c r="S9" i="21"/>
  <c r="AA9" i="21"/>
  <c r="K141" i="21"/>
  <c r="K144" i="21"/>
  <c r="K143" i="21"/>
  <c r="AB44" i="21"/>
  <c r="W13" i="21"/>
  <c r="AC45" i="21"/>
  <c r="F10" i="21"/>
  <c r="AA10" i="21" s="1"/>
  <c r="K145" i="21"/>
  <c r="W25" i="21"/>
  <c r="W31" i="21"/>
  <c r="AC26" i="21"/>
  <c r="S28"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D68" i="9"/>
  <c r="F54" i="9"/>
  <c r="J32" i="39"/>
  <c r="AC32" i="39" s="1"/>
  <c r="H32" i="39"/>
  <c r="AB32" i="39" s="1"/>
  <c r="AC17" i="37"/>
  <c r="S17" i="37"/>
  <c r="J19" i="37"/>
  <c r="W19" i="37" s="1"/>
  <c r="G75" i="37"/>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B27" i="33"/>
  <c r="G91" i="33"/>
  <c r="H91" i="33" s="1"/>
  <c r="I91" i="33" s="1"/>
  <c r="J91" i="33" s="1"/>
  <c r="K91" i="33" s="1"/>
  <c r="L91" i="33" s="1"/>
  <c r="M91" i="33" s="1"/>
  <c r="J27" i="33"/>
  <c r="W27" i="33" s="1"/>
  <c r="U25" i="33"/>
  <c r="AB25" i="33"/>
  <c r="G87" i="33"/>
  <c r="H87" i="33" s="1"/>
  <c r="I87" i="33" s="1"/>
  <c r="J87" i="33" s="1"/>
  <c r="K87" i="33" s="1"/>
  <c r="L87" i="33" s="1"/>
  <c r="M87" i="33" s="1"/>
  <c r="J25" i="33"/>
  <c r="AC25" i="33" s="1"/>
  <c r="AB23" i="33"/>
  <c r="U23" i="33"/>
  <c r="F23" i="33"/>
  <c r="G85" i="33"/>
  <c r="AA19" i="33"/>
  <c r="H19" i="33"/>
  <c r="H17" i="33"/>
  <c r="U17" i="33" s="1"/>
  <c r="F17" i="33"/>
  <c r="S17" i="33" s="1"/>
  <c r="W17" i="33"/>
  <c r="AC17" i="33"/>
  <c r="J23" i="21"/>
  <c r="AC23" i="21" s="1"/>
  <c r="F85" i="21"/>
  <c r="G85" i="21" s="1"/>
  <c r="H23" i="21"/>
  <c r="AB23" i="21" s="1"/>
  <c r="AP7" i="1"/>
  <c r="J63" i="37"/>
  <c r="K63" i="37" s="1"/>
  <c r="L63" i="37" s="1"/>
  <c r="M63" i="37" s="1"/>
  <c r="J11" i="37"/>
  <c r="AC11" i="37" s="1"/>
  <c r="J11" i="34"/>
  <c r="W11" i="34" s="1"/>
  <c r="AB36" i="33"/>
  <c r="W25" i="33"/>
  <c r="AB19" i="33"/>
  <c r="U19" i="33"/>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22" i="67"/>
  <c r="F7" i="73"/>
  <c r="F37" i="67"/>
  <c r="F4" i="73"/>
  <c r="E2" i="68"/>
  <c r="F43" i="15"/>
  <c r="F13" i="15"/>
  <c r="M23" i="15"/>
  <c r="M24" i="15"/>
  <c r="M23" i="67"/>
  <c r="B13" i="76"/>
  <c r="F16" i="15"/>
  <c r="F36" i="67"/>
  <c r="E13" i="76"/>
  <c r="L47" i="67"/>
  <c r="M28" i="15"/>
  <c r="E10" i="76"/>
  <c r="F37" i="15"/>
  <c r="M8" i="67"/>
  <c r="E2" i="69"/>
  <c r="L47" i="15"/>
  <c r="F6" i="73"/>
  <c r="F38" i="15"/>
  <c r="E9" i="76"/>
  <c r="F26" i="67"/>
  <c r="E7" i="76"/>
  <c r="J15" i="67"/>
  <c r="B11" i="76"/>
  <c r="B7" i="76"/>
  <c r="C76" i="15"/>
  <c r="B8" i="76"/>
  <c r="F6" i="67"/>
  <c r="F42" i="15"/>
  <c r="F42" i="67"/>
  <c r="F8" i="67"/>
  <c r="F5" i="73"/>
  <c r="L48" i="15"/>
  <c r="M26" i="67"/>
  <c r="M24" i="67"/>
  <c r="F6" i="15"/>
  <c r="E8" i="76"/>
  <c r="M6" i="15"/>
  <c r="F36" i="15"/>
  <c r="F8" i="15"/>
  <c r="AO13" i="1"/>
  <c r="M29" i="15"/>
  <c r="L48" i="67"/>
  <c r="F40" i="67"/>
  <c r="B12" i="76"/>
  <c r="F16" i="67"/>
  <c r="M6" i="67"/>
  <c r="F3" i="73"/>
  <c r="M9" i="67"/>
  <c r="F38" i="67"/>
  <c r="F13" i="67"/>
  <c r="E12" i="76"/>
  <c r="F20" i="31"/>
  <c r="F26" i="15"/>
  <c r="B9" i="76"/>
  <c r="M28" i="67"/>
  <c r="C76" i="67"/>
  <c r="M9" i="15"/>
  <c r="F9" i="67"/>
  <c r="E11" i="76"/>
  <c r="BL568" i="3" l="1"/>
  <c r="BA566" i="3"/>
  <c r="AZ566" i="3" s="1"/>
  <c r="BA563" i="3"/>
  <c r="BA560" i="3"/>
  <c r="U32" i="40"/>
  <c r="AB41" i="34"/>
  <c r="S30" i="37"/>
  <c r="G106" i="39"/>
  <c r="H106" i="39" s="1"/>
  <c r="I106" i="39" s="1"/>
  <c r="J106" i="39" s="1"/>
  <c r="K106" i="39" s="1"/>
  <c r="L106" i="39" s="1"/>
  <c r="M106" i="39" s="1"/>
  <c r="F32" i="39"/>
  <c r="AA32" i="39" s="1"/>
  <c r="F48" i="9"/>
  <c r="O52" i="9" s="1"/>
  <c r="F28" i="83"/>
  <c r="C28" i="83" s="1"/>
  <c r="F28" i="82"/>
  <c r="C28" i="82" s="1"/>
  <c r="F32" i="83"/>
  <c r="F60" i="83" s="1"/>
  <c r="M18" i="83"/>
  <c r="F32" i="82"/>
  <c r="F60" i="82" s="1"/>
  <c r="M18" i="82"/>
  <c r="AA32" i="37"/>
  <c r="S32" i="37"/>
  <c r="BE5" i="3"/>
  <c r="AZ378" i="3"/>
  <c r="BL515" i="3"/>
  <c r="BL523" i="3"/>
  <c r="BL531" i="3"/>
  <c r="BL569" i="3"/>
  <c r="AZ569" i="3" s="1"/>
  <c r="AB11" i="33"/>
  <c r="U11" i="33"/>
  <c r="BA568" i="3"/>
  <c r="BL564" i="3"/>
  <c r="BL562" i="3"/>
  <c r="BA562" i="3"/>
  <c r="BA561" i="3"/>
  <c r="AZ561" i="3" s="1"/>
  <c r="BL560" i="3"/>
  <c r="AZ560" i="3" s="1"/>
  <c r="BA559" i="3"/>
  <c r="BA558" i="3"/>
  <c r="AZ558" i="3" s="1"/>
  <c r="BL556" i="3"/>
  <c r="BA556" i="3"/>
  <c r="AZ556" i="3" s="1"/>
  <c r="BA553" i="3"/>
  <c r="BL552" i="3"/>
  <c r="BA549" i="3"/>
  <c r="AZ549" i="3" s="1"/>
  <c r="AA25" i="33"/>
  <c r="W32" i="33"/>
  <c r="AA31" i="33"/>
  <c r="AB28" i="33"/>
  <c r="W23" i="40"/>
  <c r="W43" i="33"/>
  <c r="S42" i="33"/>
  <c r="AC29" i="37"/>
  <c r="AA36" i="35"/>
  <c r="U24" i="36"/>
  <c r="AZ389" i="3"/>
  <c r="AB37" i="39"/>
  <c r="U37" i="39"/>
  <c r="W40" i="37"/>
  <c r="BL547" i="3"/>
  <c r="F14" i="21"/>
  <c r="H14" i="21"/>
  <c r="U14" i="21" s="1"/>
  <c r="H30" i="21"/>
  <c r="U30" i="21" s="1"/>
  <c r="F30" i="21"/>
  <c r="H46" i="21"/>
  <c r="U46" i="21" s="1"/>
  <c r="F46" i="21"/>
  <c r="H113" i="21"/>
  <c r="H37" i="21"/>
  <c r="U37" i="21" s="1"/>
  <c r="AB34" i="34"/>
  <c r="U34" i="34"/>
  <c r="AA15" i="37"/>
  <c r="S15" i="37"/>
  <c r="W12" i="37"/>
  <c r="AC12" i="37"/>
  <c r="AB19" i="39"/>
  <c r="U19" i="39"/>
  <c r="AC15" i="37"/>
  <c r="AA11" i="35"/>
  <c r="BL497" i="3"/>
  <c r="BL505" i="3"/>
  <c r="U46" i="34"/>
  <c r="AB46" i="34"/>
  <c r="AB22" i="35"/>
  <c r="U22" i="35"/>
  <c r="BA548" i="3"/>
  <c r="BA547" i="3"/>
  <c r="BA546" i="3"/>
  <c r="BA545" i="3"/>
  <c r="BA544" i="3"/>
  <c r="AZ544" i="3" s="1"/>
  <c r="BL542" i="3"/>
  <c r="AZ542" i="3" s="1"/>
  <c r="BL541" i="3"/>
  <c r="AZ541" i="3" s="1"/>
  <c r="BA541" i="3"/>
  <c r="BL540" i="3"/>
  <c r="BA540" i="3"/>
  <c r="BA539" i="3"/>
  <c r="BL538" i="3"/>
  <c r="BA538" i="3"/>
  <c r="AZ538" i="3" s="1"/>
  <c r="BA537" i="3"/>
  <c r="BL536" i="3"/>
  <c r="BA536" i="3"/>
  <c r="BA535" i="3"/>
  <c r="BL534" i="3"/>
  <c r="AZ534" i="3" s="1"/>
  <c r="BL533" i="3"/>
  <c r="AZ533" i="3" s="1"/>
  <c r="BA533" i="3"/>
  <c r="BL532" i="3"/>
  <c r="BA532" i="3"/>
  <c r="BL530" i="3"/>
  <c r="BA530" i="3"/>
  <c r="BA529" i="3"/>
  <c r="BL528" i="3"/>
  <c r="AZ528" i="3" s="1"/>
  <c r="BA527" i="3"/>
  <c r="BA526" i="3"/>
  <c r="BA525" i="3"/>
  <c r="BL524" i="3"/>
  <c r="BA524" i="3"/>
  <c r="AZ524" i="3" s="1"/>
  <c r="BA523" i="3"/>
  <c r="BL522" i="3"/>
  <c r="AZ522" i="3" s="1"/>
  <c r="BA522" i="3"/>
  <c r="BA521" i="3"/>
  <c r="BA520" i="3"/>
  <c r="AZ520" i="3" s="1"/>
  <c r="BL518" i="3"/>
  <c r="BA517" i="3"/>
  <c r="BL516" i="3"/>
  <c r="BA516" i="3"/>
  <c r="BA515" i="3"/>
  <c r="BA514" i="3"/>
  <c r="AZ514" i="3" s="1"/>
  <c r="BL513" i="3"/>
  <c r="BA513" i="3"/>
  <c r="BL512" i="3"/>
  <c r="BA512" i="3"/>
  <c r="BA511" i="3"/>
  <c r="BL510" i="3"/>
  <c r="BA510" i="3"/>
  <c r="BL508" i="3"/>
  <c r="BA508" i="3"/>
  <c r="AZ508" i="3" s="1"/>
  <c r="BL506" i="3"/>
  <c r="AZ506" i="3" s="1"/>
  <c r="BA505" i="3"/>
  <c r="BL504" i="3"/>
  <c r="BA504" i="3"/>
  <c r="AZ504" i="3" s="1"/>
  <c r="BA503" i="3"/>
  <c r="BL502" i="3"/>
  <c r="AZ502" i="3" s="1"/>
  <c r="BA502" i="3"/>
  <c r="BA501" i="3"/>
  <c r="BL500" i="3"/>
  <c r="BA500" i="3"/>
  <c r="BA499" i="3"/>
  <c r="BO5" i="3"/>
  <c r="BF5" i="3"/>
  <c r="BA498" i="3"/>
  <c r="AZ498" i="3" s="1"/>
  <c r="BS5" i="3"/>
  <c r="BA497" i="3"/>
  <c r="BL496" i="3"/>
  <c r="AZ496" i="3" s="1"/>
  <c r="BI5" i="3"/>
  <c r="BR5" i="3"/>
  <c r="BL494" i="3"/>
  <c r="BM5" i="3"/>
  <c r="F29" i="6" s="1"/>
  <c r="BH5" i="3"/>
  <c r="BA494" i="3"/>
  <c r="BD5" i="3"/>
  <c r="H5" i="3"/>
  <c r="G494" i="3"/>
  <c r="BL493" i="3"/>
  <c r="BP5" i="3"/>
  <c r="G29" i="6" s="1"/>
  <c r="BK5" i="3"/>
  <c r="BG5" i="3"/>
  <c r="BA493" i="3"/>
  <c r="BC5" i="3"/>
  <c r="AZ334" i="3"/>
  <c r="AZ318" i="3"/>
  <c r="AZ355" i="3"/>
  <c r="AZ342" i="3"/>
  <c r="AZ337" i="3"/>
  <c r="AZ376" i="3"/>
  <c r="AZ327" i="3"/>
  <c r="AZ309" i="3"/>
  <c r="BL499" i="3"/>
  <c r="BL511" i="3"/>
  <c r="AZ511" i="3" s="1"/>
  <c r="BL517" i="3"/>
  <c r="BL521" i="3"/>
  <c r="AZ521" i="3" s="1"/>
  <c r="BL525" i="3"/>
  <c r="AZ525" i="3" s="1"/>
  <c r="BL539" i="3"/>
  <c r="BL543" i="3"/>
  <c r="AZ543" i="3" s="1"/>
  <c r="BL553" i="3"/>
  <c r="BL565" i="3"/>
  <c r="AZ565" i="3" s="1"/>
  <c r="BL557" i="3"/>
  <c r="AZ557" i="3" s="1"/>
  <c r="AA44" i="33"/>
  <c r="U23" i="34"/>
  <c r="AB23" i="34"/>
  <c r="J27" i="21"/>
  <c r="F27" i="21"/>
  <c r="AA27" i="21" s="1"/>
  <c r="F36" i="39"/>
  <c r="J36" i="39"/>
  <c r="AC36" i="39" s="1"/>
  <c r="H36" i="39"/>
  <c r="BA582" i="3"/>
  <c r="AZ582" i="3" s="1"/>
  <c r="BL578" i="3"/>
  <c r="BA577" i="3"/>
  <c r="AZ577" i="3" s="1"/>
  <c r="BL576" i="3"/>
  <c r="BA574" i="3"/>
  <c r="AZ574" i="3" s="1"/>
  <c r="AZ320" i="3"/>
  <c r="BL501" i="3"/>
  <c r="BL509" i="3"/>
  <c r="AZ509" i="3" s="1"/>
  <c r="BL519" i="3"/>
  <c r="AZ519" i="3" s="1"/>
  <c r="BL527" i="3"/>
  <c r="G557" i="3"/>
  <c r="AZ570" i="3"/>
  <c r="J12" i="36"/>
  <c r="H12" i="36"/>
  <c r="AB38" i="40"/>
  <c r="U38" i="40"/>
  <c r="AC31" i="40"/>
  <c r="W31" i="40"/>
  <c r="AZ347" i="3"/>
  <c r="AZ329" i="3"/>
  <c r="BL495" i="3"/>
  <c r="BL503" i="3"/>
  <c r="BL529" i="3"/>
  <c r="BL535" i="3"/>
  <c r="AZ535" i="3" s="1"/>
  <c r="BL559" i="3"/>
  <c r="AZ572" i="3"/>
  <c r="H27" i="39"/>
  <c r="U27" i="39" s="1"/>
  <c r="F27" i="39"/>
  <c r="AA27" i="39" s="1"/>
  <c r="BA587" i="3"/>
  <c r="BA585" i="3"/>
  <c r="AA40" i="21"/>
  <c r="S40" i="21"/>
  <c r="AC40" i="33"/>
  <c r="W40" i="33"/>
  <c r="F26" i="33"/>
  <c r="H26" i="33"/>
  <c r="AC28" i="36"/>
  <c r="W28" i="36"/>
  <c r="J39" i="37"/>
  <c r="F39" i="37"/>
  <c r="S39" i="37" s="1"/>
  <c r="H31" i="39"/>
  <c r="AB31" i="39" s="1"/>
  <c r="F31" i="39"/>
  <c r="AA31" i="39" s="1"/>
  <c r="E123" i="39"/>
  <c r="F123" i="39" s="1"/>
  <c r="G123" i="39" s="1"/>
  <c r="H123" i="39" s="1"/>
  <c r="I123" i="39" s="1"/>
  <c r="J123" i="39" s="1"/>
  <c r="K123" i="39" s="1"/>
  <c r="L123" i="39" s="1"/>
  <c r="M123" i="39" s="1"/>
  <c r="F41" i="39"/>
  <c r="S41" i="39" s="1"/>
  <c r="S9" i="40"/>
  <c r="AA9" i="40"/>
  <c r="M20" i="15"/>
  <c r="M20" i="83"/>
  <c r="F34" i="83"/>
  <c r="F62" i="83" s="1"/>
  <c r="M20" i="82"/>
  <c r="F34" i="82"/>
  <c r="F62" i="82" s="1"/>
  <c r="G1" i="83"/>
  <c r="G1" i="82"/>
  <c r="AA3" i="71"/>
  <c r="G582" i="3"/>
  <c r="G574" i="3"/>
  <c r="G400" i="3"/>
  <c r="BA407" i="3"/>
  <c r="G410" i="3"/>
  <c r="G411" i="3"/>
  <c r="BL411" i="3"/>
  <c r="BL416" i="3"/>
  <c r="G420" i="3"/>
  <c r="BL424" i="3"/>
  <c r="G426" i="3"/>
  <c r="G427" i="3"/>
  <c r="G431" i="3"/>
  <c r="BA437" i="3"/>
  <c r="BL440" i="3"/>
  <c r="G441" i="3"/>
  <c r="BL441" i="3"/>
  <c r="BL442" i="3"/>
  <c r="BL444" i="3"/>
  <c r="G446" i="3"/>
  <c r="G447" i="3"/>
  <c r="BA448" i="3"/>
  <c r="BA450" i="3"/>
  <c r="G452" i="3"/>
  <c r="BA452" i="3"/>
  <c r="G456" i="3"/>
  <c r="BA456" i="3"/>
  <c r="BL458" i="3"/>
  <c r="G459" i="3"/>
  <c r="BA461" i="3"/>
  <c r="BL462" i="3"/>
  <c r="G474" i="3"/>
  <c r="BL350" i="3"/>
  <c r="BL269" i="3"/>
  <c r="G144" i="3"/>
  <c r="AC12" i="34"/>
  <c r="S31" i="35"/>
  <c r="AC27" i="35"/>
  <c r="U31" i="36"/>
  <c r="A15" i="62"/>
  <c r="B61" i="72" s="1"/>
  <c r="BL399" i="3"/>
  <c r="BA406" i="3"/>
  <c r="AZ406" i="3" s="1"/>
  <c r="BA413" i="3"/>
  <c r="BL413" i="3"/>
  <c r="BL419" i="3"/>
  <c r="BA433" i="3"/>
  <c r="AZ433" i="3" s="1"/>
  <c r="BL451" i="3"/>
  <c r="BL216" i="3"/>
  <c r="BL280" i="3"/>
  <c r="S44" i="39"/>
  <c r="F35" i="21"/>
  <c r="K10" i="1"/>
  <c r="BL16" i="3"/>
  <c r="AZ16" i="3" s="1"/>
  <c r="G398" i="3"/>
  <c r="G399" i="3"/>
  <c r="BA402" i="3"/>
  <c r="AZ402" i="3" s="1"/>
  <c r="G408" i="3"/>
  <c r="G409" i="3"/>
  <c r="BL409" i="3"/>
  <c r="G413" i="3"/>
  <c r="BA419" i="3"/>
  <c r="AZ419" i="3" s="1"/>
  <c r="BL423" i="3"/>
  <c r="BA424" i="3"/>
  <c r="G428" i="3"/>
  <c r="BL428" i="3"/>
  <c r="BL429" i="3"/>
  <c r="G434" i="3"/>
  <c r="BL437" i="3"/>
  <c r="G439" i="3"/>
  <c r="G440" i="3"/>
  <c r="BL443" i="3"/>
  <c r="BA444" i="3"/>
  <c r="AZ444" i="3" s="1"/>
  <c r="BA447" i="3"/>
  <c r="AZ447" i="3" s="1"/>
  <c r="BA451" i="3"/>
  <c r="G453" i="3"/>
  <c r="BA463" i="3"/>
  <c r="G465" i="3"/>
  <c r="G467" i="3"/>
  <c r="BA470" i="3"/>
  <c r="BL470" i="3"/>
  <c r="BL484" i="3"/>
  <c r="G486" i="3"/>
  <c r="BA491" i="3"/>
  <c r="BA319" i="3"/>
  <c r="AZ319" i="3" s="1"/>
  <c r="BA257" i="3"/>
  <c r="BA265" i="3"/>
  <c r="BL267" i="3"/>
  <c r="BA466" i="3"/>
  <c r="BL316" i="3"/>
  <c r="BL340" i="3"/>
  <c r="AZ340" i="3" s="1"/>
  <c r="BA354" i="3"/>
  <c r="BL381" i="3"/>
  <c r="AZ381" i="3" s="1"/>
  <c r="BA392" i="3"/>
  <c r="AZ392" i="3" s="1"/>
  <c r="BL208" i="3"/>
  <c r="G210" i="3"/>
  <c r="BA216" i="3"/>
  <c r="AZ216" i="3" s="1"/>
  <c r="BL224" i="3"/>
  <c r="G227" i="3"/>
  <c r="G229" i="3"/>
  <c r="BA233" i="3"/>
  <c r="AZ233" i="3" s="1"/>
  <c r="BL233" i="3"/>
  <c r="G235" i="3"/>
  <c r="BA249" i="3"/>
  <c r="BL249" i="3"/>
  <c r="BL252" i="3"/>
  <c r="BA253" i="3"/>
  <c r="G258" i="3"/>
  <c r="BL262" i="3"/>
  <c r="BL263" i="3"/>
  <c r="G264" i="3"/>
  <c r="BA270" i="3"/>
  <c r="G273" i="3"/>
  <c r="BA274" i="3"/>
  <c r="AZ274" i="3" s="1"/>
  <c r="BL274" i="3"/>
  <c r="G277" i="3"/>
  <c r="BL278" i="3"/>
  <c r="BA280" i="3"/>
  <c r="AZ280" i="3" s="1"/>
  <c r="G282" i="3"/>
  <c r="BA286" i="3"/>
  <c r="BL286" i="3"/>
  <c r="BA294" i="3"/>
  <c r="G297" i="3"/>
  <c r="BL123" i="3"/>
  <c r="AZ123" i="3" s="1"/>
  <c r="G130" i="3"/>
  <c r="BA133" i="3"/>
  <c r="AZ133" i="3" s="1"/>
  <c r="BL133" i="3"/>
  <c r="G136" i="3"/>
  <c r="BA145" i="3"/>
  <c r="G146" i="3"/>
  <c r="BA453" i="3"/>
  <c r="BA455" i="3"/>
  <c r="AZ455" i="3" s="1"/>
  <c r="G457" i="3"/>
  <c r="G458" i="3"/>
  <c r="BA458" i="3"/>
  <c r="G462" i="3"/>
  <c r="BA462" i="3"/>
  <c r="AZ462" i="3" s="1"/>
  <c r="BA465" i="3"/>
  <c r="AZ465" i="3" s="1"/>
  <c r="G468" i="3"/>
  <c r="BA473" i="3"/>
  <c r="BL473" i="3"/>
  <c r="BL474" i="3"/>
  <c r="G475" i="3"/>
  <c r="BA477" i="3"/>
  <c r="G481" i="3"/>
  <c r="BA482" i="3"/>
  <c r="BA484" i="3"/>
  <c r="G488" i="3"/>
  <c r="G489" i="3"/>
  <c r="BA489" i="3"/>
  <c r="G492" i="3"/>
  <c r="G343" i="3"/>
  <c r="G347" i="3"/>
  <c r="BA348" i="3"/>
  <c r="BA350" i="3"/>
  <c r="BL359" i="3"/>
  <c r="AZ359" i="3" s="1"/>
  <c r="BL367" i="3"/>
  <c r="BL375" i="3"/>
  <c r="AZ375" i="3" s="1"/>
  <c r="BA385" i="3"/>
  <c r="BA386" i="3"/>
  <c r="AZ386" i="3" s="1"/>
  <c r="BA212" i="3"/>
  <c r="G216" i="3"/>
  <c r="G218" i="3"/>
  <c r="BL222" i="3"/>
  <c r="BL223" i="3"/>
  <c r="G224" i="3"/>
  <c r="BA229" i="3"/>
  <c r="BL229" i="3"/>
  <c r="BA231" i="3"/>
  <c r="BL231" i="3"/>
  <c r="G233" i="3"/>
  <c r="G241" i="3"/>
  <c r="BA248" i="3"/>
  <c r="G251" i="3"/>
  <c r="G255" i="3"/>
  <c r="G256" i="3"/>
  <c r="BL260" i="3"/>
  <c r="G262" i="3"/>
  <c r="BA267" i="3"/>
  <c r="BA269" i="3"/>
  <c r="AZ269" i="3" s="1"/>
  <c r="BL272" i="3"/>
  <c r="G280" i="3"/>
  <c r="BA283" i="3"/>
  <c r="G286" i="3"/>
  <c r="G292" i="3"/>
  <c r="BA293" i="3"/>
  <c r="BA126" i="3"/>
  <c r="BA132" i="3"/>
  <c r="AZ132" i="3" s="1"/>
  <c r="BL139" i="3"/>
  <c r="AZ139" i="3" s="1"/>
  <c r="G140" i="3"/>
  <c r="BL141" i="3"/>
  <c r="BL143" i="3"/>
  <c r="AZ143" i="3" s="1"/>
  <c r="BL154" i="3"/>
  <c r="G156" i="3"/>
  <c r="AA18" i="36"/>
  <c r="S18" i="36"/>
  <c r="X31" i="71"/>
  <c r="D46" i="71"/>
  <c r="C47" i="71"/>
  <c r="D47" i="71" s="1"/>
  <c r="T72" i="71"/>
  <c r="D72" i="71"/>
  <c r="BA331" i="3"/>
  <c r="AZ331" i="3" s="1"/>
  <c r="BA335" i="3"/>
  <c r="AZ335" i="3" s="1"/>
  <c r="BA339" i="3"/>
  <c r="AZ339" i="3" s="1"/>
  <c r="BA366" i="3"/>
  <c r="AZ366" i="3" s="1"/>
  <c r="G392" i="3"/>
  <c r="BL395" i="3"/>
  <c r="G397" i="3"/>
  <c r="BL211" i="3"/>
  <c r="G214" i="3"/>
  <c r="BA218" i="3"/>
  <c r="BL218" i="3"/>
  <c r="BA220" i="3"/>
  <c r="BL220" i="3"/>
  <c r="BL221" i="3"/>
  <c r="G222" i="3"/>
  <c r="BA225" i="3"/>
  <c r="BA228" i="3"/>
  <c r="BL230" i="3"/>
  <c r="G231" i="3"/>
  <c r="BA235" i="3"/>
  <c r="AZ235" i="3" s="1"/>
  <c r="BL237" i="3"/>
  <c r="BL238" i="3"/>
  <c r="G239" i="3"/>
  <c r="G246" i="3"/>
  <c r="BA247" i="3"/>
  <c r="AZ247" i="3" s="1"/>
  <c r="BL247" i="3"/>
  <c r="BA251" i="3"/>
  <c r="BL251" i="3"/>
  <c r="G260" i="3"/>
  <c r="G267" i="3"/>
  <c r="G269" i="3"/>
  <c r="BL283" i="3"/>
  <c r="BL284" i="3"/>
  <c r="G285" i="3"/>
  <c r="BL289" i="3"/>
  <c r="G290" i="3"/>
  <c r="G295" i="3"/>
  <c r="BA298" i="3"/>
  <c r="AZ298" i="3" s="1"/>
  <c r="BA301" i="3"/>
  <c r="BA116" i="3"/>
  <c r="AZ116" i="3" s="1"/>
  <c r="BA121" i="3"/>
  <c r="AZ121" i="3" s="1"/>
  <c r="BL121" i="3"/>
  <c r="BA125" i="3"/>
  <c r="G128" i="3"/>
  <c r="BA129" i="3"/>
  <c r="BA134" i="3"/>
  <c r="BL135" i="3"/>
  <c r="AZ135" i="3" s="1"/>
  <c r="G143" i="3"/>
  <c r="G150" i="3"/>
  <c r="G154" i="3"/>
  <c r="G164" i="3"/>
  <c r="BL169" i="3"/>
  <c r="AB25" i="40"/>
  <c r="U25" i="40"/>
  <c r="D63" i="71"/>
  <c r="X34" i="71"/>
  <c r="AB35" i="71"/>
  <c r="C51" i="71"/>
  <c r="D50" i="71"/>
  <c r="P68" i="71"/>
  <c r="E67" i="71"/>
  <c r="Y27" i="71"/>
  <c r="Z27" i="71" s="1"/>
  <c r="BL173" i="3"/>
  <c r="BL186" i="3"/>
  <c r="BA188" i="3"/>
  <c r="AZ188" i="3" s="1"/>
  <c r="BL195" i="3"/>
  <c r="AZ195" i="3" s="1"/>
  <c r="BA197" i="3"/>
  <c r="G206" i="3"/>
  <c r="G19" i="3"/>
  <c r="BL24" i="3"/>
  <c r="BA26" i="3"/>
  <c r="G28" i="3"/>
  <c r="BL28" i="3"/>
  <c r="BA29" i="3"/>
  <c r="G32" i="3"/>
  <c r="G33" i="3"/>
  <c r="BA33" i="3"/>
  <c r="BA47" i="3"/>
  <c r="BL47" i="3"/>
  <c r="G50" i="3"/>
  <c r="BA65" i="3"/>
  <c r="BL67" i="3"/>
  <c r="BA70" i="3"/>
  <c r="BL86" i="3"/>
  <c r="G88" i="3"/>
  <c r="BL91" i="3"/>
  <c r="BA94" i="3"/>
  <c r="BA97" i="3"/>
  <c r="BA105" i="3"/>
  <c r="J51" i="82"/>
  <c r="J51" i="83"/>
  <c r="C31" i="71"/>
  <c r="X25" i="71"/>
  <c r="AA35" i="71"/>
  <c r="Y35" i="71"/>
  <c r="Z35" i="71" s="1"/>
  <c r="X36" i="71"/>
  <c r="S68" i="71"/>
  <c r="V68" i="71"/>
  <c r="S76" i="71"/>
  <c r="C23" i="71"/>
  <c r="B22" i="71"/>
  <c r="B21" i="71" s="1"/>
  <c r="B20" i="71" s="1"/>
  <c r="BA157" i="3"/>
  <c r="BL157" i="3"/>
  <c r="BL159" i="3"/>
  <c r="AZ159" i="3" s="1"/>
  <c r="G172" i="3"/>
  <c r="BL205" i="3"/>
  <c r="BL23" i="3"/>
  <c r="BA25" i="3"/>
  <c r="BL35" i="3"/>
  <c r="BA40" i="3"/>
  <c r="BL44" i="3"/>
  <c r="G64" i="3"/>
  <c r="G73" i="3"/>
  <c r="BL76" i="3"/>
  <c r="BL82" i="3"/>
  <c r="BL83" i="3"/>
  <c r="G92" i="3"/>
  <c r="BA100" i="3"/>
  <c r="G103" i="3"/>
  <c r="BA109" i="3"/>
  <c r="J51" i="15"/>
  <c r="Y26" i="71"/>
  <c r="Z26" i="71" s="1"/>
  <c r="AB36" i="71"/>
  <c r="AA37" i="71"/>
  <c r="C59" i="71"/>
  <c r="B63" i="71"/>
  <c r="B64" i="71" s="1"/>
  <c r="S64" i="71" s="1"/>
  <c r="G152" i="3"/>
  <c r="BA156" i="3"/>
  <c r="AZ156" i="3" s="1"/>
  <c r="G159" i="3"/>
  <c r="BL163" i="3"/>
  <c r="AZ163" i="3" s="1"/>
  <c r="G170" i="3"/>
  <c r="G174" i="3"/>
  <c r="BL181" i="3"/>
  <c r="BL183" i="3"/>
  <c r="AZ183" i="3" s="1"/>
  <c r="BA186" i="3"/>
  <c r="G190" i="3"/>
  <c r="BA190" i="3"/>
  <c r="G198" i="3"/>
  <c r="BA201" i="3"/>
  <c r="BL201" i="3"/>
  <c r="BL203" i="3"/>
  <c r="AZ203" i="3" s="1"/>
  <c r="BA204" i="3"/>
  <c r="AZ204" i="3" s="1"/>
  <c r="G18" i="3"/>
  <c r="BA18" i="3"/>
  <c r="G21" i="3"/>
  <c r="BL21" i="3"/>
  <c r="G23" i="3"/>
  <c r="BL34" i="3"/>
  <c r="BA36" i="3"/>
  <c r="BL38" i="3"/>
  <c r="BA39" i="3"/>
  <c r="G42" i="3"/>
  <c r="G43" i="3"/>
  <c r="BA43" i="3"/>
  <c r="G46" i="3"/>
  <c r="BA55" i="3"/>
  <c r="AZ55" i="3" s="1"/>
  <c r="BL55" i="3"/>
  <c r="G57" i="3"/>
  <c r="G58" i="3"/>
  <c r="BA59" i="3"/>
  <c r="G61" i="3"/>
  <c r="BL61" i="3"/>
  <c r="BA72" i="3"/>
  <c r="BL74" i="3"/>
  <c r="G75" i="3"/>
  <c r="BL75" i="3"/>
  <c r="BL79" i="3"/>
  <c r="BL81" i="3"/>
  <c r="BA82" i="3"/>
  <c r="AZ82" i="3" s="1"/>
  <c r="BA98" i="3"/>
  <c r="BL100" i="3"/>
  <c r="BL105" i="3"/>
  <c r="G107" i="3"/>
  <c r="BL107" i="3"/>
  <c r="BL110" i="3"/>
  <c r="G112" i="3"/>
  <c r="K13" i="1"/>
  <c r="M13" i="1" s="1"/>
  <c r="O13" i="1" s="1"/>
  <c r="P13" i="1" s="1"/>
  <c r="P27" i="6"/>
  <c r="C38" i="71"/>
  <c r="D38" i="71" s="1"/>
  <c r="AA34" i="71"/>
  <c r="C43" i="71"/>
  <c r="E51" i="71"/>
  <c r="E52" i="71" s="1"/>
  <c r="U52" i="71" s="1"/>
  <c r="G26" i="12"/>
  <c r="G22" i="69"/>
  <c r="G22" i="68"/>
  <c r="G22" i="11"/>
  <c r="E1" i="73"/>
  <c r="M9" i="1"/>
  <c r="M8" i="1"/>
  <c r="G9" i="1"/>
  <c r="F11" i="21"/>
  <c r="S11" i="21" s="1"/>
  <c r="J11" i="21"/>
  <c r="W11" i="21" s="1"/>
  <c r="U43" i="21"/>
  <c r="G123" i="21"/>
  <c r="H123" i="21" s="1"/>
  <c r="I123" i="21" s="1"/>
  <c r="J123" i="21" s="1"/>
  <c r="K123" i="21" s="1"/>
  <c r="L123" i="21" s="1"/>
  <c r="M123" i="21" s="1"/>
  <c r="J42" i="21"/>
  <c r="F42" i="21"/>
  <c r="AA42" i="21" s="1"/>
  <c r="H42" i="21"/>
  <c r="U42" i="21" s="1"/>
  <c r="AC34" i="21"/>
  <c r="AC35" i="21"/>
  <c r="AC11" i="39"/>
  <c r="H19" i="21"/>
  <c r="F79" i="21"/>
  <c r="G79" i="21" s="1"/>
  <c r="J17" i="21"/>
  <c r="W17" i="21" s="1"/>
  <c r="F17" i="21"/>
  <c r="H17" i="21"/>
  <c r="AB17" i="21" s="1"/>
  <c r="AA23" i="21"/>
  <c r="J32" i="21"/>
  <c r="W32" i="21" s="1"/>
  <c r="S37" i="21"/>
  <c r="AA43" i="21"/>
  <c r="W44" i="21"/>
  <c r="W43" i="21"/>
  <c r="AC15" i="21"/>
  <c r="AA15" i="21"/>
  <c r="W23" i="21"/>
  <c r="AC21" i="21"/>
  <c r="AA19" i="21"/>
  <c r="W19" i="21"/>
  <c r="AB29" i="21"/>
  <c r="S39" i="21"/>
  <c r="AB42" i="21"/>
  <c r="W39" i="21"/>
  <c r="W36" i="21"/>
  <c r="AB36" i="21"/>
  <c r="S32" i="21"/>
  <c r="S27" i="21"/>
  <c r="U27" i="21"/>
  <c r="AB30" i="21"/>
  <c r="AB46" i="21"/>
  <c r="U9" i="21"/>
  <c r="AB25" i="21"/>
  <c r="AB32" i="21"/>
  <c r="AB45" i="21"/>
  <c r="AB38" i="21"/>
  <c r="AB14" i="21"/>
  <c r="AB39" i="21"/>
  <c r="AB41" i="21"/>
  <c r="F34" i="39"/>
  <c r="AA34" i="39" s="1"/>
  <c r="E108" i="39"/>
  <c r="F108" i="39" s="1"/>
  <c r="G108" i="39" s="1"/>
  <c r="H108" i="39" s="1"/>
  <c r="I108" i="39" s="1"/>
  <c r="J108" i="39" s="1"/>
  <c r="K108" i="39" s="1"/>
  <c r="L108" i="39" s="1"/>
  <c r="M108" i="39" s="1"/>
  <c r="F30" i="69"/>
  <c r="F48" i="69" s="1"/>
  <c r="F31" i="12"/>
  <c r="M18" i="15"/>
  <c r="M18" i="67"/>
  <c r="F30" i="11"/>
  <c r="C48" i="11" s="1"/>
  <c r="H21" i="39"/>
  <c r="AB21" i="39" s="1"/>
  <c r="F21" i="39"/>
  <c r="S21" i="39" s="1"/>
  <c r="G94" i="39"/>
  <c r="F88" i="39"/>
  <c r="J15" i="39"/>
  <c r="W15" i="39" s="1"/>
  <c r="AC12" i="39"/>
  <c r="W12" i="39"/>
  <c r="U12" i="39"/>
  <c r="S9" i="39"/>
  <c r="W9" i="39"/>
  <c r="U9" i="39"/>
  <c r="F40" i="39"/>
  <c r="H40" i="39"/>
  <c r="AB40" i="39" s="1"/>
  <c r="J40" i="39"/>
  <c r="AC40" i="39" s="1"/>
  <c r="U29" i="39"/>
  <c r="S27" i="39"/>
  <c r="U25" i="39"/>
  <c r="AA41" i="39"/>
  <c r="AA11" i="39"/>
  <c r="W29" i="39"/>
  <c r="S31" i="39"/>
  <c r="S35" i="39"/>
  <c r="S8" i="39"/>
  <c r="AA39" i="39"/>
  <c r="AA12" i="39"/>
  <c r="AC31" i="39"/>
  <c r="U31" i="39"/>
  <c r="AB27" i="39"/>
  <c r="W27" i="39"/>
  <c r="S23" i="39"/>
  <c r="U21" i="39"/>
  <c r="U42" i="39"/>
  <c r="U41" i="39"/>
  <c r="AC38" i="39"/>
  <c r="U32" i="39"/>
  <c r="W32" i="39"/>
  <c r="S32" i="39"/>
  <c r="B68" i="43"/>
  <c r="B75" i="43"/>
  <c r="C29" i="39"/>
  <c r="BA13" i="3"/>
  <c r="J1" i="73"/>
  <c r="AZ499" i="3"/>
  <c r="AZ527" i="3"/>
  <c r="AZ563" i="3"/>
  <c r="AZ571" i="3"/>
  <c r="AZ579" i="3"/>
  <c r="AZ510" i="3"/>
  <c r="AZ552" i="3"/>
  <c r="AZ584" i="3"/>
  <c r="U33" i="40"/>
  <c r="AB33" i="40"/>
  <c r="AB26" i="37"/>
  <c r="U26" i="37"/>
  <c r="S25" i="21"/>
  <c r="AA25" i="21"/>
  <c r="AC5" i="3"/>
  <c r="G521" i="3"/>
  <c r="S14" i="34"/>
  <c r="AA14" i="34"/>
  <c r="W31" i="33"/>
  <c r="AC31" i="33"/>
  <c r="AA17" i="33"/>
  <c r="AC27" i="33"/>
  <c r="AC23" i="37"/>
  <c r="AC9" i="21"/>
  <c r="D6" i="52"/>
  <c r="AZ503" i="3"/>
  <c r="AZ513" i="3"/>
  <c r="AZ575" i="3"/>
  <c r="AA14" i="40"/>
  <c r="S14" i="40"/>
  <c r="AA14" i="37"/>
  <c r="S14" i="37"/>
  <c r="U45" i="33"/>
  <c r="AB45" i="33"/>
  <c r="U23" i="21"/>
  <c r="S13" i="21"/>
  <c r="AZ14" i="3"/>
  <c r="AZ306" i="3"/>
  <c r="AZ523" i="3"/>
  <c r="AZ547" i="3"/>
  <c r="AZ540" i="3"/>
  <c r="BL585" i="3"/>
  <c r="H23" i="36"/>
  <c r="J23" i="36"/>
  <c r="AZ387" i="3"/>
  <c r="AZ362" i="3"/>
  <c r="AZ338" i="3"/>
  <c r="AZ390" i="3"/>
  <c r="AZ371" i="3"/>
  <c r="AZ351" i="3"/>
  <c r="AZ336" i="3"/>
  <c r="AZ305" i="3"/>
  <c r="AZ360" i="3"/>
  <c r="AZ539" i="3"/>
  <c r="AZ529" i="3"/>
  <c r="AZ537" i="3"/>
  <c r="AZ518" i="3"/>
  <c r="AZ526" i="3"/>
  <c r="AZ546" i="3"/>
  <c r="AZ564" i="3"/>
  <c r="AZ580" i="3"/>
  <c r="AZ585" i="3"/>
  <c r="S11" i="36"/>
  <c r="AA44" i="34"/>
  <c r="AA29" i="35"/>
  <c r="AB17" i="34"/>
  <c r="W36" i="34"/>
  <c r="W8" i="34"/>
  <c r="B79" i="43"/>
  <c r="H9" i="34"/>
  <c r="G558" i="3"/>
  <c r="AZ443" i="3"/>
  <c r="S27" i="35"/>
  <c r="G585" i="3"/>
  <c r="BL587" i="3"/>
  <c r="AZ587" i="3" s="1"/>
  <c r="BL586" i="3"/>
  <c r="AZ586" i="3" s="1"/>
  <c r="J9" i="34"/>
  <c r="H12" i="35"/>
  <c r="J9" i="36"/>
  <c r="J38" i="40"/>
  <c r="J39" i="40"/>
  <c r="H39" i="40"/>
  <c r="AZ357" i="3"/>
  <c r="AZ313" i="3"/>
  <c r="AZ394" i="3"/>
  <c r="AC28" i="34"/>
  <c r="AZ531" i="3"/>
  <c r="AZ583" i="3"/>
  <c r="AZ568" i="3"/>
  <c r="AZ576" i="3"/>
  <c r="C15" i="39"/>
  <c r="U30" i="37"/>
  <c r="G587" i="3"/>
  <c r="J12" i="35"/>
  <c r="J23" i="35"/>
  <c r="H23" i="35"/>
  <c r="F23" i="36"/>
  <c r="BA551" i="3"/>
  <c r="AZ551" i="3" s="1"/>
  <c r="BA550" i="3"/>
  <c r="BL548" i="3"/>
  <c r="AZ548" i="3" s="1"/>
  <c r="BL432" i="3"/>
  <c r="BL435" i="3"/>
  <c r="AZ435" i="3" s="1"/>
  <c r="BL436" i="3"/>
  <c r="BA439" i="3"/>
  <c r="BA440" i="3"/>
  <c r="AZ440" i="3" s="1"/>
  <c r="BA442" i="3"/>
  <c r="BA445" i="3"/>
  <c r="BA449" i="3"/>
  <c r="BL453" i="3"/>
  <c r="AZ453" i="3" s="1"/>
  <c r="BL454" i="3"/>
  <c r="BL459" i="3"/>
  <c r="G461" i="3"/>
  <c r="BA467" i="3"/>
  <c r="AZ467" i="3" s="1"/>
  <c r="BA46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G442" i="3"/>
  <c r="G443" i="3"/>
  <c r="BA446" i="3"/>
  <c r="BL461" i="3"/>
  <c r="AZ461" i="3" s="1"/>
  <c r="BL463" i="3"/>
  <c r="BL475" i="3"/>
  <c r="BA481"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L448" i="3"/>
  <c r="AZ448" i="3" s="1"/>
  <c r="G451" i="3"/>
  <c r="BA454" i="3"/>
  <c r="AZ454" i="3" s="1"/>
  <c r="BA457" i="3"/>
  <c r="AZ457" i="3" s="1"/>
  <c r="BA459" i="3"/>
  <c r="AZ459" i="3" s="1"/>
  <c r="BA460" i="3"/>
  <c r="AZ460" i="3" s="1"/>
  <c r="BL464" i="3"/>
  <c r="BL466" i="3"/>
  <c r="AZ466" i="3" s="1"/>
  <c r="G469" i="3"/>
  <c r="BA469" i="3"/>
  <c r="AZ469" i="3" s="1"/>
  <c r="BL471" i="3"/>
  <c r="BA487" i="3"/>
  <c r="AZ487" i="3" s="1"/>
  <c r="AZ228" i="3"/>
  <c r="BA401" i="3"/>
  <c r="BA403" i="3"/>
  <c r="BA404" i="3"/>
  <c r="AZ404" i="3" s="1"/>
  <c r="BA405" i="3"/>
  <c r="AZ405" i="3" s="1"/>
  <c r="BL410" i="3"/>
  <c r="G412" i="3"/>
  <c r="G418" i="3"/>
  <c r="G419" i="3"/>
  <c r="BA422" i="3"/>
  <c r="G429" i="3"/>
  <c r="G430" i="3"/>
  <c r="BL431" i="3"/>
  <c r="G433" i="3"/>
  <c r="BL434" i="3"/>
  <c r="AZ434" i="3" s="1"/>
  <c r="G436" i="3"/>
  <c r="G437" i="3"/>
  <c r="BL438" i="3"/>
  <c r="BL439" i="3"/>
  <c r="BA441" i="3"/>
  <c r="AZ441" i="3" s="1"/>
  <c r="BL445" i="3"/>
  <c r="BL446" i="3"/>
  <c r="BL449" i="3"/>
  <c r="BL450" i="3"/>
  <c r="BL452" i="3"/>
  <c r="G454" i="3"/>
  <c r="G455" i="3"/>
  <c r="BL456" i="3"/>
  <c r="BA464" i="3"/>
  <c r="BL467" i="3"/>
  <c r="BL468" i="3"/>
  <c r="BA471" i="3"/>
  <c r="G477" i="3"/>
  <c r="BA478" i="3"/>
  <c r="BA485" i="3"/>
  <c r="BA488" i="3"/>
  <c r="AZ488" i="3" s="1"/>
  <c r="AZ217" i="3"/>
  <c r="G491" i="3"/>
  <c r="BA303" i="3"/>
  <c r="AZ303" i="3" s="1"/>
  <c r="BA307" i="3"/>
  <c r="AZ307" i="3" s="1"/>
  <c r="G311" i="3"/>
  <c r="BL314" i="3"/>
  <c r="AZ314" i="3" s="1"/>
  <c r="G315" i="3"/>
  <c r="BA332" i="3"/>
  <c r="BL332" i="3"/>
  <c r="G339" i="3"/>
  <c r="G364" i="3"/>
  <c r="BA367" i="3"/>
  <c r="AZ367" i="3" s="1"/>
  <c r="BA370" i="3"/>
  <c r="AZ370" i="3" s="1"/>
  <c r="BL270" i="3"/>
  <c r="AZ270" i="3" s="1"/>
  <c r="BA272" i="3"/>
  <c r="AZ272" i="3" s="1"/>
  <c r="BL275" i="3"/>
  <c r="AZ275" i="3" s="1"/>
  <c r="BL285" i="3"/>
  <c r="BL287" i="3"/>
  <c r="BA290" i="3"/>
  <c r="BL301" i="3"/>
  <c r="AZ301" i="3" s="1"/>
  <c r="BL302" i="3"/>
  <c r="BA114" i="3"/>
  <c r="G126"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G11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G288" i="3"/>
  <c r="BL292" i="3"/>
  <c r="AZ294" i="3"/>
  <c r="BL122" i="3"/>
  <c r="G123" i="3"/>
  <c r="G127" i="3"/>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L299" i="3"/>
  <c r="G300" i="3"/>
  <c r="BL113" i="3"/>
  <c r="BL115" i="3"/>
  <c r="AZ115" i="3" s="1"/>
  <c r="BA118" i="3"/>
  <c r="AZ118" i="3" s="1"/>
  <c r="BL118" i="3"/>
  <c r="BA122" i="3"/>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5" i="3"/>
  <c r="BL66" i="3"/>
  <c r="BL72" i="3"/>
  <c r="AZ72" i="3" s="1"/>
  <c r="D31" i="71"/>
  <c r="C32" i="71"/>
  <c r="C52" i="71"/>
  <c r="D51" i="71"/>
  <c r="C55" i="71"/>
  <c r="D54" i="71"/>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BA67" i="3"/>
  <c r="AZ67" i="3" s="1"/>
  <c r="BA68" i="3"/>
  <c r="BL70" i="3"/>
  <c r="AZ70" i="3" s="1"/>
  <c r="BL71" i="3"/>
  <c r="C60" i="71"/>
  <c r="D59" i="71"/>
  <c r="N67" i="71"/>
  <c r="B66" i="71"/>
  <c r="F66" i="71"/>
  <c r="Q67" i="71"/>
  <c r="G29" i="3"/>
  <c r="BL29" i="3"/>
  <c r="AZ29" i="3" s="1"/>
  <c r="BA37" i="3"/>
  <c r="G39" i="3"/>
  <c r="BL39" i="3"/>
  <c r="AZ39" i="3" s="1"/>
  <c r="BA45" i="3"/>
  <c r="AZ45" i="3" s="1"/>
  <c r="BA46" i="3"/>
  <c r="BL49" i="3"/>
  <c r="G51" i="3"/>
  <c r="BA52" i="3"/>
  <c r="AZ52" i="3" s="1"/>
  <c r="BA53" i="3"/>
  <c r="BA54" i="3"/>
  <c r="BL57" i="3"/>
  <c r="G62" i="3"/>
  <c r="BL62" i="3"/>
  <c r="AZ62" i="3" s="1"/>
  <c r="BL63" i="3"/>
  <c r="AZ65" i="3"/>
  <c r="BA73" i="3"/>
  <c r="BA78" i="3"/>
  <c r="C44" i="71"/>
  <c r="D43" i="71"/>
  <c r="V24" i="71"/>
  <c r="E23" i="71"/>
  <c r="E22" i="71" s="1"/>
  <c r="E21" i="71" s="1"/>
  <c r="E20" i="71" s="1"/>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BL58" i="3"/>
  <c r="G60" i="3"/>
  <c r="BA60" i="3"/>
  <c r="AZ60" i="3" s="1"/>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S21" i="34"/>
  <c r="B88" i="43"/>
  <c r="BL94" i="3"/>
  <c r="AZ94" i="3" s="1"/>
  <c r="AZ100" i="3"/>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F30" i="6"/>
  <c r="E28" i="6"/>
  <c r="K14" i="1"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7" i="15"/>
  <c r="J55" i="15" s="1"/>
  <c r="J58" i="15" s="1"/>
  <c r="Q50" i="15" s="1"/>
  <c r="I54" i="15"/>
  <c r="B20" i="31"/>
  <c r="B21" i="31" s="1"/>
  <c r="I1" i="73"/>
  <c r="B39" i="1" s="1"/>
  <c r="F51" i="67"/>
  <c r="F65" i="67"/>
  <c r="J53" i="67"/>
  <c r="J57" i="67"/>
  <c r="J55" i="67" s="1"/>
  <c r="J58" i="67" s="1"/>
  <c r="Q50" i="67" s="1"/>
  <c r="L56" i="67"/>
  <c r="I54" i="67"/>
  <c r="F51" i="15"/>
  <c r="F71" i="15"/>
  <c r="F66" i="67"/>
  <c r="N59" i="15"/>
  <c r="L58" i="15"/>
  <c r="F66" i="15"/>
  <c r="Q71" i="67"/>
  <c r="F64" i="15"/>
  <c r="C27" i="67"/>
  <c r="C27" i="15"/>
  <c r="F65" i="15"/>
  <c r="N59" i="67"/>
  <c r="L59" i="67"/>
  <c r="L58" i="67"/>
  <c r="B13" i="70"/>
  <c r="F68" i="67"/>
  <c r="F64" i="67"/>
  <c r="D9" i="69"/>
  <c r="C36" i="69"/>
  <c r="D9" i="68"/>
  <c r="F7" i="15"/>
  <c r="M26" i="15"/>
  <c r="F43" i="67"/>
  <c r="F40" i="15"/>
  <c r="M29" i="67"/>
  <c r="C16" i="15"/>
  <c r="F7" i="67"/>
  <c r="D6" i="73"/>
  <c r="D7" i="73"/>
  <c r="M22" i="15"/>
  <c r="D4" i="73"/>
  <c r="J15" i="15"/>
  <c r="D5" i="73"/>
  <c r="D3" i="73"/>
  <c r="M8" i="15"/>
  <c r="F9" i="15"/>
  <c r="F50" i="67" l="1"/>
  <c r="C6" i="67"/>
  <c r="M7" i="67"/>
  <c r="J6" i="67" s="1"/>
  <c r="J18" i="67" s="1"/>
  <c r="F71" i="67"/>
  <c r="G30" i="6"/>
  <c r="G31" i="6" s="1"/>
  <c r="E29" i="6"/>
  <c r="AZ112" i="3"/>
  <c r="AZ281" i="3"/>
  <c r="AZ71" i="3"/>
  <c r="AZ64" i="3"/>
  <c r="AZ130" i="3"/>
  <c r="AZ31" i="3"/>
  <c r="AZ122" i="3"/>
  <c r="AZ483" i="3"/>
  <c r="AZ277" i="3"/>
  <c r="AZ256" i="3"/>
  <c r="AZ422" i="3"/>
  <c r="AZ425" i="3"/>
  <c r="W40" i="39"/>
  <c r="U40" i="39"/>
  <c r="H34" i="39"/>
  <c r="AZ201" i="3"/>
  <c r="AZ186" i="3"/>
  <c r="AZ251" i="3"/>
  <c r="AZ473" i="3"/>
  <c r="AZ286" i="3"/>
  <c r="AZ249" i="3"/>
  <c r="AA35" i="21"/>
  <c r="S35" i="21"/>
  <c r="AZ413" i="3"/>
  <c r="U12" i="36"/>
  <c r="AB12" i="36"/>
  <c r="AZ493" i="3"/>
  <c r="AZ512" i="3"/>
  <c r="AZ532" i="3"/>
  <c r="S30" i="21"/>
  <c r="AA30" i="21"/>
  <c r="AZ553" i="3"/>
  <c r="AZ559" i="3"/>
  <c r="AZ515" i="3"/>
  <c r="AZ464" i="3"/>
  <c r="AZ432" i="3"/>
  <c r="S34" i="39"/>
  <c r="J34" i="39"/>
  <c r="AC17" i="21"/>
  <c r="AZ157" i="3"/>
  <c r="AZ47" i="3"/>
  <c r="AZ218" i="3"/>
  <c r="AZ283" i="3"/>
  <c r="AZ267" i="3"/>
  <c r="AZ229" i="3"/>
  <c r="AZ350" i="3"/>
  <c r="AZ484" i="3"/>
  <c r="AZ458" i="3"/>
  <c r="AZ451" i="3"/>
  <c r="AZ437" i="3"/>
  <c r="U26" i="33"/>
  <c r="AB26" i="33"/>
  <c r="AC12" i="36"/>
  <c r="W12" i="36"/>
  <c r="S36" i="39"/>
  <c r="AA36" i="39"/>
  <c r="AZ84" i="3"/>
  <c r="AZ57" i="3"/>
  <c r="AZ471" i="3"/>
  <c r="AZ414" i="3"/>
  <c r="B19" i="71"/>
  <c r="B18" i="71" s="1"/>
  <c r="B17" i="71" s="1"/>
  <c r="B16" i="71" s="1"/>
  <c r="S20" i="71"/>
  <c r="AZ105" i="3"/>
  <c r="E66" i="71"/>
  <c r="P67" i="71"/>
  <c r="AC39" i="37"/>
  <c r="W39" i="37"/>
  <c r="AA26" i="33"/>
  <c r="S26" i="33"/>
  <c r="AZ500" i="3"/>
  <c r="AZ516" i="3"/>
  <c r="AZ530" i="3"/>
  <c r="AZ536" i="3"/>
  <c r="AZ505" i="3"/>
  <c r="AA46" i="21"/>
  <c r="S46" i="21"/>
  <c r="G16" i="1"/>
  <c r="F10" i="39" s="1"/>
  <c r="C22" i="71"/>
  <c r="D23" i="71"/>
  <c r="M10" i="1"/>
  <c r="O10" i="1" s="1"/>
  <c r="P10" i="1" s="1"/>
  <c r="AB36" i="39"/>
  <c r="U36" i="39"/>
  <c r="W27" i="21"/>
  <c r="AC27" i="21"/>
  <c r="AZ494" i="3"/>
  <c r="AZ501" i="3"/>
  <c r="AZ497" i="3"/>
  <c r="S14" i="21"/>
  <c r="AA14" i="21"/>
  <c r="O8" i="1"/>
  <c r="P8" i="1" s="1"/>
  <c r="F11" i="83"/>
  <c r="M11" i="83"/>
  <c r="J10" i="83" s="1"/>
  <c r="F11" i="82"/>
  <c r="M11" i="82"/>
  <c r="J10" i="82" s="1"/>
  <c r="P6" i="1"/>
  <c r="C13" i="12" s="1"/>
  <c r="AC42" i="21"/>
  <c r="W42" i="21"/>
  <c r="S42" i="21"/>
  <c r="AB19" i="21"/>
  <c r="U19" i="21"/>
  <c r="U17" i="21"/>
  <c r="AA17" i="21"/>
  <c r="S17" i="21"/>
  <c r="AA21" i="39"/>
  <c r="G88" i="39"/>
  <c r="F15" i="39"/>
  <c r="H15" i="39"/>
  <c r="AA40" i="39"/>
  <c r="S40" i="39"/>
  <c r="E59" i="40"/>
  <c r="E26" i="43"/>
  <c r="G26" i="43"/>
  <c r="N94" i="46"/>
  <c r="J26" i="43"/>
  <c r="N370" i="46"/>
  <c r="F26" i="43"/>
  <c r="D26" i="43" s="1"/>
  <c r="C25" i="43" s="1"/>
  <c r="F68" i="15"/>
  <c r="M7" i="15"/>
  <c r="J6" i="15" s="1"/>
  <c r="J18" i="15" s="1"/>
  <c r="C6" i="15"/>
  <c r="C32" i="15" s="1"/>
  <c r="F50" i="15"/>
  <c r="C49" i="15" s="1"/>
  <c r="F31" i="15"/>
  <c r="D83" i="71"/>
  <c r="C82" i="71"/>
  <c r="D82" i="71" s="1"/>
  <c r="O65" i="71"/>
  <c r="D66" i="71"/>
  <c r="O66" i="71"/>
  <c r="AZ108" i="3"/>
  <c r="AZ49" i="3"/>
  <c r="AA23" i="36"/>
  <c r="S23" i="36"/>
  <c r="U39" i="40"/>
  <c r="AB39" i="40"/>
  <c r="U12" i="35"/>
  <c r="AB12" i="35"/>
  <c r="AB9" i="34"/>
  <c r="U9" i="34"/>
  <c r="C40" i="71"/>
  <c r="D39" i="71"/>
  <c r="C36" i="71"/>
  <c r="D35" i="71"/>
  <c r="D44" i="71"/>
  <c r="T44" i="71"/>
  <c r="T52" i="71"/>
  <c r="D52" i="71"/>
  <c r="AZ51" i="3"/>
  <c r="AZ41" i="3"/>
  <c r="AZ282" i="3"/>
  <c r="AZ332" i="3"/>
  <c r="U23" i="35"/>
  <c r="AB23" i="35"/>
  <c r="AC39" i="40"/>
  <c r="W39" i="40"/>
  <c r="AC9" i="34"/>
  <c r="W9" i="34"/>
  <c r="J7" i="36"/>
  <c r="C70" i="71"/>
  <c r="D70" i="71" s="1"/>
  <c r="D71" i="71"/>
  <c r="AZ53" i="3"/>
  <c r="D60" i="71"/>
  <c r="T60" i="71"/>
  <c r="AZ182" i="3"/>
  <c r="T32" i="71"/>
  <c r="D32" i="71"/>
  <c r="AZ58" i="3"/>
  <c r="AZ297" i="3"/>
  <c r="AZ241" i="3"/>
  <c r="AZ210" i="3"/>
  <c r="AZ403" i="3"/>
  <c r="AZ415" i="3"/>
  <c r="AZ398" i="3"/>
  <c r="AZ550" i="3"/>
  <c r="AC23" i="35"/>
  <c r="W23" i="35"/>
  <c r="AC38" i="40"/>
  <c r="W38" i="40"/>
  <c r="AC23" i="36"/>
  <c r="W23" i="36"/>
  <c r="J7" i="37"/>
  <c r="AC7" i="37" s="1"/>
  <c r="G5" i="3"/>
  <c r="B3" i="3" s="1"/>
  <c r="E212" i="3" s="1"/>
  <c r="T28" i="71"/>
  <c r="D28" i="71"/>
  <c r="U28" i="71" s="1"/>
  <c r="C27" i="71"/>
  <c r="D79" i="71"/>
  <c r="C78" i="71"/>
  <c r="D78" i="71" s="1"/>
  <c r="N65" i="71"/>
  <c r="N66" i="71"/>
  <c r="C56" i="71"/>
  <c r="D55" i="71"/>
  <c r="AZ27" i="3"/>
  <c r="AZ401" i="3"/>
  <c r="W12" i="35"/>
  <c r="AC12" i="35"/>
  <c r="AC9" i="36"/>
  <c r="W9" i="36"/>
  <c r="AB23" i="36"/>
  <c r="U23" i="36"/>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B7" i="36"/>
  <c r="T36" i="36" s="1"/>
  <c r="G36" i="36" s="1"/>
  <c r="F7" i="33"/>
  <c r="E58" i="21"/>
  <c r="AC7" i="36"/>
  <c r="W7" i="36"/>
  <c r="F7" i="37"/>
  <c r="M17" i="67"/>
  <c r="M17" i="15"/>
  <c r="P28" i="43"/>
  <c r="B66" i="40" s="1"/>
  <c r="P25" i="43"/>
  <c r="C49" i="67"/>
  <c r="P29" i="43"/>
  <c r="P27" i="43"/>
  <c r="B70" i="39" s="1"/>
  <c r="C32" i="67"/>
  <c r="Q60" i="67"/>
  <c r="Q73" i="67"/>
  <c r="M11" i="67"/>
  <c r="J10" i="67" s="1"/>
  <c r="F11" i="15"/>
  <c r="M11" i="15"/>
  <c r="J10" i="15" s="1"/>
  <c r="F11" i="67"/>
  <c r="F1" i="67"/>
  <c r="Q52" i="67"/>
  <c r="Q60" i="15"/>
  <c r="Q73" i="15"/>
  <c r="Q61" i="67"/>
  <c r="Q74" i="67"/>
  <c r="AE11" i="1"/>
  <c r="AE6" i="1"/>
  <c r="F27" i="68"/>
  <c r="AE12" i="1"/>
  <c r="AE10" i="1"/>
  <c r="F9" i="83"/>
  <c r="F6" i="82"/>
  <c r="M8" i="82"/>
  <c r="M23" i="82"/>
  <c r="M23" i="83"/>
  <c r="F7" i="83"/>
  <c r="F37" i="83"/>
  <c r="M9" i="82"/>
  <c r="F40" i="82"/>
  <c r="F38" i="82"/>
  <c r="M26" i="82"/>
  <c r="F13" i="83"/>
  <c r="F42" i="83"/>
  <c r="F8" i="83"/>
  <c r="M29" i="82"/>
  <c r="M8" i="83"/>
  <c r="F9" i="82"/>
  <c r="F8" i="82"/>
  <c r="M24" i="83"/>
  <c r="M29" i="83"/>
  <c r="F16" i="82"/>
  <c r="F38" i="83"/>
  <c r="F41" i="67"/>
  <c r="L48" i="82"/>
  <c r="F26" i="83"/>
  <c r="F16" i="83"/>
  <c r="M22" i="82"/>
  <c r="M6" i="82"/>
  <c r="F36" i="82"/>
  <c r="M28" i="82"/>
  <c r="L47" i="82"/>
  <c r="F43" i="82"/>
  <c r="F40" i="83"/>
  <c r="F36" i="83"/>
  <c r="C16" i="67"/>
  <c r="F7" i="82"/>
  <c r="M9" i="83"/>
  <c r="J15" i="83"/>
  <c r="M6" i="83"/>
  <c r="F43" i="83"/>
  <c r="L48" i="83"/>
  <c r="M24" i="82"/>
  <c r="M22" i="83"/>
  <c r="L47" i="83"/>
  <c r="F13" i="82"/>
  <c r="C76" i="83"/>
  <c r="M28" i="83"/>
  <c r="C76" i="82"/>
  <c r="F26" i="82"/>
  <c r="G1" i="73"/>
  <c r="F37" i="82"/>
  <c r="F6" i="83"/>
  <c r="M26" i="83"/>
  <c r="J15" i="82"/>
  <c r="F42" i="82"/>
  <c r="J5" i="67" l="1"/>
  <c r="N59" i="83"/>
  <c r="L58" i="83"/>
  <c r="F51" i="83"/>
  <c r="C27" i="83"/>
  <c r="F71" i="82"/>
  <c r="F51" i="82"/>
  <c r="L60" i="83"/>
  <c r="L57" i="83"/>
  <c r="J57" i="83"/>
  <c r="J55" i="83" s="1"/>
  <c r="J58" i="83" s="1"/>
  <c r="Q50" i="83" s="1"/>
  <c r="L56" i="83"/>
  <c r="I54" i="83"/>
  <c r="J60" i="83"/>
  <c r="Q48" i="83" s="1"/>
  <c r="J59" i="83"/>
  <c r="F65" i="83"/>
  <c r="C6" i="83"/>
  <c r="N59" i="82"/>
  <c r="L58" i="82"/>
  <c r="F66" i="82"/>
  <c r="Q71" i="82"/>
  <c r="F64" i="83"/>
  <c r="F71" i="83"/>
  <c r="M7" i="83"/>
  <c r="J6" i="83" s="1"/>
  <c r="J5" i="83" s="1"/>
  <c r="J26" i="83" s="1"/>
  <c r="F50" i="83"/>
  <c r="L56" i="82"/>
  <c r="J60" i="82"/>
  <c r="Q48" i="82" s="1"/>
  <c r="J57" i="82"/>
  <c r="J55" i="82" s="1"/>
  <c r="J58" i="82" s="1"/>
  <c r="Q50" i="82" s="1"/>
  <c r="L57" i="82"/>
  <c r="L60" i="82"/>
  <c r="I54" i="82"/>
  <c r="J59" i="82"/>
  <c r="F68" i="82"/>
  <c r="C6" i="82"/>
  <c r="F68" i="83"/>
  <c r="F66" i="83"/>
  <c r="Q71" i="83"/>
  <c r="C27" i="82"/>
  <c r="M7" i="82"/>
  <c r="J6" i="82" s="1"/>
  <c r="J5" i="82" s="1"/>
  <c r="J26" i="82" s="1"/>
  <c r="F50" i="82"/>
  <c r="F65" i="82"/>
  <c r="F64" i="82"/>
  <c r="AC34" i="39"/>
  <c r="W34" i="39"/>
  <c r="C21" i="71"/>
  <c r="D22" i="71"/>
  <c r="K15" i="1"/>
  <c r="K16" i="1" s="1"/>
  <c r="L19" i="6"/>
  <c r="L27" i="6" s="1"/>
  <c r="AZ5" i="3"/>
  <c r="U34" i="39"/>
  <c r="AB34" i="39"/>
  <c r="P65" i="71"/>
  <c r="P66" i="71"/>
  <c r="E28" i="3"/>
  <c r="E266" i="3"/>
  <c r="E366" i="3"/>
  <c r="C53" i="83"/>
  <c r="C10" i="83"/>
  <c r="C53" i="82"/>
  <c r="C10" i="82"/>
  <c r="C5" i="82" s="1"/>
  <c r="U15" i="39"/>
  <c r="AB15" i="39"/>
  <c r="AA15" i="39"/>
  <c r="S15" i="39"/>
  <c r="E441" i="3"/>
  <c r="E359" i="3"/>
  <c r="E190" i="3"/>
  <c r="E214" i="3"/>
  <c r="AG6" i="3"/>
  <c r="E348" i="3"/>
  <c r="E318" i="3"/>
  <c r="E547" i="3"/>
  <c r="E235" i="3"/>
  <c r="E246" i="3"/>
  <c r="E124" i="3"/>
  <c r="E99" i="3"/>
  <c r="E481" i="3"/>
  <c r="W6" i="3"/>
  <c r="E36" i="3"/>
  <c r="E409" i="3"/>
  <c r="E570" i="3"/>
  <c r="E380" i="3"/>
  <c r="E550" i="3"/>
  <c r="E17" i="3"/>
  <c r="E187" i="3"/>
  <c r="E401" i="3"/>
  <c r="E296" i="3"/>
  <c r="E445" i="3"/>
  <c r="AJ6" i="3"/>
  <c r="E327" i="3"/>
  <c r="E560" i="3"/>
  <c r="E301" i="3"/>
  <c r="E410" i="3"/>
  <c r="E505" i="3"/>
  <c r="E571" i="3"/>
  <c r="E382" i="3"/>
  <c r="E551" i="3"/>
  <c r="E121" i="3"/>
  <c r="E203" i="3"/>
  <c r="E280" i="3"/>
  <c r="E321" i="3"/>
  <c r="E317" i="3"/>
  <c r="E14" i="3"/>
  <c r="E157" i="3"/>
  <c r="E163" i="3"/>
  <c r="E446" i="3"/>
  <c r="E365" i="3"/>
  <c r="L6" i="3"/>
  <c r="E543" i="3"/>
  <c r="E405" i="3"/>
  <c r="E68" i="3"/>
  <c r="E554" i="3"/>
  <c r="E535" i="3"/>
  <c r="E431" i="3"/>
  <c r="E489" i="3"/>
  <c r="E587" i="3"/>
  <c r="E495" i="3"/>
  <c r="AR6" i="3"/>
  <c r="E447" i="3"/>
  <c r="E351" i="3"/>
  <c r="E85" i="3"/>
  <c r="E320" i="3"/>
  <c r="E334" i="3"/>
  <c r="E252" i="3"/>
  <c r="E120" i="3"/>
  <c r="E304" i="3"/>
  <c r="E319" i="3"/>
  <c r="E207" i="3"/>
  <c r="E474" i="3"/>
  <c r="E87" i="3"/>
  <c r="E48" i="3"/>
  <c r="E460" i="3"/>
  <c r="E194" i="3"/>
  <c r="E507" i="3"/>
  <c r="E408" i="3"/>
  <c r="E63" i="3"/>
  <c r="E491" i="3"/>
  <c r="E369" i="3"/>
  <c r="E487" i="3"/>
  <c r="E148" i="3"/>
  <c r="E335" i="3"/>
  <c r="E273" i="3"/>
  <c r="E368" i="3"/>
  <c r="E228" i="3"/>
  <c r="E261" i="3"/>
  <c r="E175" i="3"/>
  <c r="E515" i="3"/>
  <c r="E458" i="3"/>
  <c r="E117" i="3"/>
  <c r="E396" i="3"/>
  <c r="E448" i="3"/>
  <c r="E429" i="3"/>
  <c r="E353" i="3"/>
  <c r="E285" i="3"/>
  <c r="E71" i="3"/>
  <c r="E357" i="3"/>
  <c r="E127" i="3"/>
  <c r="E462" i="3"/>
  <c r="E244" i="3"/>
  <c r="E112" i="3"/>
  <c r="E276" i="3"/>
  <c r="E220" i="3"/>
  <c r="E86" i="3"/>
  <c r="E64" i="3"/>
  <c r="E16" i="3"/>
  <c r="E41" i="3"/>
  <c r="E22" i="3"/>
  <c r="AL6" i="3"/>
  <c r="E84" i="3"/>
  <c r="E241" i="3"/>
  <c r="E442" i="3"/>
  <c r="E263" i="3"/>
  <c r="E387" i="3"/>
  <c r="E217" i="3"/>
  <c r="Z6" i="3"/>
  <c r="E106" i="3"/>
  <c r="AK6" i="3"/>
  <c r="E361" i="3"/>
  <c r="E337" i="3"/>
  <c r="E331" i="3"/>
  <c r="E269" i="3"/>
  <c r="E562" i="3"/>
  <c r="E336" i="3"/>
  <c r="E294" i="3"/>
  <c r="E239" i="3"/>
  <c r="E88" i="3"/>
  <c r="E394" i="3"/>
  <c r="E177" i="3"/>
  <c r="E303" i="3"/>
  <c r="E523" i="3"/>
  <c r="E53" i="3"/>
  <c r="E411" i="3"/>
  <c r="E537" i="3"/>
  <c r="E136" i="3"/>
  <c r="E195" i="3"/>
  <c r="E297" i="3"/>
  <c r="E222" i="3"/>
  <c r="E62" i="3"/>
  <c r="E38" i="3"/>
  <c r="E419" i="3"/>
  <c r="E158" i="3"/>
  <c r="E420" i="3"/>
  <c r="E308" i="3"/>
  <c r="E198" i="3"/>
  <c r="E310" i="3"/>
  <c r="E258" i="3"/>
  <c r="E575" i="3"/>
  <c r="E374" i="3"/>
  <c r="E149" i="3"/>
  <c r="E110" i="3"/>
  <c r="E24" i="3"/>
  <c r="E141" i="3"/>
  <c r="E20" i="3"/>
  <c r="E392" i="3"/>
  <c r="E473" i="3"/>
  <c r="E226" i="3"/>
  <c r="AH6" i="3"/>
  <c r="E105" i="3"/>
  <c r="E80" i="3"/>
  <c r="E428" i="3"/>
  <c r="E497" i="3"/>
  <c r="T6" i="3"/>
  <c r="E102" i="3"/>
  <c r="E18" i="3"/>
  <c r="E494" i="3"/>
  <c r="E233" i="3"/>
  <c r="E267" i="3"/>
  <c r="E59" i="3"/>
  <c r="E95" i="3"/>
  <c r="E449" i="3"/>
  <c r="E286" i="3"/>
  <c r="E94" i="3"/>
  <c r="E219" i="3"/>
  <c r="E275" i="3"/>
  <c r="E385" i="3"/>
  <c r="E278" i="3"/>
  <c r="E247" i="3"/>
  <c r="E109" i="3"/>
  <c r="E345" i="3"/>
  <c r="E315" i="3"/>
  <c r="E465" i="3"/>
  <c r="E568" i="3"/>
  <c r="E503" i="3"/>
  <c r="E439" i="3"/>
  <c r="E508" i="3"/>
  <c r="E27" i="3"/>
  <c r="E585" i="3"/>
  <c r="E111" i="3"/>
  <c r="E45" i="3"/>
  <c r="E293" i="3"/>
  <c r="E415" i="3"/>
  <c r="E229" i="3"/>
  <c r="E125" i="3"/>
  <c r="E581" i="3"/>
  <c r="E580" i="3"/>
  <c r="AE6" i="3"/>
  <c r="E434" i="3"/>
  <c r="E302" i="3"/>
  <c r="E338" i="3"/>
  <c r="E328" i="3"/>
  <c r="E92" i="3"/>
  <c r="U6" i="3"/>
  <c r="E168" i="3"/>
  <c r="E224" i="3"/>
  <c r="E307" i="3"/>
  <c r="AD6" i="3"/>
  <c r="E584" i="3"/>
  <c r="E323" i="3"/>
  <c r="E500" i="3"/>
  <c r="E58" i="3"/>
  <c r="E165" i="3"/>
  <c r="E340" i="3"/>
  <c r="E234" i="3"/>
  <c r="E540" i="3"/>
  <c r="E108" i="3"/>
  <c r="E422" i="3"/>
  <c r="E116" i="3"/>
  <c r="E49" i="3"/>
  <c r="E115" i="3"/>
  <c r="E556" i="3"/>
  <c r="E173" i="3"/>
  <c r="E34" i="3"/>
  <c r="E482" i="3"/>
  <c r="E309" i="3"/>
  <c r="E67" i="3"/>
  <c r="E160" i="3"/>
  <c r="E389" i="3"/>
  <c r="E417" i="3"/>
  <c r="E430" i="3"/>
  <c r="E536" i="3"/>
  <c r="E139" i="3"/>
  <c r="E118"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J5" i="15"/>
  <c r="J24" i="15" s="1"/>
  <c r="W7" i="37"/>
  <c r="F59" i="15"/>
  <c r="AY6" i="3"/>
  <c r="AY111" i="3" s="1"/>
  <c r="E3" i="6"/>
  <c r="D14" i="12" s="1"/>
  <c r="V36" i="36"/>
  <c r="I36" i="36" s="1"/>
  <c r="D56" i="71"/>
  <c r="T56" i="71"/>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F24" i="8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K25" i="6"/>
  <c r="K20" i="6"/>
  <c r="K23" i="6"/>
  <c r="K22" i="6"/>
  <c r="E31" i="6"/>
  <c r="K24" i="6"/>
  <c r="K19" i="6"/>
  <c r="S6" i="1" s="1"/>
  <c r="O14" i="1"/>
  <c r="O16" i="1" s="1"/>
  <c r="M16" i="1"/>
  <c r="AY123" i="3"/>
  <c r="AY85" i="3"/>
  <c r="AY313" i="3"/>
  <c r="AY323" i="3"/>
  <c r="AY288" i="3"/>
  <c r="AY151" i="3"/>
  <c r="AY386" i="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C17" i="82"/>
  <c r="C16" i="83"/>
  <c r="C16" i="82"/>
  <c r="M27" i="15"/>
  <c r="M27" i="67"/>
  <c r="M27" i="82"/>
  <c r="M27" i="83"/>
  <c r="C5" i="83" l="1"/>
  <c r="L46" i="83"/>
  <c r="J24" i="82"/>
  <c r="J24" i="83"/>
  <c r="L46" i="82"/>
  <c r="D21" i="71"/>
  <c r="C20" i="71"/>
  <c r="C32" i="82"/>
  <c r="C33" i="82"/>
  <c r="Q66" i="83"/>
  <c r="Q57" i="83"/>
  <c r="Q66" i="82"/>
  <c r="Q57" i="82"/>
  <c r="Q73" i="82"/>
  <c r="Q60" i="82"/>
  <c r="C49" i="83"/>
  <c r="C61" i="83" s="1"/>
  <c r="C49" i="82"/>
  <c r="C61" i="82" s="1"/>
  <c r="Q73" i="83"/>
  <c r="Q60" i="83"/>
  <c r="J19" i="82"/>
  <c r="J18" i="82"/>
  <c r="J18" i="83"/>
  <c r="J19" i="83"/>
  <c r="C33" i="83"/>
  <c r="C32" i="83"/>
  <c r="E8" i="70"/>
  <c r="AY400" i="3"/>
  <c r="AY315" i="3"/>
  <c r="AY113" i="3"/>
  <c r="AY205" i="3"/>
  <c r="AY94" i="3"/>
  <c r="BN6" i="3"/>
  <c r="AY541" i="3"/>
  <c r="AY200" i="3"/>
  <c r="AY493" i="3"/>
  <c r="AY216" i="3"/>
  <c r="AY27" i="3"/>
  <c r="AY536" i="3"/>
  <c r="AY581" i="3"/>
  <c r="AY547" i="3"/>
  <c r="AY522" i="3"/>
  <c r="AY399" i="3"/>
  <c r="AY466" i="3"/>
  <c r="AY52" i="3"/>
  <c r="AY360" i="3"/>
  <c r="C24" i="83"/>
  <c r="C38" i="83"/>
  <c r="C38" i="82"/>
  <c r="L36" i="43"/>
  <c r="L37" i="43" s="1"/>
  <c r="O37" i="43" s="1"/>
  <c r="F24" i="82"/>
  <c r="D19" i="11"/>
  <c r="C19" i="11" s="1"/>
  <c r="D37" i="11"/>
  <c r="D3" i="33"/>
  <c r="D3" i="34"/>
  <c r="E6" i="6"/>
  <c r="C17" i="4"/>
  <c r="B4" i="52" s="1"/>
  <c r="B43" i="72" s="1"/>
  <c r="M18" i="9"/>
  <c r="B118" i="9" s="1"/>
  <c r="D3" i="21"/>
  <c r="L18" i="9"/>
  <c r="BT6" i="3"/>
  <c r="AY443" i="3"/>
  <c r="AY257" i="3"/>
  <c r="AY54" i="3"/>
  <c r="AY500" i="3"/>
  <c r="AY394" i="3"/>
  <c r="AY172" i="3"/>
  <c r="BP6" i="3"/>
  <c r="AY402" i="3"/>
  <c r="AY64" i="3"/>
  <c r="AY22" i="3"/>
  <c r="AY140" i="3"/>
  <c r="AY461" i="3"/>
  <c r="AY504" i="3"/>
  <c r="AY213" i="3"/>
  <c r="AY86" i="3"/>
  <c r="AY331" i="3"/>
  <c r="AY509" i="3"/>
  <c r="AY266" i="3"/>
  <c r="AY483" i="3"/>
  <c r="AY478" i="3"/>
  <c r="AY325" i="3"/>
  <c r="AY311" i="3"/>
  <c r="AY475" i="3"/>
  <c r="AY231" i="3"/>
  <c r="AY452" i="3"/>
  <c r="AY335" i="3"/>
  <c r="AY566" i="3"/>
  <c r="AY307" i="3"/>
  <c r="AY293" i="3"/>
  <c r="AY71" i="3"/>
  <c r="AY451" i="3"/>
  <c r="AY248" i="3"/>
  <c r="AY19" i="3"/>
  <c r="AY551" i="3"/>
  <c r="AY479" i="3"/>
  <c r="AY413" i="3"/>
  <c r="AY528" i="3"/>
  <c r="AY110" i="3"/>
  <c r="AY321" i="3"/>
  <c r="AY550" i="3"/>
  <c r="AY273" i="3"/>
  <c r="AY512" i="3"/>
  <c r="AY232" i="3"/>
  <c r="AY579" i="3"/>
  <c r="AY189" i="3"/>
  <c r="AY29" i="3"/>
  <c r="AY489" i="3"/>
  <c r="AY57" i="3"/>
  <c r="AY387" i="3"/>
  <c r="AY210" i="3"/>
  <c r="AY149" i="3"/>
  <c r="AY260" i="3"/>
  <c r="AY87" i="3"/>
  <c r="AY207" i="3"/>
  <c r="AY115" i="3"/>
  <c r="AY152" i="3"/>
  <c r="AY168" i="3"/>
  <c r="AY225" i="3"/>
  <c r="AY303" i="3"/>
  <c r="AY139" i="3"/>
  <c r="AY261" i="3"/>
  <c r="AY363"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51" i="3"/>
  <c r="AY95" i="3"/>
  <c r="AY297" i="3"/>
  <c r="AY67" i="3"/>
  <c r="AY204" i="3"/>
  <c r="AY441" i="3"/>
  <c r="AY395" i="3"/>
  <c r="AY433" i="3"/>
  <c r="AY97" i="3"/>
  <c r="AY206" i="3"/>
  <c r="AY118" i="3"/>
  <c r="AY230" i="3"/>
  <c r="BJ6" i="3"/>
  <c r="AY177" i="3"/>
  <c r="AY353" i="3"/>
  <c r="AY457" i="3"/>
  <c r="BM6" i="3"/>
  <c r="AY501" i="3"/>
  <c r="AY444" i="3"/>
  <c r="AY447" i="3"/>
  <c r="AY36" i="3"/>
  <c r="AY254" i="3"/>
  <c r="AY186" i="3"/>
  <c r="AY467" i="3"/>
  <c r="AY559" i="3"/>
  <c r="AY82" i="3"/>
  <c r="AY497" i="3"/>
  <c r="AY557" i="3"/>
  <c r="AY198" i="3"/>
  <c r="AY227" i="3"/>
  <c r="AY121" i="3"/>
  <c r="AY449" i="3"/>
  <c r="AY552" i="3"/>
  <c r="AY96" i="3"/>
  <c r="AY169" i="3"/>
  <c r="AY223" i="3"/>
  <c r="AY328" i="3"/>
  <c r="AY442" i="3"/>
  <c r="AY499" i="3"/>
  <c r="BR6" i="3"/>
  <c r="AY78" i="3"/>
  <c r="AY127"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34" i="3"/>
  <c r="AY188" i="3"/>
  <c r="AY236" i="3"/>
  <c r="AY196" i="3"/>
  <c r="AY209" i="3"/>
  <c r="AY106" i="3"/>
  <c r="AY358" i="3"/>
  <c r="AY549" i="3"/>
  <c r="AY77" i="3"/>
  <c r="AY201" i="3"/>
  <c r="AY283" i="3"/>
  <c r="AY392" i="3"/>
  <c r="AY104" i="3"/>
  <c r="AY295" i="3"/>
  <c r="AY317" i="3"/>
  <c r="AY446" i="3"/>
  <c r="AY534" i="3"/>
  <c r="AY171" i="3"/>
  <c r="AY526" i="3"/>
  <c r="AY562" i="3"/>
  <c r="AY178" i="3"/>
  <c r="AY211" i="3"/>
  <c r="AY279" i="3"/>
  <c r="AY422" i="3"/>
  <c r="AY532" i="3"/>
  <c r="AY31" i="3"/>
  <c r="AY229" i="3"/>
  <c r="AY540" i="3"/>
  <c r="AY173" i="3"/>
  <c r="AY368" i="3"/>
  <c r="AY258" i="3"/>
  <c r="AY419" i="3"/>
  <c r="AY584" i="3"/>
  <c r="AY80" i="3"/>
  <c r="AY129" i="3"/>
  <c r="AY369" i="3"/>
  <c r="AY487" i="3"/>
  <c r="AY410" i="3"/>
  <c r="D3" i="6"/>
  <c r="D22" i="6" s="1"/>
  <c r="AY531" i="3"/>
  <c r="AY35"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176" i="3"/>
  <c r="AY281" i="3"/>
  <c r="AY382" i="3"/>
  <c r="AY289" i="3"/>
  <c r="AY318" i="3"/>
  <c r="AY180" i="3"/>
  <c r="AY310" i="3"/>
  <c r="AY569" i="3"/>
  <c r="AY45" i="3"/>
  <c r="AY154" i="3"/>
  <c r="AY263" i="3"/>
  <c r="AY381" i="3"/>
  <c r="AY56" i="3"/>
  <c r="AY274" i="3"/>
  <c r="AY332" i="3"/>
  <c r="AY398" i="3"/>
  <c r="AY546" i="3"/>
  <c r="AY163" i="3"/>
  <c r="AY244" i="3"/>
  <c r="AY555" i="3"/>
  <c r="AY157" i="3"/>
  <c r="BS6" i="3"/>
  <c r="AY393" i="3"/>
  <c r="AY403" i="3"/>
  <c r="AY577" i="3"/>
  <c r="AY220" i="3"/>
  <c r="AY379" i="3"/>
  <c r="AY100" i="3"/>
  <c r="AY291" i="3"/>
  <c r="BB6" i="3"/>
  <c r="AY341" i="3"/>
  <c r="AY580" i="3"/>
  <c r="AY514" i="3"/>
  <c r="AY37" i="3"/>
  <c r="AY282" i="3"/>
  <c r="AY345" i="3"/>
  <c r="AY484" i="3"/>
  <c r="AY423" i="3"/>
  <c r="AY502" i="3"/>
  <c r="BA6" i="3"/>
  <c r="AY18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21" i="3"/>
  <c r="AY351" i="3"/>
  <c r="AY143" i="3"/>
  <c r="AY568" i="3"/>
  <c r="AY485" i="3"/>
  <c r="AY265" i="3"/>
  <c r="AY79" i="3"/>
  <c r="AY515" i="3"/>
  <c r="AY361" i="3"/>
  <c r="AY339" i="3"/>
  <c r="AY482" i="3"/>
  <c r="AY537" i="3"/>
  <c r="AY235" i="3"/>
  <c r="AY459" i="3"/>
  <c r="AY159" i="3"/>
  <c r="AY405" i="3"/>
  <c r="AY167" i="3"/>
  <c r="AY453" i="3"/>
  <c r="AY519" i="3"/>
  <c r="AY255" i="3"/>
  <c r="AY81" i="3"/>
  <c r="AY302" i="3"/>
  <c r="AY510" i="3"/>
  <c r="AY197" i="3"/>
  <c r="AY44" i="3"/>
  <c r="AY470" i="3"/>
  <c r="AY124"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H6" i="3"/>
  <c r="F22" i="11"/>
  <c r="F24" i="67"/>
  <c r="C24" i="67" s="1"/>
  <c r="G54" i="34"/>
  <c r="H54" i="34" s="1"/>
  <c r="F24" i="15"/>
  <c r="C24" i="15" s="1"/>
  <c r="F22" i="69"/>
  <c r="F41" i="69" s="1"/>
  <c r="F22" i="68"/>
  <c r="F25" i="12"/>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15" i="6"/>
  <c r="D20" i="6"/>
  <c r="D14" i="6"/>
  <c r="L19" i="9"/>
  <c r="D19"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4" i="82"/>
  <c r="C17" i="83"/>
  <c r="C17" i="15"/>
  <c r="O36" i="43" l="1"/>
  <c r="C48" i="83"/>
  <c r="C48" i="82"/>
  <c r="B14" i="74"/>
  <c r="B1" i="74" s="1"/>
  <c r="C19" i="71"/>
  <c r="T20" i="71"/>
  <c r="D20" i="71"/>
  <c r="U20" i="71" s="1"/>
  <c r="C18" i="82"/>
  <c r="C15" i="82"/>
  <c r="E6" i="3"/>
  <c r="Q36" i="43"/>
  <c r="M37" i="43"/>
  <c r="Q37" i="43"/>
  <c r="P36" i="43"/>
  <c r="N37" i="43"/>
  <c r="P37" i="43"/>
  <c r="M36" i="43"/>
  <c r="N36" i="43"/>
  <c r="B21" i="1"/>
  <c r="C24" i="11" s="1"/>
  <c r="C24" i="82"/>
  <c r="D28" i="6"/>
  <c r="D5" i="6"/>
  <c r="H21" i="6"/>
  <c r="D10" i="6"/>
  <c r="D8" i="6"/>
  <c r="D24" i="6"/>
  <c r="D25" i="6"/>
  <c r="D13" i="6"/>
  <c r="D23" i="6"/>
  <c r="H22" i="6"/>
  <c r="R22" i="6" s="1"/>
  <c r="R9" i="1" s="1"/>
  <c r="D9" i="6"/>
  <c r="D26" i="6"/>
  <c r="D21" i="6"/>
  <c r="H26" i="6"/>
  <c r="R26" i="6" s="1"/>
  <c r="D11" i="6"/>
  <c r="C18" i="4"/>
  <c r="D29" i="6"/>
  <c r="D6" i="6"/>
  <c r="M19" i="9"/>
  <c r="C118" i="9" s="1"/>
  <c r="F41" i="68"/>
  <c r="H24" i="6"/>
  <c r="H25" i="6"/>
  <c r="C44" i="69"/>
  <c r="D41" i="69" s="1"/>
  <c r="C26" i="69"/>
  <c r="D22" i="69"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4" i="83"/>
  <c r="C66" i="82" l="1"/>
  <c r="C60" i="82"/>
  <c r="C60" i="83"/>
  <c r="C66" i="83"/>
  <c r="D16" i="6"/>
  <c r="C18" i="71"/>
  <c r="D19" i="71"/>
  <c r="B2" i="74"/>
  <c r="C14" i="74"/>
  <c r="C19" i="82"/>
  <c r="C20" i="82" s="1"/>
  <c r="C26" i="82" s="1"/>
  <c r="D27" i="6"/>
  <c r="C15" i="83"/>
  <c r="C18" i="83"/>
  <c r="R24" i="6"/>
  <c r="R11" i="1" s="1"/>
  <c r="C44" i="68"/>
  <c r="D41" i="68" s="1"/>
  <c r="B24" i="1"/>
  <c r="B23" i="1"/>
  <c r="C29" i="11"/>
  <c r="D27" i="11" s="1"/>
  <c r="C29" i="68"/>
  <c r="D27" i="68" s="1"/>
  <c r="C44" i="11"/>
  <c r="D41" i="11" s="1"/>
  <c r="C28" i="11"/>
  <c r="C27" i="11" s="1"/>
  <c r="R21" i="6"/>
  <c r="R8" i="1" s="1"/>
  <c r="E2" i="70"/>
  <c r="D30" i="6"/>
  <c r="D31" i="6" s="1"/>
  <c r="R25" i="6"/>
  <c r="R12" i="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M21" i="82"/>
  <c r="M21" i="83"/>
  <c r="F35" i="83"/>
  <c r="F35" i="82"/>
  <c r="D8" i="74" l="1"/>
  <c r="D7" i="74"/>
  <c r="C17" i="71"/>
  <c r="D18" i="71"/>
  <c r="C23" i="82"/>
  <c r="C29" i="82" s="1"/>
  <c r="C19" i="83"/>
  <c r="C20" i="83" s="1"/>
  <c r="C26" i="83" s="1"/>
  <c r="I5" i="6"/>
  <c r="I6" i="6"/>
  <c r="C23" i="11"/>
  <c r="C26" i="11"/>
  <c r="D22" i="11" s="1"/>
  <c r="C25" i="11"/>
  <c r="C26" i="68"/>
  <c r="D22" i="68" s="1"/>
  <c r="J53" i="82"/>
  <c r="M59" i="82"/>
  <c r="L59" i="82" s="1"/>
  <c r="M59" i="83"/>
  <c r="L59" i="83" s="1"/>
  <c r="J53" i="83"/>
  <c r="M59" i="67"/>
  <c r="J53" i="15"/>
  <c r="M59" i="15"/>
  <c r="L59" i="15" s="1"/>
  <c r="C29" i="12"/>
  <c r="D28" i="12" s="1"/>
  <c r="C26" i="12"/>
  <c r="D25" i="12" s="1"/>
  <c r="F34" i="68"/>
  <c r="F50" i="11"/>
  <c r="F50" i="68"/>
  <c r="F34" i="11"/>
  <c r="F11" i="12"/>
  <c r="F50" i="69"/>
  <c r="J20" i="83"/>
  <c r="J17" i="83" s="1"/>
  <c r="C34" i="83"/>
  <c r="C31" i="83" s="1"/>
  <c r="F63" i="83"/>
  <c r="C62" i="83" s="1"/>
  <c r="C59" i="83" s="1"/>
  <c r="C34" i="82"/>
  <c r="C31" i="82" s="1"/>
  <c r="F63" i="82"/>
  <c r="C62" i="82" s="1"/>
  <c r="C59" i="82" s="1"/>
  <c r="J20" i="82"/>
  <c r="J17" i="82" s="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J14" i="82"/>
  <c r="J13" i="82" s="1"/>
  <c r="J23" i="82" s="1"/>
  <c r="Q49" i="82"/>
  <c r="C57" i="82"/>
  <c r="C64" i="82" s="1"/>
  <c r="C36" i="82"/>
  <c r="C23" i="83"/>
  <c r="C29" i="83" s="1"/>
  <c r="C36" i="83" s="1"/>
  <c r="C13" i="82"/>
  <c r="Q70" i="82" s="1"/>
  <c r="C22" i="11"/>
  <c r="C31" i="11" s="1"/>
  <c r="C14" i="12"/>
  <c r="C16" i="12" s="1"/>
  <c r="C21" i="12" s="1"/>
  <c r="C36" i="68"/>
  <c r="C34" i="68"/>
  <c r="L56" i="15"/>
  <c r="F1" i="15"/>
  <c r="Q52" i="15"/>
  <c r="Q74" i="82"/>
  <c r="Q61" i="82"/>
  <c r="C34" i="11"/>
  <c r="C36" i="11"/>
  <c r="C37" i="11"/>
  <c r="F1" i="82"/>
  <c r="Q52" i="82"/>
  <c r="Q52" i="83"/>
  <c r="F1" i="83"/>
  <c r="Q74" i="15"/>
  <c r="Q61" i="15"/>
  <c r="Q74" i="83"/>
  <c r="Q61" i="83"/>
  <c r="C37" i="68"/>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8" i="1"/>
  <c r="AE9" i="1"/>
  <c r="M21" i="15"/>
  <c r="AE7" i="1"/>
  <c r="F35" i="15"/>
  <c r="F35" i="67"/>
  <c r="M21" i="67"/>
  <c r="C15" i="71" l="1"/>
  <c r="T16" i="71"/>
  <c r="D16" i="71"/>
  <c r="U16" i="71" s="1"/>
  <c r="J22" i="82"/>
  <c r="J16" i="82" s="1"/>
  <c r="J25" i="82" s="1"/>
  <c r="C56" i="82"/>
  <c r="C65" i="82" s="1"/>
  <c r="C58" i="82" s="1"/>
  <c r="C67" i="82" s="1"/>
  <c r="C75" i="82"/>
  <c r="C37" i="82"/>
  <c r="C30" i="82" s="1"/>
  <c r="C39" i="82" s="1"/>
  <c r="Q49" i="83"/>
  <c r="J14" i="83"/>
  <c r="J13" i="83" s="1"/>
  <c r="J23" i="83" s="1"/>
  <c r="C13" i="83"/>
  <c r="C37" i="83" s="1"/>
  <c r="C30" i="83" s="1"/>
  <c r="C39" i="83" s="1"/>
  <c r="C57" i="83"/>
  <c r="C64" i="83" s="1"/>
  <c r="C38" i="11"/>
  <c r="C35" i="11"/>
  <c r="C22" i="12"/>
  <c r="C35" i="68"/>
  <c r="C38" i="68"/>
  <c r="E48" i="21"/>
  <c r="E52" i="21" s="1"/>
  <c r="F52" i="21"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F41" i="83"/>
  <c r="L51" i="83"/>
  <c r="F41" i="15"/>
  <c r="F41" i="82"/>
  <c r="L51" i="82"/>
  <c r="F69" i="82" l="1"/>
  <c r="J29" i="82"/>
  <c r="E53" i="21"/>
  <c r="F53" i="21" s="1"/>
  <c r="C14" i="71"/>
  <c r="D15" i="71"/>
  <c r="I53" i="21"/>
  <c r="J53" i="21" s="1"/>
  <c r="C68" i="82"/>
  <c r="C71" i="82" s="1"/>
  <c r="C40" i="82"/>
  <c r="Q65" i="82" s="1"/>
  <c r="Q75" i="82" s="1"/>
  <c r="Q69" i="82"/>
  <c r="Q68" i="82" s="1"/>
  <c r="J22" i="83"/>
  <c r="J16" i="83" s="1"/>
  <c r="J25" i="83" s="1"/>
  <c r="Q67" i="82"/>
  <c r="C80" i="82"/>
  <c r="C79" i="82" s="1"/>
  <c r="F69" i="15"/>
  <c r="C56" i="83"/>
  <c r="C65" i="83" s="1"/>
  <c r="C58" i="83" s="1"/>
  <c r="C67" i="83" s="1"/>
  <c r="Q70" i="83"/>
  <c r="C75" i="83"/>
  <c r="C80" i="83" s="1"/>
  <c r="C79" i="83" s="1"/>
  <c r="Q67" i="83"/>
  <c r="C33" i="11"/>
  <c r="C42" i="11" s="1"/>
  <c r="Q69" i="83"/>
  <c r="F69" i="83"/>
  <c r="J29" i="83"/>
  <c r="C40" i="83"/>
  <c r="C33" i="68"/>
  <c r="C39" i="68" s="1"/>
  <c r="C43" i="68"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11" l="1"/>
  <c r="C43" i="11" s="1"/>
  <c r="C41" i="11" s="1"/>
  <c r="C13" i="71"/>
  <c r="D14" i="71"/>
  <c r="C46" i="82"/>
  <c r="B2" i="82"/>
  <c r="B3" i="82" s="1"/>
  <c r="E6" i="12" s="1"/>
  <c r="Q47" i="82"/>
  <c r="Q53" i="82" s="1"/>
  <c r="C43" i="82"/>
  <c r="C83" i="82"/>
  <c r="C82" i="82" s="1"/>
  <c r="Q56" i="82"/>
  <c r="Q62" i="82" s="1"/>
  <c r="Q68" i="83"/>
  <c r="C68" i="83"/>
  <c r="C71" i="83" s="1"/>
  <c r="Q56" i="83"/>
  <c r="Q62" i="83" s="1"/>
  <c r="C83" i="83"/>
  <c r="C82" i="83" s="1"/>
  <c r="B2" i="83"/>
  <c r="B3" i="83" s="1"/>
  <c r="C43" i="83"/>
  <c r="Q47" i="83"/>
  <c r="Q53" i="83" s="1"/>
  <c r="Q65" i="83"/>
  <c r="Q75" i="83" s="1"/>
  <c r="C46" i="11"/>
  <c r="C45" i="11" s="1"/>
  <c r="C42" i="68"/>
  <c r="C41" i="68" s="1"/>
  <c r="C46" i="68"/>
  <c r="C45"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46" i="83"/>
  <c r="B3" i="21"/>
  <c r="C6" i="12" s="1"/>
  <c r="C8" i="12"/>
  <c r="C49" i="11"/>
  <c r="C51" i="11" s="1"/>
  <c r="C52" i="11" s="1"/>
  <c r="B2" i="11" s="1"/>
  <c r="B3" i="11" s="1"/>
  <c r="C49" i="68"/>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C11" i="71" l="1"/>
  <c r="T12" i="71"/>
  <c r="D12" i="71"/>
  <c r="U12" i="71" s="1"/>
  <c r="C56" i="11"/>
  <c r="C57" i="1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9" i="1"/>
  <c r="AO11" i="1"/>
  <c r="AO8" i="1"/>
  <c r="AO10" i="1"/>
  <c r="AO12" i="1"/>
  <c r="C10" i="71" l="1"/>
  <c r="D11" i="71"/>
  <c r="R48" i="39"/>
  <c r="C48" i="39" s="1"/>
  <c r="L46" i="15"/>
  <c r="B2" i="15" s="1"/>
  <c r="C4" i="12"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7" i="39" l="1"/>
  <c r="C9" i="71"/>
  <c r="D10" i="71"/>
  <c r="C31" i="12"/>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27" i="12"/>
  <c r="C25" i="12" s="1"/>
  <c r="C30" i="12"/>
  <c r="C28" i="12" s="1"/>
  <c r="F65" i="39"/>
  <c r="C42" i="40"/>
  <c r="C43" i="40"/>
  <c r="E47" i="40"/>
  <c r="F47" i="40" s="1"/>
  <c r="E46" i="40"/>
  <c r="F46" i="40" s="1"/>
  <c r="I47" i="40"/>
  <c r="J47" i="40" s="1"/>
  <c r="D8" i="71" l="1"/>
  <c r="C7" i="71"/>
  <c r="B2" i="39"/>
  <c r="B3" i="39" s="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6" i="71" l="1"/>
  <c r="D7" i="71"/>
  <c r="C7" i="68"/>
  <c r="C5" i="68" s="1"/>
  <c r="D102" i="9"/>
  <c r="D21" i="9"/>
  <c r="B3" i="12"/>
  <c r="D20" i="9"/>
  <c r="D6" i="71" l="1"/>
  <c r="C5" i="71"/>
  <c r="D5" i="71" s="1"/>
  <c r="M24" i="43" s="1"/>
  <c r="C20" i="68"/>
  <c r="C23" i="68"/>
  <c r="D103" i="9"/>
  <c r="C28" i="68" l="1"/>
  <c r="C27" i="68" s="1"/>
  <c r="C25" i="68"/>
  <c r="C22" i="68" s="1"/>
  <c r="C31" i="68" l="1"/>
  <c r="C52" i="68" s="1"/>
  <c r="B2" i="68" l="1"/>
  <c r="C57" i="68"/>
  <c r="C56" i="68" s="1"/>
  <c r="C19" i="9"/>
  <c r="C102" i="9" l="1"/>
  <c r="C21" i="9"/>
  <c r="D22" i="9"/>
  <c r="G19" i="9"/>
  <c r="G21" i="9" s="1"/>
  <c r="B3" i="68"/>
  <c r="D35" i="9"/>
  <c r="D34" i="9"/>
  <c r="C20" i="9"/>
  <c r="C103" i="9" l="1"/>
  <c r="G20" i="9"/>
  <c r="C32" i="9" s="1"/>
  <c r="C35" i="9" s="1"/>
  <c r="C34" i="9" s="1"/>
  <c r="D118" i="9" s="1"/>
  <c r="D4" i="52" s="1"/>
  <c r="B47" i="72" s="1"/>
  <c r="H118" i="9" l="1"/>
  <c r="C104" i="9" s="1"/>
  <c r="F118" i="9"/>
  <c r="D119" i="9"/>
  <c r="D5" i="52" s="1"/>
  <c r="B49" i="72" s="1"/>
  <c r="H4" i="52" l="1"/>
  <c r="H101" i="9"/>
  <c r="D45" i="9" s="1"/>
  <c r="I118" i="9"/>
  <c r="H102" i="9" s="1"/>
  <c r="H119" i="9"/>
  <c r="H5" i="52" s="1"/>
  <c r="D14" i="74"/>
  <c r="G14" i="74" s="1"/>
  <c r="B6" i="74" s="1"/>
  <c r="D6" i="74" s="1"/>
  <c r="F4" i="52"/>
  <c r="B51" i="72" s="1"/>
  <c r="F119" i="9"/>
  <c r="F5" i="52" s="1"/>
  <c r="B53" i="72" s="1"/>
  <c r="G118" i="9"/>
  <c r="G4" i="52" s="1"/>
  <c r="B52" i="72" s="1"/>
  <c r="D5" i="53" l="1"/>
  <c r="H107" i="9"/>
  <c r="D122" i="9" s="1"/>
  <c r="M48" i="9"/>
  <c r="C105" i="9"/>
  <c r="I4" i="52"/>
  <c r="B5" i="74"/>
  <c r="D5" i="74" s="1"/>
  <c r="E14" i="74"/>
  <c r="F14" i="74"/>
  <c r="E118" i="9"/>
  <c r="E4" i="52" s="1"/>
  <c r="B48" i="72" s="1"/>
  <c r="D6" i="53"/>
  <c r="B22" i="72" s="1"/>
  <c r="B20" i="72"/>
  <c r="D7" i="53"/>
  <c r="B21" i="72" s="1"/>
  <c r="D52" i="9"/>
  <c r="D55" i="9"/>
  <c r="M53" i="9" s="1"/>
  <c r="C64" i="9"/>
  <c r="C63" i="9" s="1"/>
  <c r="C67" i="9" s="1"/>
  <c r="C85" i="9"/>
  <c r="C78" i="9"/>
  <c r="C73" i="9" s="1"/>
  <c r="C72" i="9"/>
  <c r="D53" i="9"/>
  <c r="C93" i="9"/>
  <c r="C86" i="9" s="1"/>
  <c r="M49" i="9" l="1"/>
  <c r="L68" i="9" s="1"/>
  <c r="M68" i="9" s="1"/>
  <c r="H108" i="9"/>
  <c r="D15" i="53" s="1"/>
  <c r="B31" i="72" s="1"/>
  <c r="D13" i="53"/>
  <c r="C5" i="74"/>
  <c r="C95" i="9"/>
  <c r="L67" i="9"/>
  <c r="M67" i="9" s="1"/>
  <c r="C68" i="9"/>
  <c r="D54" i="9" s="1"/>
  <c r="D59" i="9"/>
  <c r="M55" i="9" s="1"/>
  <c r="D123" i="9"/>
  <c r="D9" i="52" s="1"/>
  <c r="D8" i="52"/>
  <c r="C79" i="9"/>
  <c r="D14" i="53"/>
  <c r="B32" i="72" s="1"/>
  <c r="B30" i="72"/>
  <c r="L64" i="9" l="1"/>
  <c r="M64" i="9" s="1"/>
  <c r="C6" i="74"/>
  <c r="L66" i="9"/>
  <c r="M66" i="9" s="1"/>
  <c r="L63" i="9"/>
  <c r="M63" i="9" s="1"/>
  <c r="L65" i="9"/>
  <c r="M65" i="9" s="1"/>
  <c r="C80" i="9"/>
  <c r="E80" i="9" s="1"/>
  <c r="E81" i="9" s="1"/>
  <c r="C96" i="9"/>
  <c r="E96" i="9" s="1"/>
  <c r="E97" i="9" s="1"/>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<sst xmlns="http://schemas.openxmlformats.org/spreadsheetml/2006/main" count="10839" uniqueCount="4087">
  <si>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</si>
  <si>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</si>
  <si>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</si>
  <si>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</si>
  <si>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</si>
  <si>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</si>
  <si>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</si>
  <si>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</si>
  <si>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</si>
  <si>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</si>
  <si>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</si>
  <si>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</si>
  <si>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</si>
  <si>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</si>
  <si>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</si>
  <si>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</si>
  <si>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</si>
  <si>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</si>
  <si>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</si>
  <si>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</si>
  <si>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</si>
  <si>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</si>
  <si>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</si>
  <si>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</si>
  <si>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</si>
  <si>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</si>
  <si>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</si>
  <si>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</si>
  <si>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</si>
  <si>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</si>
  <si>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</si>
  <si>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</si>
  <si>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</si>
  <si>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</si>
  <si>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</si>
  <si>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</si>
  <si>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</si>
  <si>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</si>
  <si>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</si>
  <si>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</si>
  <si>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</si>
  <si>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</si>
  <si>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</si>
  <si>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</si>
  <si>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</si>
  <si>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</si>
  <si>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</si>
  <si>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</si>
  <si>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</si>
  <si>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</si>
  <si>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</si>
  <si>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</si>
  <si>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</si>
  <si>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</si>
  <si>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</si>
  <si>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</si>
  <si>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</si>
  <si>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</si>
  <si>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</si>
  <si>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</si>
  <si>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</si>
  <si>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</si>
  <si>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</si>
  <si>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</si>
  <si>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</si>
  <si>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</si>
  <si>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</si>
  <si>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</si>
  <si>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</si>
  <si>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</si>
  <si>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</si>
  <si>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</si>
  <si>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</si>
  <si>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</si>
  <si>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</si>
  <si>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</si>
  <si>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</si>
  <si>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</si>
  <si>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</si>
  <si>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</si>
  <si>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</si>
  <si>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</si>
  <si>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</si>
  <si>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</si>
  <si>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</si>
  <si>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</si>
  <si>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</si>
  <si>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</si>
  <si>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</si>
  <si>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</si>
  <si>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</si>
  <si>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</si>
  <si>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</si>
  <si>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</si>
  <si>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</si>
  <si>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</si>
  <si>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</si>
  <si>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</si>
  <si>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</si>
  <si>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</si>
  <si>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</si>
  <si>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</si>
  <si>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</si>
  <si>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</si>
  <si>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</si>
  <si>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</si>
  <si>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</si>
  <si>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</si>
  <si>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</si>
  <si>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</si>
  <si>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</si>
  <si>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</si>
  <si>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</si>
  <si>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</si>
  <si>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</si>
  <si>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</si>
  <si>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</si>
  <si>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</si>
  <si>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</si>
  <si>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</si>
  <si>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</si>
  <si>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</si>
  <si>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</si>
  <si>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</si>
  <si>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</si>
  <si>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</si>
  <si>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</si>
  <si>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</si>
  <si>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</si>
  <si>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</si>
  <si>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</si>
  <si>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</si>
  <si>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</si>
  <si>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</si>
  <si>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</si>
  <si>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</si>
  <si>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</si>
  <si>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</si>
  <si>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</si>
  <si>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</si>
  <si>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</si>
  <si>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</si>
  <si>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</si>
  <si>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</si>
  <si>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</si>
  <si>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</si>
  <si>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</si>
  <si>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</si>
  <si>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</si>
  <si>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</si>
  <si>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</si>
  <si>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</si>
  <si>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</si>
  <si>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</si>
  <si>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</si>
  <si>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</si>
  <si>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</si>
  <si>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</si>
  <si>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</si>
  <si>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</si>
  <si>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</si>
  <si>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</si>
  <si>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</si>
  <si>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</si>
  <si>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</si>
  <si>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</si>
  <si>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</si>
  <si>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</si>
  <si>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</si>
  <si>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</si>
  <si>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</si>
  <si>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</si>
  <si>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</si>
  <si>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</si>
  <si>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</si>
  <si>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</si>
  <si>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</si>
  <si>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</si>
  <si>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</si>
  <si>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</si>
  <si>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</si>
  <si>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</si>
  <si>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</si>
  <si>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</si>
  <si>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</si>
  <si>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</si>
  <si>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</si>
  <si>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</si>
  <si>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</si>
  <si>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</si>
  <si>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</si>
  <si>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</si>
  <si>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</si>
  <si>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</si>
  <si>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</si>
  <si>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</si>
  <si>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</si>
  <si>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</si>
  <si>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</si>
  <si>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</si>
  <si>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</si>
  <si>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</si>
  <si>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</si>
  <si>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</si>
  <si>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</si>
  <si>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</si>
  <si>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</si>
  <si>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</si>
  <si>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</si>
  <si>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</si>
  <si>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</si>
  <si>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</si>
  <si>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</si>
  <si>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</si>
  <si>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</si>
  <si>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</si>
  <si>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</si>
  <si>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</si>
  <si>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</si>
  <si>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</si>
  <si>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</si>
  <si>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</si>
  <si>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</si>
  <si>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</si>
  <si>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</si>
  <si>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</si>
  <si>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</si>
  <si>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</si>
  <si>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</si>
  <si>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</si>
  <si>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</si>
  <si>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</si>
  <si>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</si>
  <si>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</si>
  <si>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</si>
  <si>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</si>
  <si>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</si>
  <si>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</si>
  <si>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</si>
  <si>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</si>
  <si>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</si>
  <si>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</si>
  <si>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</si>
  <si>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</si>
  <si>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</si>
  <si>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</si>
  <si>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</si>
  <si>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</si>
  <si>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</si>
  <si>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</si>
  <si>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</si>
  <si>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</si>
  <si>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</si>
  <si>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</si>
  <si>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</si>
  <si>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</si>
  <si>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</si>
  <si>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</si>
  <si>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</si>
  <si>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</si>
  <si>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</si>
  <si>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</si>
  <si>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</si>
  <si>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</si>
  <si>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</si>
  <si>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</si>
  <si>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</si>
  <si>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</si>
  <si>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</si>
  <si>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</si>
  <si>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</si>
  <si>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</si>
  <si>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</si>
  <si>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</si>
  <si>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</si>
  <si>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</si>
  <si>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</si>
  <si>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</si>
  <si>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</si>
  <si>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</si>
  <si>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</si>
  <si>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</si>
  <si>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</si>
  <si>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</si>
  <si>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</si>
  <si>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</si>
  <si>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</si>
  <si>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</si>
  <si>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</si>
  <si>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</si>
  <si>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</si>
  <si>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</si>
  <si>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</si>
  <si>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</si>
  <si>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</si>
  <si>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</si>
  <si>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</si>
  <si>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</si>
  <si>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</si>
  <si>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</si>
  <si>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</si>
  <si>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</si>
  <si>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</si>
  <si>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</si>
  <si>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</si>
  <si>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</si>
  <si>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</si>
  <si>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</si>
  <si>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</si>
  <si>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</si>
  <si>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</si>
  <si>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</si>
  <si>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</si>
  <si>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</si>
  <si>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</si>
  <si>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</si>
  <si>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</si>
  <si>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</si>
  <si>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</si>
  <si>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</si>
  <si>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</si>
  <si>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</si>
  <si>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</si>
  <si>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</si>
  <si>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</si>
  <si>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</si>
  <si>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</si>
  <si>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</si>
  <si>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</si>
  <si>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</si>
  <si>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</si>
  <si>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</si>
  <si>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</si>
  <si>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</si>
  <si>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</si>
  <si>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</si>
  <si>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</si>
  <si>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</si>
  <si>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</si>
  <si>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</si>
  <si>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</si>
  <si>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</si>
  <si>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</si>
  <si>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</si>
  <si>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</si>
  <si>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</si>
  <si>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</si>
  <si>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</si>
  <si>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</si>
  <si>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</si>
  <si>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</si>
  <si>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</si>
  <si>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</si>
  <si>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</si>
  <si>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</si>
  <si>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</si>
  <si>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</si>
  <si>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</si>
  <si>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</si>
  <si>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</si>
  <si>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</si>
  <si>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</si>
  <si>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</si>
  <si>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</si>
  <si>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</si>
  <si>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</si>
  <si>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</si>
  <si>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</si>
  <si>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</si>
  <si>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</si>
  <si>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</si>
  <si>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</si>
  <si>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</si>
  <si>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</si>
  <si>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</si>
  <si>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</si>
  <si>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</si>
  <si>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</si>
  <si>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</si>
  <si>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</si>
  <si>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</si>
  <si>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</si>
  <si>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</si>
  <si>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</si>
  <si>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</si>
  <si>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</si>
  <si>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</si>
  <si>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</si>
  <si>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</si>
  <si>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</si>
  <si>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</si>
  <si>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</si>
  <si>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</si>
  <si>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</si>
  <si>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</si>
  <si>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</si>
  <si>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</si>
  <si>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</si>
  <si>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</si>
  <si>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</si>
  <si>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</si>
  <si>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</si>
  <si>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</si>
  <si>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</si>
  <si>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</si>
  <si>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</si>
  <si>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</si>
  <si>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</si>
  <si>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</si>
  <si>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</si>
  <si>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</si>
  <si>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</si>
  <si>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</si>
  <si>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</si>
  <si>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</si>
  <si>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</si>
  <si>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</si>
  <si>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</si>
  <si>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</si>
  <si>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</si>
  <si>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</si>
  <si>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</si>
  <si>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</si>
  <si>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</si>
  <si>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</si>
  <si>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</si>
  <si>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</si>
  <si>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</si>
  <si>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</si>
  <si>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</si>
  <si>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</si>
  <si>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</si>
  <si>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</si>
  <si>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</si>
  <si>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</si>
  <si>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</si>
  <si>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</si>
  <si>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</si>
  <si>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</si>
  <si>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</si>
  <si>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</si>
  <si>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</si>
  <si>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</si>
  <si>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</si>
  <si>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</si>
  <si>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</si>
  <si>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</si>
  <si>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</si>
  <si>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</si>
  <si>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</si>
  <si>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</si>
  <si>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</si>
  <si>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</si>
  <si>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</si>
  <si>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</si>
  <si>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</si>
  <si>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</si>
  <si>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</si>
  <si>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</si>
  <si>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</si>
  <si>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</si>
  <si>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</si>
  <si>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</si>
  <si>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</si>
  <si>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</si>
  <si>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</si>
  <si>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</si>
  <si>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</si>
  <si>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</si>
  <si>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</si>
  <si>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</si>
  <si>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</si>
  <si>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</si>
  <si>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</si>
  <si>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</si>
  <si>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</si>
  <si>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</si>
  <si>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</si>
  <si>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</si>
  <si>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</si>
  <si>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</si>
  <si>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</si>
  <si>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</si>
  <si>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</si>
  <si>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</si>
  <si>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</si>
  <si>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</si>
  <si>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</si>
  <si>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</si>
  <si>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</si>
  <si>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</si>
  <si>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</si>
  <si>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</si>
  <si>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</si>
  <si>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</si>
  <si>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</si>
  <si>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</si>
  <si>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</si>
  <si>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</si>
  <si>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</si>
  <si>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</si>
  <si>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</si>
  <si>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</si>
  <si>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</si>
  <si>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</si>
  <si>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</si>
  <si>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</si>
  <si>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</si>
  <si>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</si>
  <si>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</si>
  <si>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</si>
  <si>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</si>
  <si>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</si>
  <si>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</si>
  <si>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</si>
  <si>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</si>
  <si>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</si>
  <si>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</si>
  <si>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</si>
  <si>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</si>
  <si>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</si>
  <si>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</si>
  <si>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</si>
  <si>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</si>
  <si>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</si>
  <si>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</si>
  <si>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</si>
  <si>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</si>
  <si>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</si>
  <si>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</si>
  <si>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</si>
  <si>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</si>
  <si>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</si>
  <si>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</si>
  <si>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</si>
  <si>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</si>
  <si>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</si>
  <si>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</si>
  <si>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</si>
  <si>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</si>
  <si>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</si>
  <si>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</si>
  <si>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</si>
  <si>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</si>
  <si>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</si>
  <si>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</si>
  <si>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</si>
  <si>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</si>
  <si>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</si>
  <si>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</si>
  <si>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</si>
  <si>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</si>
  <si>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</si>
  <si>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</si>
  <si>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</si>
  <si>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</si>
  <si>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</si>
  <si>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</si>
  <si>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</si>
  <si>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</si>
  <si>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</si>
  <si>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</si>
  <si>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</si>
  <si>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</si>
  <si>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</si>
  <si>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</si>
  <si>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</si>
  <si>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</si>
  <si>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</si>
  <si>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</si>
  <si>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</si>
  <si>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</si>
  <si>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</si>
  <si>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</si>
  <si>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</si>
  <si>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</si>
  <si>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</si>
  <si>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</si>
  <si>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</si>
  <si>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</si>
  <si>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</si>
  <si>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</si>
  <si>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</si>
  <si>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</si>
  <si>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</si>
  <si>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</si>
  <si>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</si>
  <si>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</si>
  <si>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</si>
  <si>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</si>
  <si>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</si>
  <si>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</si>
  <si>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</si>
  <si>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</si>
  <si>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</si>
  <si>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</si>
  <si>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</si>
  <si>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</si>
  <si>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</si>
  <si>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</si>
  <si>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</si>
  <si>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</si>
  <si>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</si>
  <si>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</si>
  <si>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</si>
  <si>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</si>
  <si>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</si>
  <si>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</si>
  <si>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</si>
  <si>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</si>
  <si>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</si>
  <si>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</si>
  <si>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</si>
  <si>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</si>
  <si>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</si>
  <si>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</si>
  <si>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</si>
  <si>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</si>
  <si>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</si>
  <si>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</si>
  <si>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</si>
  <si>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</si>
  <si>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</si>
  <si>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</si>
  <si>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</si>
  <si>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</si>
  <si>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</si>
  <si>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</si>
  <si>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</si>
  <si>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</si>
  <si>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</si>
  <si>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</si>
  <si>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</si>
  <si>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</si>
  <si>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</si>
  <si>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</si>
  <si>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</si>
  <si>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</si>
  <si>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</si>
  <si>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</si>
  <si>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</si>
  <si>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</si>
  <si>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</si>
  <si>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</si>
  <si>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</si>
  <si>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</si>
  <si>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</si>
  <si>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</si>
  <si>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</si>
  <si>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</si>
  <si>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</si>
  <si>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</si>
  <si>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</si>
  <si>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</si>
  <si>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</si>
  <si>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</si>
  <si>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</si>
  <si>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</si>
  <si>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</si>
  <si>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</si>
  <si>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</si>
  <si>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</si>
  <si>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</si>
  <si>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</si>
  <si>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</si>
  <si>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</si>
  <si>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</si>
  <si>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</si>
  <si>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</si>
  <si>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</si>
  <si>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</si>
  <si>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</si>
  <si>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</si>
  <si>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</si>
  <si>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</si>
  <si>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</si>
  <si>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</si>
  <si>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</si>
  <si>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</si>
  <si>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</si>
  <si>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</si>
  <si>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</si>
  <si>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</si>
  <si>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</si>
  <si>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</si>
  <si>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</si>
  <si>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</si>
  <si>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</si>
  <si>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</si>
  <si>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</si>
  <si>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</si>
  <si>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</si>
  <si>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</si>
  <si>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</si>
  <si>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</si>
  <si>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</si>
  <si>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</si>
  <si>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</si>
  <si>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</si>
  <si>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</si>
  <si>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</si>
  <si>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</si>
  <si>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</si>
  <si>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</si>
  <si>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</si>
  <si>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</si>
  <si>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</si>
  <si>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</si>
  <si>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</si>
  <si>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</si>
  <si>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</si>
  <si>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</si>
  <si>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</si>
  <si>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</si>
  <si>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</si>
  <si>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</si>
  <si>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</si>
  <si>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</si>
  <si>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</si>
  <si>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</si>
  <si>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</si>
  <si>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</si>
  <si>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</si>
  <si>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</si>
  <si>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</si>
  <si>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</si>
  <si>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</si>
  <si>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</si>
  <si>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</si>
  <si>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</si>
  <si>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</si>
  <si>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</si>
  <si>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</si>
  <si>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</si>
  <si>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</si>
  <si>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</si>
  <si>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</si>
  <si>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</si>
  <si>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</si>
  <si>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</si>
  <si>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</si>
  <si>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</si>
  <si>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</si>
  <si>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</si>
  <si>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</si>
  <si>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</si>
  <si>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</si>
  <si>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</si>
  <si>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</si>
  <si>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</si>
  <si>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</si>
  <si>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</si>
  <si>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</si>
  <si>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</si>
  <si>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</si>
  <si>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</si>
  <si>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</si>
  <si>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</si>
  <si>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</si>
  <si>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</si>
  <si>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</si>
  <si>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</si>
  <si>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</si>
  <si>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</si>
  <si>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</si>
  <si>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</si>
  <si>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</si>
  <si>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</si>
  <si>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</si>
  <si>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</si>
  <si>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</si>
  <si>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</si>
  <si>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</si>
  <si>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</si>
  <si>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</si>
  <si>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</si>
  <si>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</si>
  <si>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</si>
  <si>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</si>
  <si>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</si>
  <si>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</si>
  <si>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</si>
  <si>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</si>
  <si>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</si>
  <si>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</si>
  <si>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</si>
  <si>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</si>
  <si>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</si>
  <si>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</si>
  <si>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</si>
  <si>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</si>
  <si>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</si>
  <si>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</si>
  <si>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</si>
  <si>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</si>
  <si>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</si>
  <si>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</si>
  <si>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</si>
  <si>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</si>
  <si>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</si>
  <si>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</si>
  <si>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</si>
  <si>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</si>
  <si>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</si>
  <si>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</si>
  <si>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</si>
  <si>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</si>
  <si>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</si>
  <si>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</si>
  <si>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</si>
  <si>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</si>
  <si>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</si>
  <si>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</si>
  <si>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</si>
  <si>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</si>
  <si>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</si>
  <si>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</si>
  <si>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</si>
  <si>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</si>
  <si>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</si>
  <si>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</si>
  <si>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</si>
  <si>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</si>
  <si>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</si>
  <si>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</si>
  <si>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</si>
  <si>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</si>
  <si>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</si>
  <si>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</si>
  <si>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</si>
  <si>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</si>
  <si>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</si>
  <si>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</si>
  <si>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</si>
  <si>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</si>
  <si>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</si>
  <si>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</si>
  <si>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</si>
  <si>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</si>
  <si>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</si>
  <si>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</si>
  <si>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</si>
  <si>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</si>
  <si>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</si>
  <si>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</si>
  <si>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</si>
  <si>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</si>
  <si>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</si>
  <si>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</si>
  <si>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</si>
  <si>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</si>
  <si>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</si>
  <si>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</si>
  <si>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</si>
  <si>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</si>
  <si>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</si>
  <si>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</si>
  <si>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</si>
  <si>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</si>
  <si>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</si>
  <si>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</si>
  <si>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</si>
  <si>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</si>
  <si>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</si>
  <si>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</si>
  <si>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</si>
  <si>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</si>
  <si>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</si>
  <si>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</si>
  <si>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</si>
  <si>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</si>
  <si>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</si>
  <si>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</si>
  <si>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</si>
  <si>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</si>
  <si>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</si>
  <si>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</si>
  <si>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</si>
  <si>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</si>
  <si>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</si>
  <si>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</si>
  <si>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</si>
  <si>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</si>
  <si>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</si>
  <si>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</si>
  <si>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</si>
  <si>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</si>
  <si>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</si>
  <si>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</si>
  <si>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</si>
  <si>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</si>
  <si>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</si>
  <si>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</si>
  <si>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</si>
  <si>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</si>
  <si>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</si>
  <si>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</si>
  <si>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</si>
  <si>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</si>
  <si>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</si>
  <si>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</si>
  <si>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</si>
  <si>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</si>
  <si>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</si>
  <si>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</si>
  <si>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</si>
  <si>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</si>
  <si>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</si>
  <si>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</si>
  <si>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</si>
  <si>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</si>
  <si>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</si>
  <si>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</si>
  <si>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</si>
  <si>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</si>
  <si>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</si>
  <si>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</si>
  <si>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</si>
  <si>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</si>
  <si>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</si>
  <si>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</si>
  <si>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</si>
  <si>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</si>
  <si>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</si>
  <si>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</si>
  <si>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</si>
  <si>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</si>
  <si>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</si>
  <si>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</si>
  <si>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</si>
  <si>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</si>
  <si>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</si>
  <si>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</si>
  <si>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</si>
  <si>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</si>
  <si>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</si>
  <si>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</si>
  <si>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</si>
  <si>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</si>
  <si>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</si>
  <si>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</si>
  <si>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</si>
  <si>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</si>
  <si>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</si>
  <si>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</si>
  <si>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</si>
  <si>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</si>
  <si>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</si>
  <si>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</si>
  <si>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</si>
  <si>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</si>
  <si>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</si>
  <si>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</si>
  <si>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</si>
  <si>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</si>
  <si>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</si>
  <si>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</si>
  <si>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</si>
  <si>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</si>
  <si>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</si>
  <si>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</si>
  <si>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</si>
  <si>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</si>
  <si>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</si>
  <si>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</si>
  <si>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</si>
  <si>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</si>
  <si>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</si>
  <si>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</si>
  <si>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</si>
  <si>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</si>
  <si>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</si>
  <si>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</si>
  <si>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</si>
  <si>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</si>
  <si>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</si>
  <si>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</si>
  <si>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</si>
  <si>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</si>
  <si>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</si>
  <si>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</si>
  <si>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</si>
  <si>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</si>
  <si>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</si>
  <si>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</si>
  <si>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</si>
  <si>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</si>
  <si>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</si>
  <si>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</si>
  <si>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</si>
  <si>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</si>
  <si>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</si>
  <si>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</si>
  <si>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</si>
  <si>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</si>
  <si>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</si>
  <si>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</si>
  <si>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</si>
  <si>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</si>
  <si>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</si>
  <si>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</si>
  <si>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</si>
  <si>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</si>
  <si>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</si>
  <si>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</si>
  <si>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</si>
  <si>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</si>
  <si>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</si>
  <si>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</si>
  <si>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</si>
  <si>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</si>
  <si>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</si>
  <si>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</si>
  <si>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</si>
  <si>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</si>
  <si>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</si>
  <si>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</si>
  <si>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</si>
  <si>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</si>
  <si>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</si>
  <si>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</si>
  <si>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</si>
  <si>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</si>
  <si>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</si>
  <si>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</si>
  <si>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</si>
  <si>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</si>
  <si>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</si>
  <si>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</si>
  <si>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</si>
  <si>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</si>
  <si>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</si>
  <si>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</si>
  <si>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</si>
  <si>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</si>
  <si>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</si>
  <si>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</si>
  <si>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</si>
  <si>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</si>
  <si>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</si>
  <si>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</si>
  <si>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</si>
  <si>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</si>
  <si>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</si>
  <si>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</si>
  <si>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</si>
  <si>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</si>
  <si>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</si>
  <si>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</si>
  <si>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</si>
  <si>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</si>
  <si>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</si>
  <si>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</si>
  <si>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</si>
  <si>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</si>
  <si>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</si>
  <si>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</si>
  <si>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</si>
  <si>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</si>
  <si>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</si>
  <si>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</si>
  <si>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</si>
  <si>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</si>
  <si>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</si>
  <si>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</si>
  <si>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</si>
  <si>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</si>
  <si>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</si>
  <si>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</si>
  <si>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</si>
  <si>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</si>
  <si>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</si>
  <si>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</si>
  <si>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</si>
  <si>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</si>
  <si>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</si>
  <si>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</si>
  <si>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</si>
  <si>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</si>
  <si>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</si>
  <si>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</si>
  <si>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</si>
  <si>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</si>
  <si>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</si>
  <si>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</si>
  <si>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</si>
  <si>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</si>
  <si>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</si>
  <si>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</si>
  <si>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</si>
  <si>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</si>
  <si>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</si>
  <si>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</si>
  <si>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</si>
  <si>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</si>
  <si>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</si>
  <si>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</si>
  <si>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</si>
  <si>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</si>
  <si>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</si>
  <si>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</si>
  <si>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</si>
  <si>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</si>
  <si>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</si>
  <si>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</si>
  <si>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</si>
  <si>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</si>
  <si>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</si>
  <si>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</si>
  <si>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</si>
  <si>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</si>
  <si>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</si>
  <si>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</si>
  <si>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</si>
  <si>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</si>
  <si>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</si>
  <si>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</si>
  <si>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</si>
  <si>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</si>
  <si>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</si>
  <si>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</si>
  <si>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</si>
  <si>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</si>
  <si>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</si>
  <si>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</si>
  <si>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</si>
  <si>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</si>
  <si>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</si>
  <si>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</si>
  <si>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</si>
  <si>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</si>
  <si>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</si>
  <si>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</si>
  <si>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</si>
  <si>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</si>
  <si>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</si>
  <si>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</si>
  <si>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</si>
  <si>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</si>
  <si>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</si>
  <si>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</si>
  <si>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</si>
  <si>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</si>
  <si>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</si>
  <si>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</si>
  <si>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</si>
  <si>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</si>
  <si>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</si>
  <si>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</si>
  <si>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</si>
  <si>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</si>
  <si>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</si>
  <si>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</si>
  <si>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</si>
  <si>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</si>
  <si>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</si>
  <si>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</si>
  <si>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</si>
  <si>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</si>
  <si>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</si>
  <si>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</si>
  <si>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</si>
  <si>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</si>
  <si>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</si>
  <si>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</si>
  <si>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</si>
  <si>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</si>
  <si>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</si>
  <si>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</si>
  <si>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</si>
  <si>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</si>
  <si>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</si>
  <si>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</si>
  <si>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</si>
  <si>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</si>
  <si>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</si>
  <si>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</si>
  <si>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</si>
  <si>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</si>
  <si>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</si>
  <si>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</si>
  <si>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</si>
  <si>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</si>
  <si>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</si>
  <si>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</si>
  <si>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</si>
  <si>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</si>
  <si>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</si>
  <si>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</si>
  <si>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</si>
  <si>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</si>
  <si>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</si>
  <si>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</si>
  <si>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</si>
  <si>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</si>
  <si>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</si>
  <si>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</si>
  <si>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</si>
  <si>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</si>
  <si>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</si>
  <si>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</si>
  <si>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</si>
  <si>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</si>
  <si>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</si>
  <si>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</si>
  <si>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</si>
  <si>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</si>
  <si>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</si>
  <si>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</si>
  <si>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</si>
  <si>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</si>
  <si>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</si>
  <si>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</si>
  <si>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</si>
  <si>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</si>
  <si>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</si>
  <si>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</si>
  <si>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</si>
  <si>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</si>
  <si>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</si>
  <si>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</si>
  <si>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</si>
  <si>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</si>
  <si>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</si>
  <si>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</si>
  <si>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</si>
  <si>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</si>
  <si>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</si>
  <si>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</si>
  <si>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</si>
  <si>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</si>
  <si>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</si>
  <si>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</si>
  <si>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</si>
  <si>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</si>
  <si>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</si>
  <si>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</si>
  <si>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</si>
  <si>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</si>
  <si>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</si>
  <si>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</si>
  <si>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</si>
  <si>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</si>
  <si>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</si>
  <si>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</si>
  <si>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</si>
  <si>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</si>
  <si>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</si>
  <si>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</si>
  <si>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</si>
  <si>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</si>
  <si>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</si>
  <si>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</si>
  <si>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</si>
  <si>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</si>
  <si>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</si>
  <si>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</si>
  <si>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</si>
  <si>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</si>
  <si>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</si>
  <si>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</si>
  <si>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</si>
  <si>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</si>
  <si>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</si>
  <si>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</si>
  <si>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</si>
  <si>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</si>
  <si>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</si>
  <si>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</si>
  <si>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</si>
  <si>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</si>
  <si>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</si>
  <si>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</si>
  <si>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</si>
  <si>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</si>
  <si>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</si>
  <si>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</si>
  <si>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</si>
  <si>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</si>
  <si>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</si>
  <si>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</si>
  <si>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</si>
  <si>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</si>
  <si>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</si>
  <si>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</si>
  <si>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</si>
  <si>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</si>
  <si>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</si>
  <si>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</si>
  <si>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</si>
  <si>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</si>
  <si>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</si>
  <si>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</si>
  <si>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</si>
  <si>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</si>
  <si>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</si>
  <si>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</si>
  <si>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</si>
  <si>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</si>
  <si>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</si>
  <si>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</si>
  <si>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</si>
  <si>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</si>
  <si>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</si>
  <si>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</si>
  <si>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</si>
  <si>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</si>
  <si>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</si>
  <si>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</si>
  <si>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</si>
  <si>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</si>
  <si>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</si>
  <si>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</si>
  <si>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</si>
  <si>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</si>
  <si>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</si>
  <si>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</si>
  <si>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</si>
  <si>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</si>
  <si>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</si>
  <si>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</si>
  <si>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</si>
  <si>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</si>
  <si>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</si>
  <si>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</si>
  <si>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</si>
  <si>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</si>
  <si>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</si>
  <si>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</si>
  <si>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</si>
  <si>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</si>
  <si>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</si>
  <si>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</si>
  <si>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</si>
  <si>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</si>
  <si>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</si>
  <si>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</si>
  <si>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</si>
  <si>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</si>
  <si>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</si>
  <si>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</si>
  <si>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</si>
  <si>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</si>
  <si>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</si>
  <si>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</si>
  <si>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</si>
  <si>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</si>
  <si>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</si>
  <si>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</si>
  <si>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</si>
  <si>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</si>
  <si>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</si>
  <si>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</si>
  <si>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</si>
  <si>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</si>
  <si>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</si>
  <si>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</si>
  <si>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</si>
  <si>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</si>
  <si>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</si>
  <si>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</si>
  <si>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</si>
  <si>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</si>
  <si>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</si>
  <si>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</si>
  <si>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</si>
  <si>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</si>
  <si>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</si>
  <si>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</si>
  <si>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</si>
  <si>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</si>
  <si>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</si>
  <si>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</si>
  <si>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</si>
  <si>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</si>
  <si>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</si>
  <si>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</si>
  <si>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</si>
  <si>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</si>
  <si>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</si>
  <si>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</si>
  <si>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</si>
  <si>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</si>
  <si>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</si>
  <si>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</si>
  <si>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</si>
  <si>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</si>
  <si>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</si>
  <si>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</si>
  <si>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</si>
  <si>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</si>
  <si>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</si>
  <si>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</si>
  <si>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</si>
  <si>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</si>
  <si>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</si>
  <si>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</si>
  <si>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</si>
  <si>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</si>
  <si>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</si>
  <si>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</si>
  <si>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</si>
  <si>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</si>
  <si>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</si>
  <si>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</si>
  <si>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</si>
  <si>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</si>
  <si>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</si>
  <si>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</si>
  <si>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</si>
  <si>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</si>
  <si>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</si>
  <si>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</si>
  <si>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</si>
  <si>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</si>
  <si>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</si>
  <si>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</si>
  <si>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</si>
  <si>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</si>
  <si>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</si>
  <si>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</si>
  <si>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</si>
  <si>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</si>
  <si>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</si>
  <si>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</si>
  <si>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</si>
  <si>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</si>
  <si>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</si>
  <si>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</si>
  <si>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</si>
  <si>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</si>
  <si>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</si>
  <si>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</si>
  <si>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</si>
  <si>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</si>
  <si>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</si>
  <si>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</si>
  <si>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</si>
  <si>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</si>
  <si>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</si>
  <si>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</si>
  <si>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</si>
  <si>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</si>
  <si>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</si>
  <si>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</si>
  <si>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</si>
  <si>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</si>
  <si>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</si>
  <si>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</si>
  <si>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</si>
  <si>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</si>
  <si>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</si>
  <si>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</si>
  <si>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</si>
  <si>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</si>
  <si>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</si>
  <si>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</si>
  <si>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</si>
  <si>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</si>
  <si>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</si>
  <si>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</si>
  <si>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</si>
  <si>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</si>
  <si>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</si>
  <si>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</si>
  <si>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</si>
  <si>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</si>
  <si>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</si>
  <si>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</si>
  <si>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</si>
  <si>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</si>
  <si>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</si>
  <si>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</si>
  <si>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</si>
  <si>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</si>
  <si>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</si>
  <si>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</si>
  <si>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</si>
  <si>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</si>
  <si>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</si>
  <si>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</si>
  <si>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</si>
  <si>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</si>
  <si>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</si>
  <si>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</si>
  <si>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</si>
  <si>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</si>
  <si>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</si>
  <si>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</si>
  <si>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</si>
  <si>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</si>
  <si>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</si>
  <si>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</si>
  <si>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</si>
  <si>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</si>
  <si>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</si>
  <si>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</si>
  <si>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</si>
  <si>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</si>
  <si>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</si>
  <si>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</si>
  <si>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</si>
  <si>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</si>
  <si>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</si>
  <si>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</si>
  <si>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</si>
  <si>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</si>
  <si>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</si>
  <si>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</si>
  <si>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</si>
  <si>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</si>
  <si>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</si>
  <si>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</si>
  <si>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</si>
  <si>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</si>
  <si>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</si>
  <si>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</si>
  <si>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</si>
  <si>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</si>
  <si>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</si>
  <si>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</si>
  <si>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</si>
  <si>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</si>
  <si>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</si>
  <si>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</si>
  <si>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</si>
  <si>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</si>
  <si>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</si>
  <si>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</si>
  <si>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</si>
  <si>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</si>
  <si>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</si>
  <si>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</si>
  <si>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</si>
  <si>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</si>
  <si>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</si>
  <si>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</si>
  <si>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</si>
  <si>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</si>
  <si>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</si>
  <si>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</si>
  <si>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</si>
  <si>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</si>
  <si>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</si>
  <si>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</si>
  <si>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</si>
  <si>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</si>
  <si>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</si>
  <si>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</si>
  <si>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</si>
  <si>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</si>
  <si>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</si>
  <si>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</si>
  <si>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</si>
  <si>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</si>
  <si>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</si>
  <si>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</si>
  <si>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</si>
  <si>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</si>
  <si>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</si>
  <si>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</si>
  <si>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</si>
  <si>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</si>
  <si>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</si>
  <si>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</si>
  <si>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</si>
  <si>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</si>
  <si>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</si>
  <si>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</si>
  <si>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</si>
  <si>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</si>
  <si>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</si>
  <si>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</si>
  <si>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</si>
  <si>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</si>
  <si>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</si>
  <si>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</si>
  <si>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</si>
  <si>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</si>
  <si>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</si>
  <si>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</si>
  <si>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</si>
  <si>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</si>
  <si>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</si>
  <si>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</si>
  <si>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</si>
  <si>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</si>
  <si>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</si>
  <si>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</si>
  <si>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</si>
  <si>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</si>
  <si>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</si>
  <si>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</si>
  <si>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</si>
  <si>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</si>
  <si>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</si>
  <si>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</si>
  <si>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</si>
  <si>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</si>
  <si>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</si>
  <si>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</si>
  <si>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</si>
  <si>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</si>
  <si>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</si>
  <si>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</si>
  <si>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</si>
  <si>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</si>
  <si>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</si>
  <si>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</si>
  <si>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</si>
  <si>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</si>
  <si>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</si>
  <si>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</si>
  <si>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</si>
  <si>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</si>
  <si>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</si>
  <si>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</si>
  <si>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</si>
  <si>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</si>
  <si>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</si>
  <si>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</si>
  <si>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</si>
  <si>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</si>
  <si>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</si>
  <si>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</si>
  <si>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</si>
  <si>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</si>
  <si>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</si>
  <si>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</si>
  <si>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</si>
  <si>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</si>
  <si>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</si>
  <si>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</si>
  <si>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</si>
  <si>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</si>
  <si>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</si>
  <si>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</si>
  <si>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</si>
  <si>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</si>
  <si>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</si>
  <si>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</si>
  <si>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</si>
  <si>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</si>
  <si>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</si>
  <si>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</si>
  <si>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</si>
  <si>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</si>
  <si>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</si>
  <si>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</si>
  <si>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</si>
  <si>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</si>
  <si>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</si>
  <si>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</si>
  <si>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</si>
  <si>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</si>
  <si>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</si>
  <si>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</si>
  <si>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</si>
  <si>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</si>
  <si>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</si>
  <si>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</si>
  <si>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</si>
  <si>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</si>
  <si>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</si>
  <si>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</si>
  <si>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</si>
  <si>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</si>
  <si>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</si>
  <si>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</si>
  <si>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</si>
  <si>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</si>
  <si>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</si>
  <si>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</si>
  <si>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</si>
  <si>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</si>
  <si>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</si>
  <si>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</si>
  <si>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</si>
  <si>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</si>
  <si>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</si>
  <si>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</si>
  <si>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</si>
  <si>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</si>
  <si>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</si>
  <si>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</si>
  <si>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</si>
  <si>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</si>
  <si>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</si>
  <si>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</si>
  <si>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</si>
  <si>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</si>
  <si>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</si>
  <si>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</si>
  <si>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</si>
  <si>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</si>
  <si>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</si>
  <si>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</si>
  <si>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</si>
  <si>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</si>
  <si>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</si>
  <si>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</si>
  <si>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</si>
  <si>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</si>
  <si>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</si>
  <si>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</si>
  <si>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</si>
  <si>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</si>
  <si>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</si>
  <si>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</si>
  <si>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</si>
  <si>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</si>
  <si>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</si>
  <si>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</si>
  <si>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</si>
  <si>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</si>
  <si>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</si>
  <si>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</si>
  <si>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</si>
  <si>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</si>
  <si>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</si>
  <si>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</si>
  <si>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</si>
  <si>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</si>
  <si>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</si>
  <si>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</si>
  <si>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</si>
  <si>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</si>
  <si>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</si>
  <si>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</si>
  <si>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</si>
  <si>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</si>
  <si>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</si>
  <si>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</si>
  <si>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</si>
  <si>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</si>
  <si>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</si>
  <si>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</si>
  <si>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</si>
  <si>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</si>
  <si>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</si>
  <si>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</si>
  <si>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</si>
  <si>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</si>
  <si>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</si>
  <si>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</si>
  <si>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</si>
  <si>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</si>
  <si>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</si>
  <si>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</si>
  <si>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</si>
  <si>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</si>
  <si>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</si>
  <si>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</si>
  <si>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</si>
  <si>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</si>
  <si>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</si>
  <si>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</si>
  <si>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</si>
  <si>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</si>
  <si>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</si>
  <si>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</si>
  <si>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</si>
  <si>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</si>
  <si>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</si>
  <si>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</si>
  <si>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</si>
  <si>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</si>
  <si>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</si>
  <si>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</si>
  <si>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</si>
  <si>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</si>
  <si>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</si>
  <si>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</si>
  <si>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</si>
  <si>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</si>
  <si>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</si>
  <si>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</si>
  <si>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</si>
  <si>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</si>
  <si>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</si>
  <si>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</si>
  <si>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</si>
  <si>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</si>
  <si>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</si>
  <si>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</si>
  <si>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</si>
  <si>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</si>
  <si>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</si>
  <si>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</si>
  <si>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</si>
  <si>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</si>
  <si>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</si>
  <si>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</si>
  <si>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</si>
  <si>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</si>
  <si>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</si>
  <si>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</si>
  <si>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</si>
  <si>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</si>
  <si>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</si>
  <si>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</si>
  <si>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</si>
  <si>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</si>
  <si>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</si>
  <si>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</si>
  <si>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</si>
  <si>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</si>
  <si>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</si>
  <si>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</si>
  <si>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</si>
  <si>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</si>
  <si>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</si>
  <si>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</si>
  <si>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</si>
  <si>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</si>
  <si>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</si>
  <si>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</si>
  <si>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</si>
  <si>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</si>
  <si>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</si>
  <si>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</si>
  <si>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</si>
  <si>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</si>
  <si>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</si>
  <si>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</si>
  <si>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</si>
  <si>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</si>
  <si>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</si>
  <si>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</si>
  <si>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</si>
  <si>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</si>
  <si>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</si>
  <si>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</si>
  <si>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</si>
  <si>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</si>
  <si>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</si>
  <si>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</si>
  <si>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</si>
  <si>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</si>
  <si>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</si>
  <si>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</si>
  <si>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</si>
  <si>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</si>
  <si>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</si>
  <si>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</si>
  <si>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</si>
  <si>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</si>
  <si>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</si>
  <si>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</si>
  <si>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</si>
  <si>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</si>
  <si>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</si>
  <si>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</si>
  <si>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</si>
  <si>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</si>
  <si>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</si>
  <si>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</si>
  <si>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</si>
  <si>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</si>
  <si>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</si>
  <si>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</si>
  <si>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</si>
  <si>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</si>
  <si>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</si>
  <si>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</si>
  <si>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</si>
  <si>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</si>
  <si>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</si>
  <si>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</si>
  <si>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</si>
  <si>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</si>
  <si>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</si>
  <si>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</si>
  <si>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</si>
  <si>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</si>
  <si>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</si>
  <si>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</si>
  <si>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</si>
  <si>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</si>
  <si>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</si>
  <si>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</si>
  <si>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</si>
  <si>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</si>
  <si>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</si>
  <si>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</si>
  <si>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</si>
  <si>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</si>
  <si>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</si>
  <si>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</si>
  <si>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</si>
  <si>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</si>
  <si>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</si>
  <si>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</si>
  <si>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</si>
  <si>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</si>
  <si>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</si>
  <si>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</si>
  <si>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</si>
  <si>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</si>
  <si>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</si>
  <si>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</si>
  <si>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</si>
  <si>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</si>
  <si>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</si>
  <si>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</si>
  <si>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</si>
  <si>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</si>
  <si>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</si>
  <si>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</si>
  <si>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</si>
  <si>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</si>
  <si>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</si>
  <si>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</si>
  <si>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</si>
  <si>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</si>
  <si>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</si>
  <si>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</si>
  <si>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</si>
  <si>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</si>
  <si>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</si>
  <si>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</si>
  <si>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</si>
  <si>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</si>
  <si>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</si>
  <si>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</si>
  <si>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</si>
  <si>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</si>
  <si>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</si>
  <si>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</si>
  <si>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</si>
  <si>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</si>
  <si>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</si>
  <si>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</si>
  <si>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</si>
  <si>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</si>
  <si>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</si>
  <si>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</si>
  <si>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</si>
  <si>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</si>
  <si>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</si>
  <si>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</si>
  <si>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</si>
  <si>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</si>
  <si>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</si>
  <si>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</si>
  <si>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</si>
  <si>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</si>
  <si>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</si>
  <si>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</si>
  <si>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</si>
  <si>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</si>
  <si>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</si>
  <si>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</si>
  <si>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</si>
  <si>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</si>
  <si>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</si>
  <si>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</si>
  <si>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</si>
  <si>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</si>
  <si>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</si>
  <si>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</si>
  <si>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</si>
  <si>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</si>
  <si>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</si>
  <si>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</si>
  <si>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</si>
  <si>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</si>
  <si>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</si>
  <si>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</si>
  <si>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</si>
  <si>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</si>
  <si>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</si>
  <si>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</si>
  <si>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</si>
  <si>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</si>
  <si>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</si>
  <si>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</si>
  <si>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</si>
  <si>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</si>
  <si>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</si>
  <si>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</si>
  <si>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</si>
  <si>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</si>
  <si>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</si>
  <si>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</si>
  <si>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</si>
  <si>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</si>
  <si>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</si>
  <si>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</si>
  <si>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</si>
  <si>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</si>
  <si>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</si>
  <si>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</si>
  <si>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</si>
  <si>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</si>
  <si>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</si>
  <si>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</si>
  <si>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</si>
  <si>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</si>
  <si>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</si>
  <si>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</si>
  <si>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</si>
  <si>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</si>
  <si>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</si>
  <si>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</si>
  <si>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</si>
  <si>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</si>
  <si>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</si>
  <si>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</si>
  <si>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</si>
  <si>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</si>
  <si>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</si>
  <si>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</si>
  <si>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</si>
  <si>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</si>
  <si>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</si>
  <si>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</si>
  <si>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</si>
  <si>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</si>
  <si>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</si>
  <si>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</si>
  <si>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</si>
  <si>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</si>
  <si>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</si>
  <si>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</si>
  <si>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</si>
  <si>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</si>
  <si>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</si>
  <si>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</si>
  <si>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</si>
  <si>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</si>
  <si>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</si>
  <si>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</si>
  <si>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</si>
  <si>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</si>
  <si>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</si>
  <si>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</si>
  <si>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</si>
  <si>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</si>
  <si>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</si>
  <si>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</si>
  <si>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</si>
  <si>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</si>
  <si>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</si>
  <si>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</si>
  <si>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</si>
  <si>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</si>
  <si>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</si>
  <si>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</si>
  <si>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</si>
  <si>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</si>
  <si>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</si>
  <si>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</si>
  <si>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</si>
  <si>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</si>
  <si>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</si>
  <si>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</si>
  <si>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</si>
  <si>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</si>
  <si>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</si>
  <si>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</si>
  <si>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</si>
  <si>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</si>
  <si>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</si>
  <si>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</si>
  <si>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</si>
  <si>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</si>
  <si>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</si>
  <si>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</si>
  <si>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</si>
  <si>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</si>
  <si>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</si>
  <si>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</si>
  <si>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</si>
  <si>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</si>
  <si>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</si>
  <si>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</si>
  <si>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</si>
  <si>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</si>
  <si>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</si>
  <si>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</si>
  <si>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</si>
  <si>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</si>
  <si>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</si>
  <si>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</si>
  <si>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</si>
  <si>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</si>
  <si>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</si>
  <si>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</si>
  <si>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</si>
  <si>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</si>
  <si>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</si>
  <si>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</si>
  <si>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</si>
  <si>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</si>
  <si>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</si>
  <si>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</si>
  <si>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</si>
  <si>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</si>
  <si>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</si>
  <si>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</si>
  <si>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</si>
  <si>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</si>
  <si>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</si>
  <si>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</si>
  <si>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</si>
  <si>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</si>
  <si>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</si>
  <si>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</si>
  <si>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</si>
  <si>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</si>
  <si>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</si>
  <si>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</si>
  <si>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</si>
  <si>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</si>
  <si>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</si>
  <si>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</si>
  <si>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</si>
  <si>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</si>
  <si>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</si>
  <si>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</si>
  <si>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</si>
  <si>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</si>
  <si>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</si>
  <si>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</si>
  <si>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</si>
  <si>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</si>
  <si>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</si>
  <si>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</si>
  <si>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</si>
  <si>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</si>
  <si>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</si>
  <si>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</si>
  <si>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</si>
  <si>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</si>
  <si>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</si>
  <si>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</si>
  <si>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</si>
  <si>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</si>
  <si>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</si>
  <si>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</si>
  <si>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</si>
  <si>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</si>
  <si>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</si>
  <si>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</si>
  <si>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</si>
  <si>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</si>
  <si>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</si>
  <si>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</si>
  <si>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</si>
  <si>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</si>
  <si>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</si>
  <si>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</si>
  <si>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</si>
  <si>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</si>
  <si>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</si>
  <si>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</si>
  <si>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</si>
  <si>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</si>
  <si>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</si>
  <si>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</si>
  <si>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</si>
  <si>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</si>
  <si>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</si>
  <si>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</si>
  <si>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</si>
  <si>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</si>
  <si>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</si>
  <si>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</si>
  <si>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</si>
  <si>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</si>
  <si>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</si>
  <si>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</si>
  <si>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</si>
  <si>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</si>
  <si>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</si>
  <si>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</si>
  <si>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</si>
  <si>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</si>
  <si>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</si>
  <si>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</si>
  <si>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</si>
  <si>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</si>
  <si>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</si>
  <si>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</si>
  <si>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</si>
  <si>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</si>
  <si>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</si>
  <si>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</si>
  <si>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</si>
  <si>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</si>
  <si>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</si>
  <si>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</si>
  <si>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</si>
  <si>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</si>
  <si>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</si>
  <si>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</si>
  <si>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</si>
  <si>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</si>
  <si>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</si>
  <si>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</si>
  <si>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</si>
  <si>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</si>
  <si>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</si>
  <si>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</si>
  <si>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</si>
  <si>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</si>
  <si>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</si>
  <si>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</si>
  <si>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</si>
  <si>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</si>
  <si>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</si>
  <si>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</si>
  <si>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</si>
  <si>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</si>
  <si>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</si>
  <si>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</si>
  <si>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</si>
  <si>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</si>
  <si>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</si>
  <si>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</si>
  <si>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</si>
  <si>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</si>
  <si>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</si>
  <si>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</si>
  <si>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</si>
  <si>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</si>
  <si>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</si>
  <si>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</si>
  <si>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</si>
  <si>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</si>
  <si>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</si>
  <si>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</si>
  <si>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</si>
  <si>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</si>
  <si>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</si>
  <si>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</si>
  <si>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</si>
  <si>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</si>
  <si>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</si>
  <si>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</si>
  <si>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</si>
  <si>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</si>
  <si>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</si>
  <si>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</si>
  <si>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</si>
  <si>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</si>
  <si>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</si>
  <si>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</si>
  <si>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</si>
  <si>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</si>
  <si>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</si>
  <si>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</si>
  <si>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</si>
  <si>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</si>
  <si>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</si>
  <si>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</si>
  <si>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</si>
  <si>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</si>
  <si>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</si>
  <si>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</si>
  <si>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</si>
  <si>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</si>
  <si>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</si>
  <si>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</si>
  <si>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</si>
  <si>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</si>
  <si>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</si>
  <si>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</si>
  <si>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</si>
  <si>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</si>
  <si>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</si>
  <si>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</si>
  <si>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</si>
  <si>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</si>
  <si>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</si>
  <si>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</si>
  <si>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</si>
  <si>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</si>
  <si>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</si>
  <si>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</si>
  <si>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</si>
  <si>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</si>
  <si>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</si>
  <si>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</si>
  <si>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</si>
  <si>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</si>
  <si>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</si>
  <si>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</si>
  <si>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</si>
  <si>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</si>
  <si>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</si>
  <si>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</si>
  <si>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</si>
  <si>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</si>
  <si>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</si>
  <si>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</si>
  <si>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</si>
  <si>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</si>
  <si>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</si>
  <si>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</si>
  <si>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</si>
  <si>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</si>
  <si>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</si>
  <si>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</si>
  <si>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</si>
  <si>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</si>
  <si>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</si>
  <si>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</si>
  <si>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</si>
  <si>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</si>
  <si>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</si>
  <si>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</si>
  <si>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</si>
  <si>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</si>
  <si>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</si>
  <si>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</si>
  <si>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</si>
  <si>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</si>
  <si>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</si>
  <si>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</si>
  <si>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</si>
  <si>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</si>
  <si>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</si>
  <si>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</si>
  <si>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</si>
  <si>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</si>
  <si>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</si>
  <si>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</si>
  <si>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</si>
  <si>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</si>
  <si>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</si>
  <si>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</si>
  <si>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</si>
  <si>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</si>
  <si>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</si>
  <si>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</si>
  <si>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</si>
  <si>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</si>
  <si>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</si>
  <si>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</si>
  <si>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</si>
  <si>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</si>
  <si>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</si>
  <si>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</si>
  <si>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</si>
  <si>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</si>
  <si>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</si>
  <si>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</si>
  <si>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</si>
  <si>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</si>
  <si>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</si>
  <si>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</si>
  <si>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</si>
  <si>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</si>
  <si>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</si>
  <si>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</si>
  <si>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</si>
  <si>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</si>
  <si>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</si>
  <si>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</si>
  <si>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</si>
  <si>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</si>
  <si>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</si>
  <si>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</si>
  <si>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</si>
  <si>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</si>
  <si>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</si>
  <si>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</si>
  <si>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</si>
  <si>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</si>
  <si>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</si>
  <si>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</si>
  <si>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</si>
  <si>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</si>
  <si>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</si>
  <si>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</si>
  <si>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</si>
  <si>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</si>
  <si>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</si>
  <si>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</si>
  <si>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</si>
  <si>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</si>
  <si>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</si>
  <si>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</si>
  <si>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</si>
  <si>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</si>
  <si>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</si>
  <si>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</si>
  <si>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</si>
  <si>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</si>
  <si>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</si>
  <si>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</si>
  <si>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</si>
  <si>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</si>
  <si>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</si>
  <si>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</si>
  <si>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</si>
  <si>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</si>
  <si>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</si>
  <si>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</si>
  <si>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</si>
  <si>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</si>
  <si>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</si>
  <si>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</si>
  <si>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</si>
  <si>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</si>
  <si>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</si>
  <si>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</si>
  <si>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</si>
  <si>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</si>
  <si>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</si>
  <si>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</si>
  <si>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</si>
  <si>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</si>
  <si>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</si>
  <si>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</si>
  <si>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</si>
  <si>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</si>
  <si>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</si>
  <si>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</si>
  <si>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</si>
  <si>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</si>
  <si>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</si>
  <si>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</si>
  <si>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</si>
  <si>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</si>
  <si>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</si>
  <si>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</si>
  <si>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</si>
  <si>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</si>
  <si>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</si>
  <si>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</si>
  <si>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</si>
  <si>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</si>
  <si>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</si>
  <si>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</si>
  <si>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</si>
  <si>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</si>
  <si>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</si>
  <si>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</si>
  <si>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</si>
  <si>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</si>
  <si>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</si>
  <si>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</si>
  <si>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</si>
  <si>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</si>
  <si>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</si>
  <si>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</si>
  <si>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</si>
  <si>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</si>
  <si>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</si>
  <si>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</si>
  <si>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</si>
  <si>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</si>
  <si>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</si>
  <si>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</si>
  <si>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</si>
  <si>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</si>
  <si>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</si>
  <si>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</si>
  <si>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</si>
  <si>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</si>
  <si>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</si>
  <si>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</si>
  <si>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</si>
  <si>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</si>
  <si>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</si>
  <si>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</si>
  <si>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</si>
  <si>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</si>
  <si>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</si>
  <si>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</si>
  <si>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</si>
  <si>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</si>
  <si>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</si>
  <si>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</si>
  <si>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</si>
  <si>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</si>
  <si>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</si>
  <si>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</si>
  <si>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</si>
  <si>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</si>
  <si>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</si>
  <si>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</si>
  <si>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</si>
  <si>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</si>
  <si>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</si>
  <si>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</si>
  <si>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</si>
  <si>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</si>
  <si>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</si>
  <si>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</si>
  <si>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</si>
  <si>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</si>
  <si>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</si>
  <si>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</si>
  <si>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</si>
  <si>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</si>
  <si>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</si>
  <si>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</si>
  <si>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</si>
  <si>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</si>
  <si>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</si>
  <si>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</si>
  <si>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</si>
  <si>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</si>
  <si>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</si>
  <si>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</si>
  <si>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</si>
  <si>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</si>
  <si>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</si>
  <si>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</si>
  <si>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</si>
  <si>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</si>
  <si>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</si>
  <si>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</si>
  <si>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</si>
  <si>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</si>
  <si>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</si>
  <si>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</si>
  <si>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</si>
  <si>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</si>
  <si>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</si>
  <si>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</si>
  <si>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</si>
  <si>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</si>
  <si>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</si>
  <si>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</si>
  <si>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</si>
  <si>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</si>
  <si>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</si>
  <si>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</si>
  <si>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</si>
  <si>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</si>
  <si>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</si>
  <si>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</si>
  <si>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</si>
  <si>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</si>
  <si>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</si>
  <si>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</si>
  <si>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</si>
  <si>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</si>
  <si>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</si>
  <si>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</si>
  <si>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</si>
  <si>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</si>
  <si>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</si>
  <si>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</si>
  <si>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</si>
  <si>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</si>
  <si>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</si>
  <si>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</si>
  <si>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</si>
  <si>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</si>
  <si>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</si>
  <si>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</si>
  <si>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</si>
  <si>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</si>
  <si>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</si>
  <si>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</si>
  <si>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</si>
  <si>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</si>
  <si>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</si>
  <si>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</si>
  <si>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</si>
  <si>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</si>
  <si>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</si>
  <si>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</si>
  <si>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</si>
  <si>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</si>
  <si>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</si>
  <si>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</si>
  <si>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</si>
  <si>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</si>
  <si>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</si>
  <si>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</si>
  <si>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</si>
  <si>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</si>
  <si>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</si>
  <si>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</si>
  <si>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</si>
  <si>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</si>
  <si>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</si>
  <si>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</si>
  <si>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</si>
  <si>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</si>
  <si>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</si>
  <si>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</si>
  <si>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</si>
  <si>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</si>
  <si>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</si>
  <si>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</si>
  <si>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</si>
  <si>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</si>
  <si>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</si>
  <si>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</si>
  <si>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</si>
  <si>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</si>
  <si>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</si>
  <si>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</si>
  <si>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</si>
  <si>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</si>
  <si>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</si>
  <si>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</si>
  <si>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</si>
  <si>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</si>
  <si>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</si>
  <si>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</si>
  <si>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</si>
  <si>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</si>
  <si>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</si>
  <si>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</si>
  <si>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</si>
  <si>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</si>
  <si>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</si>
  <si>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</si>
  <si>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</si>
  <si>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</si>
  <si>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</si>
  <si>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</si>
  <si>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</si>
  <si>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</si>
  <si>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</si>
  <si>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</si>
  <si>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</si>
  <si>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</si>
  <si>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</si>
  <si>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</si>
  <si>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</si>
  <si>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</si>
  <si>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</si>
  <si>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</si>
  <si>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</si>
  <si>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</si>
  <si>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</si>
  <si>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</si>
  <si>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</si>
  <si>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</si>
  <si>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</si>
  <si>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</si>
  <si>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</si>
  <si>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</si>
  <si>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</si>
  <si>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</si>
  <si>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</si>
  <si>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</si>
  <si>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</si>
  <si>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</si>
  <si>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</si>
  <si>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</si>
  <si>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</si>
  <si>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</si>
  <si>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</si>
  <si>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</si>
  <si>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</si>
  <si>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</si>
  <si>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</si>
  <si>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</si>
  <si>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</si>
  <si>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</si>
  <si>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</si>
  <si>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</si>
  <si>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</si>
  <si>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</si>
  <si>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</si>
  <si>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</si>
  <si>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</si>
  <si>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</si>
  <si>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</si>
  <si>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</si>
  <si>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</si>
  <si>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</si>
  <si>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</si>
  <si>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</si>
  <si>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</si>
  <si>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</si>
  <si>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</si>
  <si>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</si>
  <si>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</si>
  <si>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</si>
  <si>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</si>
  <si>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</si>
  <si>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</si>
  <si>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</si>
  <si>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</si>
  <si>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</si>
  <si>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</si>
  <si>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</si>
  <si>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</si>
  <si>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</si>
  <si>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</si>
  <si>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</si>
  <si>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</si>
  <si>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</si>
  <si>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</si>
  <si>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</si>
  <si>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</si>
  <si>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</si>
  <si>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</si>
  <si>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</si>
  <si>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</si>
  <si>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</si>
  <si>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</si>
  <si>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</si>
  <si>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</si>
  <si>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</si>
  <si>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</si>
  <si>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</si>
  <si>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</si>
  <si>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</si>
  <si>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</si>
  <si>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</si>
  <si>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</si>
  <si>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</si>
  <si>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</si>
  <si>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</si>
  <si>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</si>
  <si>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</si>
  <si>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</si>
  <si>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</si>
  <si>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</si>
  <si>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</si>
  <si>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</si>
  <si>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</si>
  <si>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</si>
  <si>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</si>
  <si>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</si>
  <si>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</si>
  <si>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</si>
  <si>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</si>
  <si>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</si>
  <si>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</si>
  <si>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</si>
  <si>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</si>
  <si>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</si>
  <si>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</si>
  <si>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</si>
  <si>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</si>
  <si>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</si>
  <si>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</si>
  <si>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</si>
  <si>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</si>
  <si>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</si>
  <si>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</si>
  <si>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</si>
  <si>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</si>
  <si>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</si>
  <si>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</si>
  <si>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</si>
  <si>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</si>
  <si>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</si>
  <si>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</si>
  <si>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</si>
  <si>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</si>
  <si>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</si>
  <si>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</si>
  <si>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</si>
  <si>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</si>
  <si>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</si>
  <si>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</si>
  <si>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</si>
  <si>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</si>
  <si>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</si>
  <si>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</si>
  <si>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</si>
  <si>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</si>
  <si>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</si>
  <si>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</si>
  <si>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</si>
  <si>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</si>
  <si>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</si>
  <si>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</si>
  <si>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</si>
  <si>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</si>
  <si>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</si>
  <si>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</si>
  <si>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</si>
  <si>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</si>
  <si>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</si>
  <si>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</si>
  <si>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</si>
  <si>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</si>
  <si>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</si>
  <si>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</si>
  <si>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</si>
  <si>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</si>
  <si>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</si>
  <si>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</si>
  <si>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</si>
  <si>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</si>
  <si>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</si>
  <si>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</si>
  <si>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</si>
  <si>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</si>
  <si>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</si>
  <si>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</si>
  <si>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</si>
  <si>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</si>
  <si>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</si>
  <si>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</si>
  <si>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</si>
  <si>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</si>
  <si>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</si>
  <si>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</si>
  <si>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</si>
  <si>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</si>
  <si>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</si>
  <si>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</si>
  <si>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</si>
  <si>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</si>
  <si>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</si>
  <si>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</si>
  <si>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</si>
  <si>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</si>
  <si>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</si>
  <si>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</si>
  <si>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</si>
  <si>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</si>
  <si>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</si>
  <si>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</si>
  <si>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</si>
  <si>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</si>
  <si>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</si>
  <si>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</si>
  <si>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</si>
  <si>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</si>
  <si>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</si>
  <si>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</si>
  <si>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</si>
  <si>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</si>
  <si>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</si>
  <si>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</si>
  <si>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</si>
  <si>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</si>
  <si>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</si>
  <si>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</si>
  <si>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</si>
  <si>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</si>
  <si>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</si>
  <si>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</si>
  <si>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</si>
  <si>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</si>
  <si>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</si>
  <si>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</si>
  <si>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</si>
  <si>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</si>
  <si>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</si>
  <si>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</si>
  <si>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</si>
  <si>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</si>
  <si>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</si>
  <si>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</si>
  <si>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</si>
  <si>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</si>
  <si>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</si>
  <si>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</si>
  <si>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</si>
  <si>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</si>
  <si>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</si>
  <si>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</si>
  <si>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</si>
  <si>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</si>
  <si>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</si>
  <si>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</si>
  <si>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</si>
  <si>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</si>
  <si>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</si>
  <si>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</si>
  <si>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</si>
  <si>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</si>
  <si>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</si>
  <si>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</si>
  <si>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</si>
  <si>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</si>
  <si>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</si>
  <si>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</si>
  <si>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</si>
  <si>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</si>
  <si>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</si>
  <si>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</si>
  <si>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</si>
  <si>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</si>
  <si>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</si>
  <si>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</si>
  <si>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</si>
  <si>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</si>
  <si>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</si>
  <si>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</si>
  <si>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</si>
  <si>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</si>
  <si>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</si>
  <si>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</si>
  <si>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</si>
  <si>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</si>
  <si>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</si>
  <si>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</si>
  <si>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</si>
  <si>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</si>
  <si>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</si>
  <si>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</si>
  <si>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</si>
  <si>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</si>
  <si>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</si>
  <si>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</si>
  <si>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</si>
  <si>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</si>
  <si>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</si>
  <si>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</si>
  <si>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</si>
  <si>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</si>
  <si>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</si>
  <si>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</si>
  <si>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</si>
  <si>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</si>
  <si>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</si>
  <si>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</si>
  <si>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</si>
  <si>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</si>
  <si>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</si>
  <si>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</si>
  <si>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</si>
  <si>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</si>
  <si>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</si>
  <si>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</si>
  <si>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</si>
  <si>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</si>
  <si>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</si>
  <si>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</si>
  <si>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</si>
  <si>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</si>
  <si>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</si>
  <si>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</si>
  <si>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</si>
  <si>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</si>
  <si>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</si>
  <si>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</si>
  <si>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</si>
  <si>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</si>
  <si>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</si>
  <si>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</si>
  <si>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</si>
  <si>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</si>
  <si>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</si>
  <si>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</si>
  <si>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</si>
  <si>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</si>
  <si>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</si>
  <si>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</si>
  <si>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</si>
  <si>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</si>
  <si>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</si>
  <si>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</si>
  <si>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</si>
  <si>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</si>
  <si>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</si>
  <si>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</si>
  <si>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</si>
  <si>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</si>
  <si>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</si>
  <si>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</si>
  <si>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</si>
  <si>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</si>
  <si>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</si>
  <si>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</si>
  <si>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</si>
  <si>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</si>
  <si>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</si>
  <si>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</si>
  <si>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</si>
  <si>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</si>
  <si>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</si>
  <si>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</si>
  <si>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</si>
  <si>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</si>
  <si>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</si>
  <si>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</si>
  <si>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</si>
  <si>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</si>
  <si>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</si>
  <si>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</si>
  <si>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</si>
  <si>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</si>
  <si>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</si>
  <si>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</si>
  <si>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</si>
  <si>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</si>
  <si>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</si>
  <si>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</si>
  <si>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</si>
  <si>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</si>
  <si>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</si>
  <si>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</si>
  <si>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</si>
  <si>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</si>
  <si>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</si>
  <si>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</si>
  <si>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</si>
  <si>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</si>
  <si>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</si>
  <si>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</si>
  <si>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</si>
  <si>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</si>
  <si>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</si>
  <si>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</si>
  <si>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</si>
  <si>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</si>
  <si>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</si>
  <si>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</si>
  <si>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</si>
  <si>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</si>
  <si>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</si>
  <si>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</si>
  <si>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</si>
  <si>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</si>
  <si>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</si>
  <si>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</si>
  <si>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</si>
  <si>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</si>
  <si>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</si>
  <si>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</si>
  <si>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</si>
  <si>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</si>
  <si>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</si>
  <si>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</si>
  <si>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</si>
  <si>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</si>
  <si>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</si>
  <si>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</si>
  <si>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</si>
  <si>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</si>
  <si>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</si>
  <si>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</si>
  <si>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</si>
  <si>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</si>
  <si>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</si>
  <si>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</si>
  <si>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</si>
  <si>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</si>
  <si>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</si>
  <si>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</si>
  <si>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</si>
  <si>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</si>
  <si>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</si>
  <si>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</si>
  <si>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</si>
  <si>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</si>
  <si>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</si>
  <si>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</si>
  <si>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</si>
  <si>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</si>
  <si>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</si>
  <si>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</si>
  <si>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</si>
  <si>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</si>
  <si>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</si>
  <si>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</si>
  <si>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</si>
  <si>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</si>
  <si>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</si>
  <si>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</si>
  <si>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</si>
  <si>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</si>
  <si>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</si>
  <si>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</si>
  <si>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</si>
  <si>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</si>
  <si>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</si>
  <si>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</si>
  <si>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</si>
  <si>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</si>
  <si>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</si>
  <si>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</si>
  <si>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</si>
  <si>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</si>
  <si>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</si>
  <si>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</si>
  <si>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</si>
  <si>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</si>
  <si>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</si>
  <si>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</si>
  <si>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</si>
  <si>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</si>
  <si>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</si>
  <si>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</si>
  <si>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</si>
  <si>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</si>
  <si>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</si>
  <si>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</si>
  <si>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</si>
  <si>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</si>
  <si>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</si>
  <si>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</si>
  <si>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</si>
  <si>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</si>
  <si>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</si>
  <si>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</si>
  <si>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</si>
  <si>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</si>
  <si>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</si>
  <si>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</si>
  <si>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</si>
  <si>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</si>
  <si>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</si>
  <si>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</si>
  <si>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</si>
  <si>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</si>
  <si>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</si>
  <si>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</si>
  <si>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</si>
  <si>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</si>
  <si>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</si>
  <si>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</si>
  <si>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</si>
  <si>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</si>
  <si>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</si>
  <si>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</si>
  <si>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</si>
  <si>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</si>
  <si>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</si>
  <si>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</si>
  <si>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</si>
  <si>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</si>
  <si>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</si>
  <si>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</si>
  <si>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</si>
  <si>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</si>
  <si>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</si>
  <si>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</si>
  <si>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</si>
  <si>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</si>
  <si>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</si>
  <si>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</si>
  <si>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</si>
  <si>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</si>
  <si>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</si>
  <si>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</si>
  <si>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</si>
  <si>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</si>
  <si>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</si>
  <si>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</si>
  <si>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</si>
  <si>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</si>
  <si>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</si>
  <si>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</si>
  <si>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</si>
  <si>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</si>
  <si>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</si>
  <si>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</si>
  <si>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</si>
  <si>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</si>
  <si>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</si>
  <si>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</si>
  <si>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</si>
  <si>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</si>
  <si>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</si>
  <si>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</si>
  <si>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</si>
  <si>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</si>
  <si>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</si>
  <si>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</si>
  <si>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</si>
  <si>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</si>
  <si>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</si>
  <si>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</si>
  <si>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</si>
  <si>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</si>
  <si>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</si>
  <si>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</si>
  <si>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</si>
  <si>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</si>
  <si>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</si>
  <si>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</si>
  <si>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</si>
  <si>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</si>
  <si>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</si>
  <si>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</si>
  <si>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</si>
  <si>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</si>
  <si>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</si>
  <si>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</si>
  <si>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</si>
  <si>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</si>
  <si>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</si>
  <si>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</si>
  <si>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</si>
  <si>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</si>
  <si>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</si>
  <si>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</si>
  <si>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</si>
  <si>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</si>
  <si>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</si>
  <si>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</si>
  <si>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</si>
  <si>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</si>
  <si>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</si>
  <si>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</si>
  <si>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</si>
  <si>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</si>
  <si>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</si>
  <si>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</si>
  <si>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</si>
  <si>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</si>
  <si>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</si>
  <si>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</si>
  <si>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</si>
  <si>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</si>
  <si>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</si>
  <si>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</si>
  <si>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</si>
  <si>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</si>
  <si>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</si>
  <si>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</si>
  <si>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</si>
  <si>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</si>
  <si>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</si>
  <si>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</si>
  <si>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</si>
  <si>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</si>
  <si>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</si>
  <si>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</si>
  <si>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</si>
  <si>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</si>
  <si>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</si>
  <si>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</si>
  <si>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</si>
  <si>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</si>
  <si>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</si>
  <si>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</si>
  <si>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</si>
  <si>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</si>
  <si>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</si>
  <si>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</si>
  <si>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</si>
  <si>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</si>
  <si>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</si>
  <si>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</si>
  <si>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</si>
  <si>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</si>
  <si>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</si>
  <si>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</si>
  <si>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</si>
  <si>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</si>
  <si>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</si>
  <si>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</si>
  <si>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</si>
  <si>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</si>
  <si>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</si>
  <si>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</si>
  <si>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</si>
  <si>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</si>
  <si>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</si>
  <si>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</si>
  <si>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</si>
  <si>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</si>
  <si>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</si>
  <si>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</si>
  <si>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</si>
  <si>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</si>
  <si>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</si>
  <si>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</si>
  <si>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</si>
  <si>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</si>
  <si>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</si>
  <si>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</si>
  <si>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</si>
  <si>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</si>
  <si>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</si>
  <si>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</si>
  <si>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</si>
  <si>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</si>
  <si>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</si>
  <si>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</si>
  <si>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</si>
  <si>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</si>
  <si>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</si>
  <si>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</si>
  <si>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</si>
  <si>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</si>
  <si>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</si>
  <si>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</si>
  <si>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</si>
  <si>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</si>
  <si>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</si>
  <si>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</si>
  <si>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</si>
  <si>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</si>
  <si>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</si>
  <si>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</si>
  <si>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</si>
  <si>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</si>
  <si>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</si>
  <si>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</si>
  <si>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</si>
  <si>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</si>
  <si>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</si>
  <si>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</si>
  <si>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</si>
  <si>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</si>
  <si>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</si>
  <si>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</si>
  <si>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</si>
  <si>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</si>
  <si>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</si>
  <si>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</si>
  <si>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</si>
  <si>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</si>
  <si>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</si>
  <si>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</si>
  <si>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</si>
  <si>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</si>
  <si>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</si>
  <si>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</si>
  <si>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</si>
  <si>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</si>
  <si>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</si>
  <si>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</si>
  <si>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</si>
  <si>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</si>
  <si>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</si>
  <si>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</si>
  <si>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</si>
  <si>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</si>
  <si>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</si>
  <si>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</si>
  <si>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</si>
  <si>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</si>
  <si>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</si>
  <si>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</si>
  <si>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</si>
  <si>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</si>
  <si>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</si>
  <si>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</si>
  <si>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</si>
  <si>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</si>
  <si>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</si>
  <si>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</si>
  <si>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</si>
  <si>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</si>
  <si>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</si>
  <si>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</si>
  <si>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</si>
  <si>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</si>
  <si>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</si>
  <si>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</si>
  <si>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</si>
  <si>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</si>
  <si>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</si>
  <si>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</si>
  <si>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</si>
  <si>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</si>
  <si>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</si>
  <si>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</si>
  <si>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</si>
  <si>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</si>
  <si>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</si>
  <si>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</si>
  <si>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</si>
  <si>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</si>
  <si>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</si>
  <si>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</si>
  <si>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</si>
  <si>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</si>
  <si>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</si>
  <si>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</si>
  <si>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</si>
  <si>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</si>
  <si>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</si>
  <si>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</si>
  <si>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</si>
  <si>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</si>
  <si>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</si>
  <si>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</si>
  <si>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</si>
  <si>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</si>
  <si>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</si>
  <si>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</si>
  <si>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</si>
  <si>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</si>
  <si>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</si>
  <si>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</si>
  <si>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</si>
  <si>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</si>
  <si>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</si>
  <si>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</si>
  <si>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住宅</t>
  </si>
  <si>
    <t>设备</t>
    <phoneticPr fontId="134" type="noConversion"/>
  </si>
  <si>
    <t>测绘报告</t>
    <phoneticPr fontId="134" type="noConversion"/>
  </si>
  <si>
    <t>楼号</t>
    <phoneticPr fontId="134" type="noConversion"/>
  </si>
  <si>
    <t>楼层</t>
    <phoneticPr fontId="134" type="noConversion"/>
  </si>
  <si>
    <t>仓储</t>
    <phoneticPr fontId="134" type="noConversion"/>
  </si>
  <si>
    <t>车库</t>
    <phoneticPr fontId="134" type="noConversion"/>
  </si>
  <si>
    <t>配套</t>
    <phoneticPr fontId="134" type="noConversion"/>
  </si>
  <si>
    <t>18（-2）</t>
    <phoneticPr fontId="134" type="noConversion"/>
  </si>
  <si>
    <t>物业</t>
    <phoneticPr fontId="134" type="noConversion"/>
  </si>
  <si>
    <t>15（-2）</t>
    <phoneticPr fontId="134" type="noConversion"/>
  </si>
  <si>
    <t>17（-2）</t>
    <phoneticPr fontId="134" type="noConversion"/>
  </si>
  <si>
    <t>16（-2）</t>
    <phoneticPr fontId="134" type="noConversion"/>
  </si>
  <si>
    <t>8（-2）</t>
    <phoneticPr fontId="134" type="noConversion"/>
  </si>
  <si>
    <t>7（-2）</t>
    <phoneticPr fontId="134" type="noConversion"/>
  </si>
  <si>
    <t>1#住宅楼</t>
    <phoneticPr fontId="134"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</si>
  <si>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</si>
  <si>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</si>
  <si>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</si>
  <si>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</si>
  <si>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</si>
  <si>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</si>
  <si>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</si>
  <si>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</si>
  <si>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</si>
  <si>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</si>
  <si>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</si>
  <si>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</si>
  <si>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</si>
  <si>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</si>
  <si>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</si>
  <si>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14（-2）</t>
    <phoneticPr fontId="134" type="noConversion"/>
  </si>
  <si>
    <t>P2#配套楼</t>
    <phoneticPr fontId="134" type="noConversion"/>
  </si>
  <si>
    <t>地下车库</t>
    <phoneticPr fontId="134" type="noConversion"/>
  </si>
  <si>
    <t>1（-2）</t>
    <phoneticPr fontId="134" type="noConversion"/>
  </si>
  <si>
    <t>698个</t>
    <phoneticPr fontId="134" type="noConversion"/>
  </si>
  <si>
    <t>机械车位</t>
    <phoneticPr fontId="134" type="noConversion"/>
  </si>
  <si>
    <t>13个</t>
    <phoneticPr fontId="134" type="noConversion"/>
  </si>
  <si>
    <t>抵押</t>
  </si>
  <si>
    <t>房地产抵押价值</t>
  </si>
  <si>
    <t>北京市</t>
  </si>
  <si>
    <t>企业</t>
  </si>
  <si>
    <t>房山区城关中心区</t>
    <phoneticPr fontId="3" type="noConversion"/>
  </si>
  <si>
    <t>地上</t>
  </si>
  <si>
    <t>地下</t>
  </si>
  <si>
    <t>是</t>
  </si>
  <si>
    <t>地下车库</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</si>
  <si>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</si>
  <si>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</si>
  <si>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</si>
  <si>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</si>
  <si>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</si>
  <si>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次干道</t>
    <phoneticPr fontId="3" type="noConversion"/>
  </si>
  <si>
    <t>单面临街</t>
  </si>
  <si>
    <t>较好</t>
  </si>
  <si>
    <t>较好</t>
    <phoneticPr fontId="24"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</si>
  <si>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</si>
  <si>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</si>
  <si>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</si>
  <si>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</si>
  <si>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</si>
  <si>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</si>
  <si>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</si>
  <si>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</si>
  <si>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</si>
  <si>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</si>
  <si>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</si>
  <si>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</si>
  <si>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</si>
  <si>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</si>
  <si>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</si>
  <si>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</si>
  <si>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</si>
  <si>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</si>
  <si>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</si>
  <si>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</si>
  <si>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</si>
  <si>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</si>
  <si>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</si>
  <si>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</si>
  <si>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</si>
  <si>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</si>
  <si>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</si>
  <si>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</si>
  <si>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</si>
  <si>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</si>
  <si>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</si>
  <si>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</si>
  <si>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</si>
  <si>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</si>
  <si>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</si>
  <si>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</si>
  <si>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</si>
  <si>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</si>
  <si>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</si>
  <si>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</si>
  <si>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</si>
  <si>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</si>
  <si>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</si>
  <si>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</si>
  <si>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</si>
  <si>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</si>
  <si>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</si>
  <si>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</si>
  <si>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</si>
  <si>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</si>
  <si>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</si>
  <si>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</si>
  <si>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</si>
  <si>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</si>
  <si>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</si>
  <si>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</si>
  <si>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</si>
  <si>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</si>
  <si>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</si>
  <si>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</si>
  <si>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</si>
  <si>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</si>
  <si>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</si>
  <si>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</si>
  <si>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</si>
  <si>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北京市大兴区西红门镇1号地土地一级开发项目DX04-0102-6030、6029地块R2二类居住用地、A334托幼用地</t>
  </si>
  <si>
    <t xml:space="preserve"> 北京 </t>
  </si>
  <si>
    <t xml:space="preserve"> 北京市 </t>
  </si>
  <si>
    <t xml:space="preserve"> 大兴区 </t>
  </si>
  <si>
    <t xml:space="preserve"> 西红门镇东 </t>
  </si>
  <si>
    <t xml:space="preserve"> 京土储挂(兴)[2024]033号 </t>
  </si>
  <si>
    <t xml:space="preserve"> 大兴区西红门镇 </t>
  </si>
  <si>
    <t xml:space="preserve"> 综合用地(含住宅) </t>
  </si>
  <si>
    <t xml:space="preserve"> R2二类居住用地、A334托幼用地 </t>
  </si>
  <si>
    <t xml:space="preserve"> A33基础教育用地、R2二类居住用地 </t>
  </si>
  <si>
    <t xml:space="preserve"> 居住70年 商业40年 办公50年 </t>
  </si>
  <si>
    <t xml:space="preserve"> r2:2.5,a33:0.8 </t>
  </si>
  <si>
    <t xml:space="preserve"> R2:45,A33:15 </t>
  </si>
  <si>
    <t xml:space="preserve"> 挂牌 </t>
  </si>
  <si>
    <t xml:space="preserve">-- </t>
  </si>
  <si>
    <t xml:space="preserve"> 限地价,摇号/摇珠/抽签 </t>
  </si>
  <si>
    <t xml:space="preserve"> 限地价 </t>
  </si>
  <si>
    <t xml:space="preserve"> 含租赁住房用地 </t>
  </si>
  <si>
    <t xml:space="preserve"> -- </t>
  </si>
  <si>
    <t xml:space="preserve"> 已成交 </t>
  </si>
  <si>
    <t xml:space="preserve"> 已开工 </t>
  </si>
  <si>
    <t xml:space="preserve"> 北京兴创置地房地产开发有限公司  </t>
  </si>
  <si>
    <t xml:space="preserve"> 北京兴创投资 </t>
  </si>
  <si>
    <t xml:space="preserve"> 地方国有企业 </t>
  </si>
  <si>
    <t xml:space="preserve"> 城投企业 </t>
  </si>
  <si>
    <t xml:space="preserve"> 未触达 </t>
  </si>
  <si>
    <t xml:space="preserve"> 13850元/㎡(六级住宅用途2021-01-01) </t>
  </si>
  <si>
    <t xml:space="preserve"> </t>
  </si>
  <si>
    <t xml:space="preserve"> 否 </t>
  </si>
  <si>
    <t xml:space="preserve"> --</t>
  </si>
  <si>
    <t>北京市房山区良乡大学城拓展东区FS00-0125-0008地块二类城镇住宅用地、FS00-0125-0004地块幼儿园用地</t>
  </si>
  <si>
    <t xml:space="preserve"> 房山区 </t>
  </si>
  <si>
    <t xml:space="preserve"> 良乡大学城南 </t>
  </si>
  <si>
    <t xml:space="preserve"> 京土储挂(房)[2024]027号 </t>
  </si>
  <si>
    <t xml:space="preserve"> 房山区良乡大学城拓展东区 </t>
  </si>
  <si>
    <t xml:space="preserve"> 住宅用地 </t>
  </si>
  <si>
    <t xml:space="preserve"> 二类城镇住宅用地、幼儿园用地 </t>
  </si>
  <si>
    <t xml:space="preserve"> R居住用地 </t>
  </si>
  <si>
    <t xml:space="preserve"> 居住 70 年 商业 40 年 办公 50 年 </t>
  </si>
  <si>
    <t xml:space="preserve"> 0004:0.8,0008:2 </t>
  </si>
  <si>
    <t xml:space="preserve"> 0004:16,0008:36 </t>
  </si>
  <si>
    <t xml:space="preserve"> 北京城乡房屋建设开发有限责任公司  </t>
  </si>
  <si>
    <t xml:space="preserve"> 北京建工 </t>
  </si>
  <si>
    <t xml:space="preserve"> 7830元/㎡(八级住宅用途2021-01-01) </t>
  </si>
  <si>
    <t xml:space="preserve"> 是 </t>
  </si>
  <si>
    <t xml:space="preserve"> 房山区拱辰街道</t>
  </si>
  <si>
    <t>北京市大兴区大兴新城核心区DX00-0101-051、052地块、黄村七街DX00-0201-0248、0255地块R2二类居住用地、S4社会停车场用地、A334托幼用地</t>
  </si>
  <si>
    <t xml:space="preserve"> 生物医药北区 </t>
  </si>
  <si>
    <t xml:space="preserve"> 京土储挂(兴)[2024]025号 </t>
  </si>
  <si>
    <t xml:space="preserve"> 大兴新城核心区、黄村镇 </t>
  </si>
  <si>
    <t xml:space="preserve"> R2二类居住用地、S4社会停车场用地、A334托幼用地 </t>
  </si>
  <si>
    <t xml:space="preserve"> A33基础教育用地、S42社会停车场用地、R2二类居住用地 </t>
  </si>
  <si>
    <t xml:space="preserve"> 051:1.5,052:2.5,0248:0.8,0255:2 </t>
  </si>
  <si>
    <t xml:space="preserve"> 051:40,其他:30 </t>
  </si>
  <si>
    <t xml:space="preserve"> 10740元/㎡(七级住宅用途2021-01-01) </t>
  </si>
  <si>
    <t xml:space="preserve"> 北京市大兴区大兴新城核心区DX00-0101-051、052地块、黄村七街DX00-0201-0248、0255地块R2二类居住用地、S4社会停车场用地、A334托幼用地</t>
  </si>
  <si>
    <t>北京市大兴区大兴新城西片区一期A、B组团土地一级开发项目DX00-0406-0003、DX00-0406-0011地块R2二类居住用地、DX00-0404-0033地块B4综合性商业金融服务业用地、D</t>
  </si>
  <si>
    <t xml:space="preserve"> 大兴新城物流基地 </t>
  </si>
  <si>
    <t xml:space="preserve"> 京土储挂(兴)[2024]023号 </t>
  </si>
  <si>
    <t xml:space="preserve"> 大兴区黄村镇 </t>
  </si>
  <si>
    <t xml:space="preserve"> R2 二类居住用地、B4综合性商业金融服务业用地、A334 托幼用地 </t>
  </si>
  <si>
    <t xml:space="preserve"> A33基础教育用地、B21金融保险用地、R2二类居住用地、B1商业设施用地 </t>
  </si>
  <si>
    <t xml:space="preserve"> 0033:2.8,0003:1.6,0007:0.8,0011:1.7 </t>
  </si>
  <si>
    <t xml:space="preserve"> 0033:40,0003:30,0007:40,0011:30 </t>
  </si>
  <si>
    <t xml:space="preserve"> 北京市大兴城镇建设综合开发集团有限公司 、北京大兴发展集地开发有限公司  </t>
  </si>
  <si>
    <t xml:space="preserve"> 北京兴创投资,北京万兴建筑集团有限公司 </t>
  </si>
  <si>
    <t xml:space="preserve"> 地方国有企业，民营企业 </t>
  </si>
  <si>
    <t xml:space="preserve"> 城投企业，-- </t>
  </si>
  <si>
    <t xml:space="preserve"> 北京市大兴区大兴新城西片区一期A、B组团土地一级开发项目DX00-0406-0003、DX00-0406-0011地块R2二类居住用地、DX00-0404-0033地块B4综合性商业金融服务业用地、DX00-0406-0007地块A334托幼用地</t>
  </si>
  <si>
    <t>北京市房山区长阳镇FS00-0101-0002、0003地块R2二类居住用地、A33基础教育用地(托幼用地)</t>
  </si>
  <si>
    <t xml:space="preserve"> 长阳西 </t>
  </si>
  <si>
    <t xml:space="preserve"> 京土储挂(房)[2024]006号 </t>
  </si>
  <si>
    <t xml:space="preserve"> 房山区长阳镇 </t>
  </si>
  <si>
    <t xml:space="preserve"> 二类居住用地(R2) A33基础教育用地(幼儿园) </t>
  </si>
  <si>
    <t xml:space="preserve"> R2二类居住用地、A33基础教育用地 </t>
  </si>
  <si>
    <t xml:space="preserve"> 住宅70年 教育50年 </t>
  </si>
  <si>
    <t xml:space="preserve"> 0002:2.8、0003:0.8 </t>
  </si>
  <si>
    <t xml:space="preserve"> 0002:60,0003:12 </t>
  </si>
  <si>
    <t xml:space="preserve"> 限地价,限房价 </t>
  </si>
  <si>
    <t xml:space="preserve"> 未开工 </t>
  </si>
  <si>
    <t xml:space="preserve"> 北京城建集团有限责任公司  </t>
  </si>
  <si>
    <t xml:space="preserve"> 北京城建集团 </t>
  </si>
  <si>
    <t xml:space="preserve"> 房山区长阳镇</t>
  </si>
  <si>
    <t>北京市大兴区西红门镇DX04-0102-6035地块R2二类居住用地</t>
  </si>
  <si>
    <t xml:space="preserve"> 京土储挂(兴)[2024]004号 </t>
  </si>
  <si>
    <t xml:space="preserve"> 住宅 其他商业服务设施 </t>
  </si>
  <si>
    <t xml:space="preserve"> B1商业设施用地、R居住用地 </t>
  </si>
  <si>
    <t xml:space="preserve"> 住宅70年 商服40年 </t>
  </si>
  <si>
    <t xml:space="preserve"> 中建壹品投资发展有限公司  </t>
  </si>
  <si>
    <t xml:space="preserve"> 中建三局 </t>
  </si>
  <si>
    <t xml:space="preserve"> 中央国有企业 </t>
  </si>
  <si>
    <t xml:space="preserve"> 触达 </t>
  </si>
  <si>
    <t xml:space="preserve"> 壹品兴创·御璟星城·元启  </t>
  </si>
  <si>
    <t xml:space="preserve"> 大兴区西红门镇</t>
  </si>
  <si>
    <t>北京经济技术开发区亦庄新城0503街区YZ00-0503-B19R1、B19A1、B19A2、B25B1地块R2二类居住用地、A4体育用地、A33基础教育用地、B1S3商业用地混合基础设施用地</t>
  </si>
  <si>
    <t xml:space="preserve"> 中关村光机电 </t>
  </si>
  <si>
    <t xml:space="preserve"> 京土储挂 (开)[2023]075号 </t>
  </si>
  <si>
    <t xml:space="preserve"> 京土储挂(开)[2023]075号 </t>
  </si>
  <si>
    <t xml:space="preserve"> 亦庄新城0503街区YZ00-0503-B19R1、B19A1、B19A2、B25B1地块 </t>
  </si>
  <si>
    <t xml:space="preserve"> R2二类居住用地、A4体育用地、A33基础教育用地、B1S3商业用地混合基础设施用地 </t>
  </si>
  <si>
    <t xml:space="preserve"> A33基础教育用地、S3交通枢纽用地、R2二类居住用地、B1商业设施用地、A4体育用地 </t>
  </si>
  <si>
    <t xml:space="preserve"> 住宅70年,教育用地50年商业40年 </t>
  </si>
  <si>
    <t xml:space="preserve"> b19r1:≤2.5,b19a1:≤0.6,b19a2:≤0.8,b25b1:≤2.4 </t>
  </si>
  <si>
    <t xml:space="preserve"> 华润置地开发(北京)有限公司  </t>
  </si>
  <si>
    <t xml:space="preserve"> 华润置地 </t>
  </si>
  <si>
    <t xml:space="preserve"> 北京润府  </t>
  </si>
  <si>
    <t xml:space="preserve"> 通州区台湖镇</t>
  </si>
  <si>
    <t>大兴区瀛海镇区级统筹集建地YZ00-0803-2025等地块</t>
  </si>
  <si>
    <t xml:space="preserve"> 大兴南部农场 </t>
  </si>
  <si>
    <t xml:space="preserve"> 京规自集使挂(兴)[2023]007号 </t>
  </si>
  <si>
    <t xml:space="preserve"> 大兴区瀛海镇域西侧,京台高速公路以西 </t>
  </si>
  <si>
    <t xml:space="preserve"> F81 集体产业用地(建设共有产权住房) </t>
  </si>
  <si>
    <t xml:space="preserve"> 70年 </t>
  </si>
  <si>
    <t xml:space="preserve"> 纯自住房/共有产权房用地 </t>
  </si>
  <si>
    <t xml:space="preserve"> 自住房/共有产权房 </t>
  </si>
  <si>
    <t xml:space="preserve"> 北京大兴发展集地开发有限公司  </t>
  </si>
  <si>
    <t xml:space="preserve"> 大兴发展·亦生共悦  </t>
  </si>
  <si>
    <t>大兴区旧宫镇YZ00-0902-0340、6002、6003(原DX05-0102-0340、6002、6003)F81 集体产业用地</t>
  </si>
  <si>
    <t xml:space="preserve"> 旧宫南 </t>
  </si>
  <si>
    <t xml:space="preserve"> 京规自集使挂(兴)[2023]008号 </t>
  </si>
  <si>
    <t xml:space="preserve"> 大兴区旧宫镇,南五环以北 </t>
  </si>
  <si>
    <t xml:space="preserve"> 北京万兴建筑集团有限公司,北京兴创投资 </t>
  </si>
  <si>
    <t xml:space="preserve"> 民营企业，地方国有企业 </t>
  </si>
  <si>
    <t xml:space="preserve"> --，城投企业 </t>
  </si>
  <si>
    <t xml:space="preserve"> 大兴发展·云璟悦  </t>
  </si>
  <si>
    <t>北京市房山区拱辰街道FS00-0110-0018、0028、0035地块基础教育、二类居住用地</t>
  </si>
  <si>
    <t xml:space="preserve"> 良乡大学城北 </t>
  </si>
  <si>
    <t xml:space="preserve"> 京土储挂(房) [2023]071号 </t>
  </si>
  <si>
    <t xml:space="preserve"> 京土储挂(房)[2023]071号 </t>
  </si>
  <si>
    <t xml:space="preserve"> 房山区良乡组团FS00-0110街区 </t>
  </si>
  <si>
    <t xml:space="preserve"> 居住70、幼儿园50 </t>
  </si>
  <si>
    <t xml:space="preserve"> 0018:0.8,0028:1.6,0035:1.5 </t>
  </si>
  <si>
    <t xml:space="preserve"> 0018:40,0028,0035:30 </t>
  </si>
  <si>
    <t xml:space="preserve"> 0018:16,0028:24,0035:18 </t>
  </si>
  <si>
    <t xml:space="preserve"> 北京城建房地产开发有限公司  </t>
  </si>
  <si>
    <t>北京大兴国际机场临空经济区0105街区DX16-0105-6037地块F1住宅混合公建用地</t>
  </si>
  <si>
    <t xml:space="preserve"> 礼贤镇 </t>
  </si>
  <si>
    <t xml:space="preserve"> 京土储挂(兴临空)〔2023〕064号 </t>
  </si>
  <si>
    <t xml:space="preserve"> 大兴区礼贤镇 </t>
  </si>
  <si>
    <t xml:space="preserve"> 住宅 办公 </t>
  </si>
  <si>
    <t xml:space="preserve"> B商业服务业设施用地 </t>
  </si>
  <si>
    <t xml:space="preserve"> 住宅70年办公40年 </t>
  </si>
  <si>
    <t xml:space="preserve"> 北京新航城控股有限公司 、中建科技集团有限公司  </t>
  </si>
  <si>
    <t xml:space="preserve"> 北京新航城,中建科技 </t>
  </si>
  <si>
    <t xml:space="preserve"> 地方国有企业，未知 </t>
  </si>
  <si>
    <t xml:space="preserve"> 大兴区榆垡镇</t>
  </si>
  <si>
    <t>北京市房山区长阳镇北广阳城棚户区改造二片区FS00-0105-0011、0023地块项目R2二类居住用地</t>
  </si>
  <si>
    <t xml:space="preserve"> 篱笆房 </t>
  </si>
  <si>
    <t xml:space="preserve"> 京土储挂(房)[2023]062号 </t>
  </si>
  <si>
    <t xml:space="preserve"> 房山区长阳镇及拱辰街道 </t>
  </si>
  <si>
    <t xml:space="preserve"> R2二类居住用地 </t>
  </si>
  <si>
    <t xml:space="preserve"> 住宅70年 </t>
  </si>
  <si>
    <t xml:space="preserve"> 0011:1.7,0023:2.1 </t>
  </si>
  <si>
    <t xml:space="preserve"> 北京城建·和知筑  </t>
  </si>
  <si>
    <t>北京市大兴区黄村镇DX00-0208-6021地块R2二类居住用地</t>
  </si>
  <si>
    <t xml:space="preserve"> 团河 </t>
  </si>
  <si>
    <t xml:space="preserve"> 京土储挂(兴)[2023]059号 </t>
  </si>
  <si>
    <t xml:space="preserve"> 城镇住宅-普通商品住房用地 </t>
  </si>
  <si>
    <t xml:space="preserve"> 北京诺德兴创置业有限公司  </t>
  </si>
  <si>
    <t xml:space="preserve"> 中国中铁,北京兴创投资 </t>
  </si>
  <si>
    <t xml:space="preserve"> 中央国有企业，地方国有企业 </t>
  </si>
  <si>
    <t xml:space="preserve"> 京玺  </t>
  </si>
  <si>
    <t xml:space="preserve"> 大兴区黄村镇</t>
  </si>
  <si>
    <t>北京大兴国际机场临空经济区0105街区DX16-0105-6038地块F1住宅混合公建用地 国有建设用地使用权挂牌出让公告</t>
  </si>
  <si>
    <t xml:space="preserve"> 京土储挂(兴临空)〔2023〕060号 </t>
  </si>
  <si>
    <t xml:space="preserve"> 北京新航城控股有限公司  </t>
  </si>
  <si>
    <t xml:space="preserve"> 北京新航城 </t>
  </si>
  <si>
    <t xml:space="preserve"> 5540元/㎡(九级住宅用途2021-01-01) </t>
  </si>
  <si>
    <t>北京市大兴区大兴新城西片区一期A 组团土地一级开发项目DX00-0407-0007 地块R2二类居住用地</t>
  </si>
  <si>
    <t xml:space="preserve"> 京土储挂(兴)[2023]057号 </t>
  </si>
  <si>
    <t xml:space="preserve"> 北京市大兴城镇建设综合开发集团有限公司 、北京兴业恒盛投资管理有限公司  </t>
  </si>
  <si>
    <t xml:space="preserve"> 北京兴创投资,北京兴业恒盛投资管理有限公司 </t>
  </si>
  <si>
    <t>北京市房山区拱辰街道FS00-0111-0005地块A33基础教育用地、FS00-0111-0006、0007地块R2二类居住用地</t>
  </si>
  <si>
    <t xml:space="preserve"> 京土储挂(房)[2023]048号 </t>
  </si>
  <si>
    <t xml:space="preserve"> 房山区拱辰街道东羊庄村 </t>
  </si>
  <si>
    <t xml:space="preserve"> 住宅70年,教育用地50年 </t>
  </si>
  <si>
    <t xml:space="preserve"> 0005容积率0.8、0006容积率1.8、0007容积率2.1 </t>
  </si>
  <si>
    <t xml:space="preserve"> 山西金汇海房地产开发有限公司  </t>
  </si>
  <si>
    <t xml:space="preserve"> 山西金汇海房地产开发有限公司 </t>
  </si>
  <si>
    <t xml:space="preserve"> 民营企业 </t>
  </si>
  <si>
    <t xml:space="preserve"> 京熙润府  </t>
  </si>
  <si>
    <t>北京市房山区阎村镇FS07-0104-0077地块R2二类居住用地</t>
  </si>
  <si>
    <t xml:space="preserve"> 阎村西 </t>
  </si>
  <si>
    <t xml:space="preserve"> 京土储挂(房)[2023]043号 </t>
  </si>
  <si>
    <t xml:space="preserve"> 房山区阎村镇 </t>
  </si>
  <si>
    <t xml:space="preserve"> 北京巨燕置业有限公司  </t>
  </si>
  <si>
    <t xml:space="preserve"> 北京巨燕置业有限公司 </t>
  </si>
  <si>
    <t xml:space="preserve"> 巨燕·燕京府  </t>
  </si>
  <si>
    <t xml:space="preserve"> 房山区阎村镇</t>
  </si>
  <si>
    <t>北京市大兴区三合庄改造区土地一级开发项目DX00-0202-6018、6019、6026地块R2二类居住用地和6022 地块A334托幼用地</t>
  </si>
  <si>
    <t xml:space="preserve"> 黄村 </t>
  </si>
  <si>
    <t xml:space="preserve"> 京土储挂(兴)[2023]037号 </t>
  </si>
  <si>
    <t xml:space="preserve"> 住宅用地70年,幼儿园用地50年 </t>
  </si>
  <si>
    <t xml:space="preserve"> 6018、6019、6026容积率2、6022容积率0.8 </t>
  </si>
  <si>
    <t xml:space="preserve"> 6018、6019、6026建筑高度45米、6022建筑高度18米 </t>
  </si>
  <si>
    <t xml:space="preserve"> 限地价,限房价,摇号/摇珠/抽签 </t>
  </si>
  <si>
    <t xml:space="preserve"> 湖州中石房地产开发有限公司  </t>
  </si>
  <si>
    <t xml:space="preserve"> 宇诚集团 </t>
  </si>
  <si>
    <t xml:space="preserve"> 晓月和风  </t>
  </si>
  <si>
    <t>北京市大兴区大兴新城核心区土地一级开发项目DX00-0101-053、DX00-0101-055地块二类居住用地</t>
  </si>
  <si>
    <t xml:space="preserve"> 京土储挂(兴)[2023]038号 </t>
  </si>
  <si>
    <t xml:space="preserve"> 45米 </t>
  </si>
  <si>
    <t xml:space="preserve"> 壹品兴创·颐和公馆  </t>
  </si>
  <si>
    <t xml:space="preserve"> 大兴区林校路街道</t>
  </si>
  <si>
    <t>北京市大兴区西红门镇DX04-0102-6004 地块A334 托幼用地、DX04-0102-6006 地块R2二类居住用地</t>
  </si>
  <si>
    <t xml:space="preserve"> 京土储挂(兴)[2023]035号 </t>
  </si>
  <si>
    <t xml:space="preserve"> 大兴区西红门镇北 </t>
  </si>
  <si>
    <t xml:space="preserve"> 6005地块容积率≤2.5,6007地块容积率≤0.8 </t>
  </si>
  <si>
    <t xml:space="preserve"> 6005地块限高45米,6007地块限高15米 </t>
  </si>
  <si>
    <t xml:space="preserve"> 限地价,摇号/摇珠/抽签,限房价 </t>
  </si>
  <si>
    <t xml:space="preserve"> 中建玖合发展集团有限公司  </t>
  </si>
  <si>
    <t xml:space="preserve"> 中建二局 </t>
  </si>
  <si>
    <t xml:space="preserve"> 中建·玖玥府  </t>
  </si>
  <si>
    <t>北京市房山区城关中心区FS00-0230-0018地块R2二类居住用地</t>
  </si>
  <si>
    <t xml:space="preserve"> 城关 </t>
  </si>
  <si>
    <t xml:space="preserve"> 京土储挂(房)[2023]028号 </t>
  </si>
  <si>
    <t xml:space="preserve"> 房山区城关街道 </t>
  </si>
  <si>
    <t xml:space="preserve"> ≤2.8 </t>
  </si>
  <si>
    <t xml:space="preserve"> 北京建工地产有限责任公司  </t>
  </si>
  <si>
    <t xml:space="preserve"> 3630元/㎡(十级住宅用途2021-01-01) </t>
  </si>
  <si>
    <t xml:space="preserve"> 北京建工·揽星樾  </t>
  </si>
  <si>
    <t xml:space="preserve"> 房山区城关街道</t>
  </si>
  <si>
    <t>北京市大兴区大兴新城西片区一期A组团土地一级开发项目DX00-0407-0002地块R2二类居住用地</t>
  </si>
  <si>
    <t xml:space="preserve"> 京土储挂(兴)[2023]022号 </t>
  </si>
  <si>
    <t xml:space="preserve"> ≤30% </t>
  </si>
  <si>
    <t xml:space="preserve"> 中建三局城市投资运营有限公司 、北京市大兴城镇建设综合开发集团有限公司  </t>
  </si>
  <si>
    <t xml:space="preserve"> 北京兴创投资,中建三局 </t>
  </si>
  <si>
    <t xml:space="preserve"> 地方国有企业，中央国有企业 </t>
  </si>
  <si>
    <t xml:space="preserve"> 兴城之星  </t>
  </si>
  <si>
    <t xml:space="preserve"> 大兴新城西片区起步区A组团土地一级开发项目DX00-0407-0002、0006、0007地块</t>
  </si>
  <si>
    <t>北京经济技术开发区亦庄新城0202街区YZ00-0202-X47R1地块R2二类居住用地</t>
  </si>
  <si>
    <t xml:space="preserve"> 河西区南部 </t>
  </si>
  <si>
    <t xml:space="preserve"> 京土储挂(开)[2023]019号 </t>
  </si>
  <si>
    <t xml:space="preserve"> 亦庄新城0202街区YZ00-0202-X47R1地块 </t>
  </si>
  <si>
    <t xml:space="preserve"> ≤30 </t>
  </si>
  <si>
    <t xml:space="preserve"> ≤80 </t>
  </si>
  <si>
    <t xml:space="preserve"> 限地价,限房价,摇号/摇珠/抽签,现房销售 </t>
  </si>
  <si>
    <t xml:space="preserve"> 中皋置业有限公司  </t>
  </si>
  <si>
    <t xml:space="preserve"> 富皋万泰投资 </t>
  </si>
  <si>
    <t xml:space="preserve"> 招商玺  </t>
  </si>
  <si>
    <t xml:space="preserve"> 经开区X47地块</t>
  </si>
  <si>
    <t>北京经济技术开发区亦庄新城0510街区YZ00-0510-0032地块R2二类居住用地</t>
  </si>
  <si>
    <t xml:space="preserve"> 次渠 </t>
  </si>
  <si>
    <t xml:space="preserve"> 京土储挂(开)[2023]009号 </t>
  </si>
  <si>
    <t xml:space="preserve"> 亦庄新城0510街区YZ00-0510-0032地块 </t>
  </si>
  <si>
    <t xml:space="preserve"> 招商局地产(北京)有限公司  </t>
  </si>
  <si>
    <t xml:space="preserve"> 招商蛇口 </t>
  </si>
  <si>
    <t xml:space="preserve"> 招商璀璨时代  </t>
  </si>
  <si>
    <t xml:space="preserve"> 亦庄新城0510街区YZ0-0510-0032地块R2二类居住用地</t>
  </si>
  <si>
    <t>北京市大兴区西红门镇DX04-0102-6005地块R2二类居住用地、DX04-0102-6007地块A334托幼用地</t>
  </si>
  <si>
    <t xml:space="preserve"> 京土储挂(兴)[2023]008号 </t>
  </si>
  <si>
    <t xml:space="preserve"> 大兴区西红门镇北部 </t>
  </si>
  <si>
    <t xml:space="preserve"> 居住70年、商业40年、办公50年 </t>
  </si>
  <si>
    <t xml:space="preserve"> dx04-0102-6005容积率2.5、dx04-0102-6007容积率0.8 </t>
  </si>
  <si>
    <t xml:space="preserve"> 限地价,摇号/摇珠/抽签,限房价,现房销售 </t>
  </si>
  <si>
    <t xml:space="preserve"> 华润置地开发(北京)有限公司 、中铁置业集团北京有限公司  </t>
  </si>
  <si>
    <t xml:space="preserve"> 中国中铁,华润置地 </t>
  </si>
  <si>
    <t xml:space="preserve"> 中央国有企业，中央国有企业 </t>
  </si>
  <si>
    <t xml:space="preserve"> 橡树湾  </t>
  </si>
  <si>
    <t xml:space="preserve"> 北京市大兴区西红门镇DX04-0102-6005地块R2二类居住用地、DX04-0102-6007地块A334托幼用地</t>
  </si>
  <si>
    <t>大兴区瀛海镇区级统筹集建地YZ00-0803-2019、2057地块F81集体产业用地</t>
  </si>
  <si>
    <t xml:space="preserve"> 瀛海 </t>
  </si>
  <si>
    <t xml:space="preserve"> 京规自集使挂(兴)[2023]005号 </t>
  </si>
  <si>
    <t xml:space="preserve"> F81集体产业用地(建设共有产权住房) </t>
  </si>
  <si>
    <t xml:space="preserve"> 湖北文旅园区建设发展集团有限公司 、中建壹品投资发展有限公司  </t>
  </si>
  <si>
    <t xml:space="preserve"> 湖北文旅建发集团,中建三局 </t>
  </si>
  <si>
    <t>大兴区瀛海镇区级统筹集建地YZ00-0803-2006、2029、2031地块F81集体产业用地</t>
  </si>
  <si>
    <t xml:space="preserve"> 京规自集使挂(兴)[2023]004号 </t>
  </si>
  <si>
    <t xml:space="preserve"> 瀛海镇 </t>
  </si>
  <si>
    <t xml:space="preserve"> 大兴发展·亦生悦  </t>
  </si>
  <si>
    <t>北京市房山区良乡大学城主园区FS00-0120-0023地块R2二类居住用地</t>
  </si>
  <si>
    <t xml:space="preserve"> 京土储挂(房)[2022]077号 </t>
  </si>
  <si>
    <t xml:space="preserve"> 良乡高教园区 </t>
  </si>
  <si>
    <t xml:space="preserve"> &lt;60米 </t>
  </si>
  <si>
    <t xml:space="preserve">2022年第5批次 </t>
  </si>
  <si>
    <t xml:space="preserve"> 限地价,现房销售,摇号/摇珠/抽签,限房价 </t>
  </si>
  <si>
    <t xml:space="preserve"> 中建智地置业有限公司  </t>
  </si>
  <si>
    <t xml:space="preserve"> 中建一局 </t>
  </si>
  <si>
    <t xml:space="preserve"> 中建房山·国贤府  </t>
  </si>
  <si>
    <t>北京经济技术开发区亦庄新城0303街区F1C-1、F1S-1、F1R-1、F1A-1地块B4综合性商业金融服务业用地、S4社会停车场用地、R2二类居住用地、A334托幼用地</t>
  </si>
  <si>
    <t xml:space="preserve"> 路东区 </t>
  </si>
  <si>
    <t xml:space="preserve"> 京土储挂(开)[2022]078号 </t>
  </si>
  <si>
    <t xml:space="preserve"> 亦庄新城0303街区F1C-1、F1S-1、F1R-1、F1A-1地块 </t>
  </si>
  <si>
    <t xml:space="preserve"> B4综合性商业金融服务业用地、S4社会停车场用地、R2二类居住用地、A334托幼用地 </t>
  </si>
  <si>
    <t xml:space="preserve"> A33基础教育用地、S42社会停车场用地、B21金融保险用地、R2二类居住用地、B1商业设施用地 </t>
  </si>
  <si>
    <t xml:space="preserve"> 居住70年,教育50年,办公50年 </t>
  </si>
  <si>
    <t xml:space="preserve"> f1c-1容积率3.5、f1r-1容积率2.5、f1a-1容积率0.8 </t>
  </si>
  <si>
    <t xml:space="preserve"> F1C-1、F1R-1建筑密度≤40%、F1A-1建筑密度≤35% </t>
  </si>
  <si>
    <t xml:space="preserve"> F1C-1限高80米、F1R-1限高60米、F1A-1限高18米 </t>
  </si>
  <si>
    <t xml:space="preserve"> 限地价,摇号/摇珠/抽签,90/70,限房价 </t>
  </si>
  <si>
    <t xml:space="preserve"> 北京越新房地产开发有限公司  </t>
  </si>
  <si>
    <t xml:space="preserve"> 京东集团股份 </t>
  </si>
  <si>
    <t>北京市房山区拱辰街道FS00-LX04-0001地块(南侧)R2二类居住用地、FS00-LX04-0002地块A33基础教育用地</t>
  </si>
  <si>
    <t xml:space="preserve"> 京土储挂(房)[2022]056号 </t>
  </si>
  <si>
    <t xml:space="preserve"> 房山区拱辰街道 </t>
  </si>
  <si>
    <t xml:space="preserve"> 住宅70年教育50年 </t>
  </si>
  <si>
    <t xml:space="preserve"> fs00-lx04-0001地块(南侧)地块容积率1.13,fs00-lx04-0002地块容积率0.8 </t>
  </si>
  <si>
    <t xml:space="preserve"> FS00-LX04-0002地块建筑密度30% </t>
  </si>
  <si>
    <t xml:space="preserve"> FS00-LX04-0001地块(南侧)地块限制高度54米,FS00-LX04-0002地块限制高度12米 </t>
  </si>
  <si>
    <t xml:space="preserve">2022年第3批次 </t>
  </si>
  <si>
    <t xml:space="preserve"> 北京安顺园房地产开发有限公司  </t>
  </si>
  <si>
    <t xml:space="preserve"> 首创城发 </t>
  </si>
  <si>
    <t xml:space="preserve"> 首创伊林郡商铺  </t>
  </si>
  <si>
    <t>北京经济技术开发区亦庄新城0510街区YZ00-0510-0033地块R2二类居住用地</t>
  </si>
  <si>
    <t xml:space="preserve"> 京土储挂(开)[2022]059号 </t>
  </si>
  <si>
    <t xml:space="preserve"> 亦庄新城0510街区YZ00-0510-0033地块 </t>
  </si>
  <si>
    <t xml:space="preserve"> ≤2.0 </t>
  </si>
  <si>
    <t xml:space="preserve"> 限地价,摇号/摇珠/抽签,90/70 </t>
  </si>
  <si>
    <t xml:space="preserve"> 限地价,90/70 </t>
  </si>
  <si>
    <t xml:space="preserve"> 北京亦庄博润置业有限公司 、北京亦庄久筑工程管理有限公司  </t>
  </si>
  <si>
    <t xml:space="preserve"> 亦庄投资 </t>
  </si>
  <si>
    <t xml:space="preserve"> 丰禾嘉会  </t>
  </si>
  <si>
    <t>北京市房山区西潞街道佳世苑三期FS00-0113-0008、0009地块R2二类居住用地、A33基础教育用地</t>
  </si>
  <si>
    <t xml:space="preserve"> 京土储挂(房)[2022]055号 </t>
  </si>
  <si>
    <t xml:space="preserve"> 房山区西潞街道 </t>
  </si>
  <si>
    <t xml:space="preserve"> fs00-0113-0008容积率2.4,fs00-0113-0009容积率0.8 </t>
  </si>
  <si>
    <t xml:space="preserve"> FS00-0113-0008建筑密度25%,FS00-0113-0009建筑密度30% </t>
  </si>
  <si>
    <t xml:space="preserve"> FS00-0113-0008建筑限高45米,FS00-0113-0009建筑限高12米 </t>
  </si>
  <si>
    <t xml:space="preserve"> 限地价,现房销售,摇号/摇珠/抽签 </t>
  </si>
  <si>
    <t xml:space="preserve"> 北京建工·揽星宸  </t>
  </si>
  <si>
    <t>北京市大兴区西红门镇DX04-0102-6013地块R2二类居住用地</t>
  </si>
  <si>
    <t xml:space="preserve"> 京土储挂(兴)[2022]052号 </t>
  </si>
  <si>
    <t xml:space="preserve"> R2二类居住用地,商业 </t>
  </si>
  <si>
    <t xml:space="preserve"> B1商业设施用地、R2二类居住用地 </t>
  </si>
  <si>
    <t xml:space="preserve"> 住宅70年,商业40年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</si>
  <si>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</si>
  <si>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</si>
  <si>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</si>
  <si>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</si>
  <si>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北京经济技术开发区亦庄新城0510街区YZ00-0510-0017地块R2二类居住用地</t>
  </si>
  <si>
    <t xml:space="preserve"> 京土储挂(开)[2022] 017 号 </t>
  </si>
  <si>
    <t xml:space="preserve"> 亦庄新城0510街区YZ00-0510-0017地块 </t>
  </si>
  <si>
    <t xml:space="preserve">2022年第1批次 </t>
  </si>
  <si>
    <t xml:space="preserve"> 限房价,限地价,90/70,摇号/摇珠/抽签 </t>
  </si>
  <si>
    <t xml:space="preserve"> 限房价,限地价,90/70 </t>
  </si>
  <si>
    <t xml:space="preserve"> 长春创诚房地产开发有限公司  </t>
  </si>
  <si>
    <t xml:space="preserve"> 绿城中国 </t>
  </si>
  <si>
    <t xml:space="preserve"> 混合所有制 </t>
  </si>
  <si>
    <t xml:space="preserve"> 绿城·桂语听澜  </t>
  </si>
  <si>
    <t>北京市房山区拱辰街道办事处FS00-LX05-0045地块R2二类居住用地</t>
  </si>
  <si>
    <t xml:space="preserve"> 京土储挂(房)[2022]014号 </t>
  </si>
  <si>
    <t xml:space="preserve"> 房山区拱辰街道办事处 </t>
  </si>
  <si>
    <t xml:space="preserve"> 限房价,限地价,报高标准商品住宅建设方案,现房销售 </t>
  </si>
  <si>
    <t xml:space="preserve"> 限房价,限地价 </t>
  </si>
  <si>
    <t xml:space="preserve"> 春和印象  </t>
  </si>
  <si>
    <t>北京市大兴区旧宫镇绿化隔离地区建设旧村二期1号地土地一级开发项目A2-2地块R2二类居住用地</t>
  </si>
  <si>
    <t xml:space="preserve"> 旧宫北 </t>
  </si>
  <si>
    <t xml:space="preserve"> 京土储挂(开)[2022] 016 号 </t>
  </si>
  <si>
    <t xml:space="preserve"> 京土储挂(开)[2022]016号 </t>
  </si>
  <si>
    <t xml:space="preserve"> 大兴区旧宫镇 </t>
  </si>
  <si>
    <t xml:space="preserve"> 限房价,限地价,报高标准商品住宅建设方案,摇号/摇珠/抽签 </t>
  </si>
  <si>
    <t xml:space="preserve"> 中海企业发展集团有限公司  </t>
  </si>
  <si>
    <t xml:space="preserve"> 中海地产 </t>
  </si>
  <si>
    <t xml:space="preserve"> 17300元/㎡(五级住宅用途2021-01-01) </t>
  </si>
  <si>
    <t xml:space="preserve"> 中海兴叁號院  </t>
  </si>
  <si>
    <t>北京市大兴区黄村镇DX00-0202-6007、6014、6011、6002地块R2二类居住用地、F3其他类多功能用地、A334托幼用地</t>
  </si>
  <si>
    <t xml:space="preserve"> 京土储挂(兴)[2022]008号 </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</si>
  <si>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</si>
  <si>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</si>
  <si>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</si>
  <si>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 xml:space="preserve"> DX00-0202-6007地块、DX00-0202-6014地块和DX00-0202-6011地块建筑高度45米,DX00-0202-6002地块建筑高度16米 </t>
  </si>
  <si>
    <t xml:space="preserve"> 限房价,限地价,报高标准商品住宅建设方案,摇号/摇珠/抽签,现房销售 </t>
  </si>
  <si>
    <t xml:space="preserve"> 湖北联投,北京兴创投资 </t>
  </si>
  <si>
    <t xml:space="preserve"> 大兴·星光城  </t>
  </si>
  <si>
    <t>北京市大兴区西红门镇B2-08、DX04-0101-6004、6006、6008地块R2二类居住用地、F3其他类多功能用地、U17邮政设施用地</t>
  </si>
  <si>
    <t xml:space="preserve"> 京土储挂(兴)[2022]009号 </t>
  </si>
  <si>
    <t xml:space="preserve"> R2二类居住用地、F3其他类多功能用地、U17邮政设施用地 </t>
  </si>
  <si>
    <t xml:space="preserve"> R2二类居住用地、U15邮政设施用地 </t>
  </si>
  <si>
    <t xml:space="preserve"> 居住70年,办公50年,服务设施50年 </t>
  </si>
  <si>
    <t xml:space="preserve"> b2-08地块容积率2.1,dx04-0101-6004地块和dx04-0101-6006地块容积率2.0,,dx04-0101-6008地块容积率0.8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</si>
  <si>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</si>
  <si>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</si>
  <si>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中建壹品投资发展有限公司 、北京兴创房地产开发有限公司  </t>
  </si>
  <si>
    <t xml:space="preserve"> 壹品兴创·御璟星城  </t>
  </si>
  <si>
    <t>北京市房山区拱辰街道FS00-0111-0017,0019地块R2二类居住用地(配建“保障性租赁住房”)</t>
  </si>
  <si>
    <t xml:space="preserve"> 京土整储挂(房)[2021]084号 </t>
  </si>
  <si>
    <t xml:space="preserve"> 居住70年,商业40年,办公54年 </t>
  </si>
  <si>
    <t xml:space="preserve">2021年第3批次 </t>
  </si>
  <si>
    <t xml:space="preserve"> 限房价,限地价,报高标准商品住宅建设方案 </t>
  </si>
  <si>
    <t xml:space="preserve"> 含保障房用地,含租赁住房用地 </t>
  </si>
  <si>
    <t xml:space="preserve"> 保障性租赁住房 </t>
  </si>
  <si>
    <t xml:space="preserve"> 中建·学府印悦  </t>
  </si>
  <si>
    <t>北京市大兴区瀛海镇集体经营性建设用地入市试点(一期) YZ00-0803-0012 地块</t>
  </si>
  <si>
    <t xml:space="preserve"> 京规自集使挂 (兴) [2021]002 号 </t>
  </si>
  <si>
    <t xml:space="preserve"> YZ00-0803-0012 </t>
  </si>
  <si>
    <t xml:space="preserve"> 大兴区瀛海镇,东至瀛坤路,西至瀛达路,北至瀛元街,南至瀛成路 </t>
  </si>
  <si>
    <t xml:space="preserve"> F81绿隔产业用地(建设人才公寓) </t>
  </si>
  <si>
    <t xml:space="preserve"> 已竣工 </t>
  </si>
  <si>
    <t xml:space="preserve"> 北京博大新元房地产开发有限公司  </t>
  </si>
  <si>
    <t xml:space="preserve"> 北京亦庄国际人才发展 </t>
  </si>
  <si>
    <t>北京市大兴区黄村镇DX00-0102-0208-6026、6020地块R2二类居住用地、A334托幼用地</t>
  </si>
  <si>
    <t xml:space="preserve"> 京土整储挂(兴)[2021]060号 </t>
  </si>
  <si>
    <t xml:space="preserve"> 6026:R2二类居住用地;6020:A334托幼用地 </t>
  </si>
  <si>
    <t xml:space="preserve"> 居住70年,商业40年,办公50年 </t>
  </si>
  <si>
    <t xml:space="preserve"> 6026&lt;2.5;6020&lt;0.9 </t>
  </si>
  <si>
    <t xml:space="preserve"> &lt;30% </t>
  </si>
  <si>
    <t xml:space="preserve"> 6026&lt;60米;6020&lt;16米 </t>
  </si>
  <si>
    <t xml:space="preserve">2021年第2批次 </t>
  </si>
  <si>
    <t xml:space="preserve"> 限房价,限地价,现房销售 </t>
  </si>
  <si>
    <t xml:space="preserve"> 中铁置业集团北京有限公司 、北京兴创置地房地产开发有限公司  </t>
  </si>
  <si>
    <t xml:space="preserve"> 北京兴创投资,中国中铁 </t>
  </si>
  <si>
    <t xml:space="preserve"> 中铁兴创·逸境  </t>
  </si>
  <si>
    <t>北京市大兴区西红门镇DX04-0102-6011、6014地块R2二类居住用地(配建“保障性租赁住房”)</t>
  </si>
  <si>
    <t xml:space="preserve"> 京土整储挂(兴)[2021]061号 </t>
  </si>
  <si>
    <t xml:space="preserve"> 居住70年 </t>
  </si>
  <si>
    <t xml:space="preserve"> &lt;2.5 </t>
  </si>
  <si>
    <t xml:space="preserve"> &lt;45米 </t>
  </si>
  <si>
    <t xml:space="preserve"> 华润置地,中国中铁 </t>
  </si>
  <si>
    <t>北京市房山区拱辰街道FS00-0111-0018地块R2二类居住用地、FS00-0111-0016地块A33基础教育用地(配建“保障性租赁住房”)</t>
  </si>
  <si>
    <t xml:space="preserve"> 京土整储挂(房)[2021]068号 </t>
  </si>
  <si>
    <t xml:space="preserve"> R2二类居住用地;0016:A33基础教育用地 </t>
  </si>
  <si>
    <t xml:space="preserve"> 居住70年,教育50年 </t>
  </si>
  <si>
    <t xml:space="preserve"> 0018&lt;2.5;0016&lt;0.6 </t>
  </si>
  <si>
    <t xml:space="preserve"> 0018&lt;25%;0016&lt;30% </t>
  </si>
  <si>
    <t xml:space="preserve"> 0018&lt;45米;0016&lt;12米 </t>
  </si>
  <si>
    <t xml:space="preserve"> 中建学府印悦一期  </t>
  </si>
  <si>
    <t>北京市房山区长沟镇新型城镇化建设北部浅山区土地一级开发项目FS12-0100-6017地块R2二类居住用地</t>
  </si>
  <si>
    <t xml:space="preserve"> 长沟镇 </t>
  </si>
  <si>
    <t xml:space="preserve"> 京土整储挂(房)[2021]067号 </t>
  </si>
  <si>
    <t xml:space="preserve"> 房山区长沟镇 </t>
  </si>
  <si>
    <t xml:space="preserve"> 2180元/㎡(十一级住宅用途2021-01-01) </t>
  </si>
  <si>
    <t>北京市房山区长阳镇04街区FS10-0104-6001、6002地块R2二类居住用地、A334基础教育用地</t>
  </si>
  <si>
    <t xml:space="preserve"> 长阳北 </t>
  </si>
  <si>
    <t xml:space="preserve"> 京土整储招(房)[2021]029号 </t>
  </si>
  <si>
    <t xml:space="preserve"> R2二类居住用地、A334基础教育用地 </t>
  </si>
  <si>
    <t xml:space="preserve"> r2≤2.5;a334≤0.8 </t>
  </si>
  <si>
    <t xml:space="preserve"> R2≤60米;A334≤12米 </t>
  </si>
  <si>
    <t xml:space="preserve"> 招标 </t>
  </si>
  <si>
    <t xml:space="preserve">2021年第1批次 </t>
  </si>
  <si>
    <t xml:space="preserve"> 含保障房用地 </t>
  </si>
  <si>
    <t xml:space="preserve"> 公共租赁房 </t>
  </si>
  <si>
    <t xml:space="preserve"> 北京首都开发股份有限公司  </t>
  </si>
  <si>
    <t xml:space="preserve"> 首开股份 </t>
  </si>
  <si>
    <t>北京市大兴区大兴新城核心区H组团DX00-0106-001a、001b地块R2二类居住用地、A334基础教育用地</t>
  </si>
  <si>
    <t xml:space="preserve"> 京土整储挂(兴)[2021]030号 </t>
  </si>
  <si>
    <t xml:space="preserve"> 大兴新城核心区 </t>
  </si>
  <si>
    <t xml:space="preserve"> 60米,12米 </t>
  </si>
  <si>
    <t xml:space="preserve"> 限地价,竞配建,报高标准商品住宅建设方案 </t>
  </si>
  <si>
    <t xml:space="preserve"> 限地价,竞配建 </t>
  </si>
  <si>
    <t xml:space="preserve"> 中冶置业集团有限公司 、宁波雨航企业管理合伙企业(有限合伙)  </t>
  </si>
  <si>
    <t xml:space="preserve"> 中冶置业 </t>
  </si>
  <si>
    <t xml:space="preserve"> 北京德贤华府  </t>
  </si>
  <si>
    <t>北京市大兴区旧宫镇DX05-0102-6101、6102、YZ00-0801-0015、0016地块B4综合性商业金融服务业用地、U17邮政设施用地、R2二类居住用地(配建“公共租赁住房”)国有建设用地使用权出让</t>
  </si>
  <si>
    <t xml:space="preserve"> 旧宫西 </t>
  </si>
  <si>
    <t xml:space="preserve"> 京土整储挂(开)[2021]31号 </t>
  </si>
  <si>
    <t xml:space="preserve"> 北京市大兴区旧宫镇DX05-0102-6101、6102、YZ00-0801-0015、0016地块 </t>
  </si>
  <si>
    <t xml:space="preserve"> B4综合性商业金融服务业用地、U17邮政设施用地、R2二类居住用地 </t>
  </si>
  <si>
    <t xml:space="preserve"> U15邮政设施用地、B21金融保险用地、B1商业设施用地、R2二类居住用地 </t>
  </si>
  <si>
    <t xml:space="preserve"> 6101≤1.5;6102≤1;0015;0016≤2.5 </t>
  </si>
  <si>
    <t xml:space="preserve"> 6101≤45%;6102≤40%;0015;0016≤30% </t>
  </si>
  <si>
    <t xml:space="preserve"> 6101≤18米;6102≤13米;0015;0016≤45米 </t>
  </si>
  <si>
    <t xml:space="preserve"> 限地价,竞配建,报高标准商品住宅建设方案,90/70 </t>
  </si>
  <si>
    <t xml:space="preserve"> 限地价,竞配建,90/70 </t>
  </si>
  <si>
    <t xml:space="preserve"> 北京住总房地产开发有限责任公司 、北京首都开发股份有限公司  </t>
  </si>
  <si>
    <t xml:space="preserve"> 首开股份,北京住总集团 </t>
  </si>
  <si>
    <t xml:space="preserve"> 地方国有企业，地方国有企业 </t>
  </si>
  <si>
    <t xml:space="preserve"> 住总首开保利熙悦雲上  </t>
  </si>
  <si>
    <t>北京市大兴区大兴新城核心区D、K组团土地一级开发DX00-0102-6006、6010、6018、6024、6026地块R2二类居住用地等</t>
  </si>
  <si>
    <t xml:space="preserve"> 京土整储挂(兴)[2021]017号 </t>
  </si>
  <si>
    <t xml:space="preserve"> R2二类居住用地、F3其他类多功能用地、B1商业设施用地、A334基础教育用地 </t>
  </si>
  <si>
    <t xml:space="preserve"> A33基础教育用地、B1商业设施用地、R2二类居住用地 </t>
  </si>
  <si>
    <t xml:space="preserve"> ≤2.42 </t>
  </si>
  <si>
    <t xml:space="preserve"> 北京骏盛企业管理咨询有限公司 、北京骏磊企业管理咨询有限公司 、天津兴辉企业管理咨询有限公司  </t>
  </si>
  <si>
    <t xml:space="preserve"> 金辉集团,中骏集团 </t>
  </si>
  <si>
    <t xml:space="preserve"> 民营企业，民营企业 </t>
  </si>
  <si>
    <t xml:space="preserve"> 中骏金辉·未来云城  </t>
  </si>
  <si>
    <t>北京市大兴区榆垡镇中心区DX09-0102-0027、0044地块R2二类居住用地</t>
  </si>
  <si>
    <t xml:space="preserve"> 榆垡镇 </t>
  </si>
  <si>
    <t xml:space="preserve"> 京土整储挂(兴)[2021]018号 </t>
  </si>
  <si>
    <t xml:space="preserve"> 大兴区榆垡镇 </t>
  </si>
  <si>
    <t xml:space="preserve"> 限地价,报高标准商品住宅建设方案 </t>
  </si>
  <si>
    <t xml:space="preserve"> 保利(北京)房地产开发有限公司 、北京新航城建设实业发展有限公司 、北京首都开发股份有限公司  </t>
  </si>
  <si>
    <t xml:space="preserve"> 北京新航城,首开股份,保利发展 </t>
  </si>
  <si>
    <t xml:space="preserve"> 地方国有企业，地方国有企业，中央国有企业 </t>
  </si>
  <si>
    <t xml:space="preserve"> 和悦璞云  </t>
  </si>
  <si>
    <t>北京市大兴区旧宫镇南郊农场棚户区改造项目DX05-0200-0037、0038、6002等地块R2二类居住用地</t>
  </si>
  <si>
    <t xml:space="preserve"> 德茂 </t>
  </si>
  <si>
    <t xml:space="preserve"> 京土整储挂(开)【2020】056号 </t>
  </si>
  <si>
    <t xml:space="preserve"> ≤2.3 </t>
  </si>
  <si>
    <t xml:space="preserve"> 限地价,竞自持,报高标准商品住宅建设方案 </t>
  </si>
  <si>
    <t xml:space="preserve"> 限地价,竞自持 </t>
  </si>
  <si>
    <t xml:space="preserve"> 北京盛宏辰悦房地产开发有限公司  </t>
  </si>
  <si>
    <t xml:space="preserve"> 合生创展 </t>
  </si>
  <si>
    <t xml:space="preserve"> 合生me悦  </t>
  </si>
  <si>
    <t>高速路</t>
    <phoneticPr fontId="3" type="noConversion"/>
  </si>
  <si>
    <t>快速路</t>
    <phoneticPr fontId="3" type="noConversion"/>
  </si>
  <si>
    <t>主干道</t>
    <phoneticPr fontId="3" type="noConversion"/>
  </si>
  <si>
    <t>支路</t>
    <phoneticPr fontId="3" type="noConversion"/>
  </si>
  <si>
    <r>
      <t>9</t>
    </r>
    <r>
      <rPr>
        <sz val="11"/>
        <rFont val="宋体"/>
        <family val="3"/>
        <charset val="134"/>
      </rPr>
      <t>级</t>
    </r>
    <phoneticPr fontId="30" type="noConversion"/>
  </si>
  <si>
    <r>
      <t>8</t>
    </r>
    <r>
      <rPr>
        <sz val="11"/>
        <rFont val="宋体"/>
        <family val="3"/>
        <charset val="134"/>
      </rPr>
      <t>级</t>
    </r>
    <phoneticPr fontId="30" type="noConversion"/>
  </si>
  <si>
    <r>
      <t>10级</t>
    </r>
    <r>
      <rPr>
        <sz val="11"/>
        <rFont val="宋体"/>
        <family val="3"/>
        <charset val="134"/>
      </rPr>
      <t/>
    </r>
  </si>
  <si>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</si>
  <si>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</si>
  <si>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</si>
  <si>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</si>
  <si>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</si>
  <si>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</si>
  <si>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</si>
  <si>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</si>
  <si>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</si>
  <si>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</si>
  <si>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</si>
  <si>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</si>
  <si>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</si>
  <si>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</si>
  <si>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</si>
  <si>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</si>
  <si>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一般</t>
  </si>
  <si>
    <t>较差</t>
  </si>
  <si>
    <t>差</t>
  </si>
  <si>
    <t>10级</t>
  </si>
  <si>
    <t>次干道</t>
  </si>
  <si>
    <t>正常</t>
  </si>
  <si>
    <t>9级</t>
  </si>
  <si>
    <t>限价</t>
    <phoneticPr fontId="30" type="noConversion"/>
  </si>
  <si>
    <t>30000</t>
    <phoneticPr fontId="30" type="noConversion"/>
  </si>
  <si>
    <t>37000</t>
    <phoneticPr fontId="30" type="noConversion"/>
  </si>
  <si>
    <t>工程进度</t>
  </si>
  <si>
    <t>腾龙家园</t>
    <phoneticPr fontId="3" type="noConversion"/>
  </si>
  <si>
    <t>汇豪山水华府</t>
    <phoneticPr fontId="3" type="noConversion"/>
  </si>
  <si>
    <t>舒朗苑</t>
    <phoneticPr fontId="3" type="noConversion"/>
  </si>
  <si>
    <t>项目模式</t>
  </si>
  <si>
    <t>售价</t>
  </si>
  <si>
    <t>高层</t>
  </si>
  <si>
    <t>钢混</t>
  </si>
  <si>
    <t>中档</t>
  </si>
  <si>
    <t>精装修</t>
  </si>
  <si>
    <t>专业</t>
  </si>
  <si>
    <t>毛坯</t>
  </si>
  <si>
    <t>报价</t>
    <phoneticPr fontId="3" type="noConversion"/>
  </si>
  <si>
    <t>60-70</t>
    <phoneticPr fontId="3" type="noConversion"/>
  </si>
  <si>
    <t>50-60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</si>
  <si>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</si>
  <si>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</si>
  <si>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</si>
  <si>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</si>
  <si>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</si>
  <si>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</si>
  <si>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</si>
  <si>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</si>
  <si>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</si>
  <si>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</si>
  <si>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</si>
  <si>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</si>
  <si>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4" type="noConversion"/>
  </si>
  <si>
    <t>小高层</t>
  </si>
  <si>
    <t>机械车位</t>
  </si>
  <si>
    <t>机械车位</t>
    <phoneticPr fontId="3" type="noConversion"/>
  </si>
  <si>
    <t>收益法</t>
  </si>
  <si>
    <t>地下仓储</t>
  </si>
  <si>
    <t>在建（套用方法）</t>
  </si>
  <si>
    <t>押一</t>
  </si>
  <si>
    <t>非生产用房</t>
  </si>
  <si>
    <t>地下车库</t>
  </si>
  <si>
    <t>自定义</t>
  </si>
  <si>
    <t>收益法车</t>
  </si>
  <si>
    <t>收益法车</t>
    <phoneticPr fontId="16" type="noConversion"/>
  </si>
  <si>
    <t>收益法机</t>
  </si>
  <si>
    <t>收益法机</t>
    <phoneticPr fontId="16" type="noConversion"/>
  </si>
  <si>
    <t>在建</t>
  </si>
  <si>
    <t>项目局部</t>
  </si>
  <si>
    <t>成本法</t>
  </si>
  <si>
    <t>假设开发法</t>
  </si>
  <si>
    <t>未包含在土地购买价格中</t>
  </si>
  <si>
    <t>已包含在土地取得成本中</t>
  </si>
  <si>
    <t>建安取值</t>
  </si>
  <si>
    <t>建筑面积</t>
  </si>
  <si>
    <t>单方建安</t>
  </si>
  <si>
    <t>合计</t>
  </si>
  <si>
    <t>主体</t>
  </si>
  <si>
    <t>装修</t>
  </si>
  <si>
    <t>设备</t>
  </si>
  <si>
    <t>人防</t>
  </si>
  <si>
    <t>综合平均</t>
  </si>
  <si>
    <t>总价</t>
  </si>
  <si>
    <t>成本比率</t>
  </si>
  <si>
    <t>住宅、办公</t>
  </si>
  <si>
    <t>住宅、办公</t>
    <phoneticPr fontId="30" type="noConversion"/>
  </si>
  <si>
    <t>住宅</t>
    <phoneticPr fontId="134" type="noConversion"/>
  </si>
  <si>
    <t>办公</t>
    <phoneticPr fontId="134" type="noConversion"/>
  </si>
  <si>
    <t>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</si>
</sst>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3" fontId="271" fillId="0" borderId="1" xfId="0" applyNumberFormat="1" applyFont="1" applyBorder="1" applyAlignment="1" applyProtection="1">
      <alignment horizontal="center" vertical="center" shrinkToFit="1"/>
      <protection locked="0"/>
    </xf>
    <xf numFmtId="177" fontId="271" fillId="5" borderId="1" xfId="1" applyNumberFormat="1" applyFont="1" applyFill="1" applyBorder="1" applyAlignment="1" applyProtection="1">
      <alignment horizontal="center" vertical="center"/>
      <protection locked="0"/>
    </xf>
    <xf numFmtId="49" fontId="271" fillId="5" borderId="1" xfId="0" applyNumberFormat="1" applyFont="1" applyFill="1" applyBorder="1" applyAlignment="1" applyProtection="1">
      <alignment horizontal="center" vertical="center" wrapText="1"/>
      <protection locked="0"/>
    </xf>
    <xf numFmtId="0" fontId="270" fillId="5" borderId="1" xfId="0" applyFont="1" applyFill="1" applyBorder="1" applyAlignment="1">
      <alignment horizontal="left" vertical="center"/>
    </xf>
    <xf numFmtId="0" fontId="11" fillId="2" borderId="54" xfId="0" applyFont="1" applyFill="1" applyBorder="1" applyAlignment="1" applyProtection="1">
      <alignment horizontal="left" vertical="center"/>
      <protection locked="0"/>
    </xf>
    <xf numFmtId="177" fontId="11" fillId="0" borderId="1" xfId="1" applyNumberFormat="1" applyFont="1" applyBorder="1" applyProtection="1">
      <alignment vertical="center"/>
      <protection locked="0" hidden="1"/>
    </xf>
    <xf numFmtId="176" fontId="47" fillId="5" borderId="1"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77" fillId="0" borderId="24" xfId="0" applyFont="1" applyBorder="1" applyAlignment="1" applyProtection="1">
      <alignment vertical="center" wrapTex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0" fontId="0" fillId="9" borderId="0" xfId="0" applyFill="1" applyAlignment="1"/>
    <xf numFmtId="14" fontId="0" fillId="9" borderId="0" xfId="0" applyNumberForma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181" fontId="53" fillId="7"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9" fontId="53" fillId="0" borderId="5" xfId="0"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70" fillId="16" borderId="20" xfId="0" applyFont="1" applyFill="1" applyBorder="1" applyAlignment="1" applyProtection="1">
      <alignment vertical="center" wrapText="1"/>
      <protection locked="0"/>
    </xf>
    <xf numFmtId="0" fontId="70" fillId="16" borderId="51" xfId="0" applyFont="1" applyFill="1" applyBorder="1" applyAlignment="1" applyProtection="1">
      <alignment vertical="center" wrapText="1"/>
      <protection locked="0"/>
    </xf>
    <xf numFmtId="0" fontId="70" fillId="0" borderId="20" xfId="0" applyFont="1" applyBorder="1" applyAlignment="1" applyProtection="1">
      <alignment vertical="center" wrapText="1"/>
      <protection locked="0"/>
    </xf>
    <xf numFmtId="181" fontId="47" fillId="16" borderId="49" xfId="0" applyNumberFormat="1" applyFont="1" applyFill="1" applyBorder="1" applyAlignment="1" applyProtection="1">
      <alignment horizontal="center" vertical="center"/>
      <protection locked="0"/>
    </xf>
    <xf numFmtId="181" fontId="47" fillId="16"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 fontId="0" fillId="0" borderId="0" xfId="0" applyNumberFormat="1" applyAlignment="1">
      <alignment horizontal="right"/>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18</xdr:col>
      <xdr:colOff>464638</xdr:colOff>
      <xdr:row>94</xdr:row>
      <xdr:rowOff>103905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9258300"/>
          <a:ext cx="16695238" cy="6961905"/>
        </a:xfrm>
        <a:prstGeom prst="rect">
          <a:avLst/>
        </a:prstGeom>
      </xdr:spPr>
    </xdr:pic>
    <xdr:clientData/>
  </xdr:twoCellAnchor>
  <xdr:twoCellAnchor editAs="oneCell">
    <xdr:from>
      <xdr:col>0</xdr:col>
      <xdr:colOff>0</xdr:colOff>
      <xdr:row>95</xdr:row>
      <xdr:rowOff>0</xdr:rowOff>
    </xdr:from>
    <xdr:to>
      <xdr:col>18</xdr:col>
      <xdr:colOff>236066</xdr:colOff>
      <xdr:row>134</xdr:row>
      <xdr:rowOff>132498</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16287750"/>
          <a:ext cx="16466666" cy="6819048"/>
        </a:xfrm>
        <a:prstGeom prst="rect">
          <a:avLst/>
        </a:prstGeom>
      </xdr:spPr>
    </xdr:pic>
    <xdr:clientData/>
  </xdr:twoCellAnchor>
  <xdr:twoCellAnchor editAs="oneCell">
    <xdr:from>
      <xdr:col>0</xdr:col>
      <xdr:colOff>0</xdr:colOff>
      <xdr:row>135</xdr:row>
      <xdr:rowOff>0</xdr:rowOff>
    </xdr:from>
    <xdr:to>
      <xdr:col>18</xdr:col>
      <xdr:colOff>321781</xdr:colOff>
      <xdr:row>175</xdr:row>
      <xdr:rowOff>122952</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23145750"/>
          <a:ext cx="16552381" cy="6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北京市房山区城关中心区出让国有建设用地使用权及在建建筑物房地产抵押价值预评估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受贵公司委托，我公司对北京市房山区城关中心区出让国有建设用地使用权及在建建筑物房地产抵押价值进行了预评估。</v>
      </c>
    </row>
    <row r="7" spans="1:2">
      <c r="A7" s="1113" t="s">
        <v>566</v>
      </c>
      <c r="B7" s="1114" t="str">
        <f>'预评函-1'!A7</f>
        <v>估价对象为北京市房山区城关中心区出让国有建设用地使用权及在建建筑物房地产，为所有。根据《国有土地使用证》[]，估价对象（分摊）出让国有建设用地使用权面积为15478.33平方米，建筑面积为64756.12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2024年10月30日（评估专业人员实地查勘之日）</v>
      </c>
    </row>
    <row r="13" spans="1:2">
      <c r="A13" s="1113" t="s">
        <v>529</v>
      </c>
      <c r="B13" s="1114"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108366</v>
      </c>
    </row>
    <row r="21" spans="1:2">
      <c r="A21" s="1113" t="s">
        <v>537</v>
      </c>
      <c r="B21" s="1114">
        <f ca="1">'预评函-2'!D7</f>
        <v>16734</v>
      </c>
    </row>
    <row r="22" spans="1:2">
      <c r="A22" s="1113" t="s">
        <v>538</v>
      </c>
      <c r="B22" s="1114" t="str">
        <f ca="1">'预评函-2'!D6</f>
        <v>壹拾亿捌仟叁佰陆拾陆万元整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108366</v>
      </c>
    </row>
    <row r="31" spans="1:2">
      <c r="A31" s="1113" t="s">
        <v>576</v>
      </c>
      <c r="B31" s="1114">
        <f ca="1">'预评函-2'!D15</f>
        <v>16734</v>
      </c>
    </row>
    <row r="32" spans="1:2">
      <c r="A32" s="1113" t="s">
        <v>543</v>
      </c>
      <c r="B32" s="1114" t="str">
        <f ca="1">'预评函-2'!D14</f>
        <v>壹拾亿捌仟叁佰陆拾陆万元整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北京市房山区城关中心区出让国有建设用地使用权及在建建筑物房地产</v>
      </c>
    </row>
    <row r="42" spans="1:2">
      <c r="A42" s="1113" t="s">
        <v>590</v>
      </c>
      <c r="B42" s="1114" t="str">
        <f>'预评函-3'!B2</f>
        <v>建筑面积</v>
      </c>
    </row>
    <row r="43" spans="1:2">
      <c r="A43" s="1113" t="s">
        <v>591</v>
      </c>
      <c r="B43" s="1114">
        <f>'预评函-3'!B4</f>
        <v>64756.12</v>
      </c>
    </row>
    <row r="44" spans="1:2">
      <c r="A44" s="1113" t="s">
        <v>575</v>
      </c>
      <c r="B44" s="1114" t="str">
        <f>'预评函-3'!C2</f>
        <v>(分摊)土地面积</v>
      </c>
    </row>
    <row r="45" spans="1:2">
      <c r="A45" s="1113" t="s">
        <v>547</v>
      </c>
      <c r="B45" s="1114">
        <f>'预评函-3'!C4</f>
        <v>15478.33</v>
      </c>
    </row>
    <row r="46" spans="1:2">
      <c r="A46" s="1113" t="s">
        <v>573</v>
      </c>
      <c r="B46" s="1114" t="str">
        <f>'预评函-3'!D2</f>
        <v>出让国有建设用地使用权价值</v>
      </c>
    </row>
    <row r="47" spans="1:2">
      <c r="A47" s="1113" t="s">
        <v>548</v>
      </c>
      <c r="B47" s="1114">
        <f ca="1">'预评函-3'!D4</f>
        <v>85609</v>
      </c>
    </row>
    <row r="48" spans="1:2">
      <c r="A48" s="1113" t="s">
        <v>549</v>
      </c>
      <c r="B48" s="1114">
        <f ca="1">'预评函-3'!E4</f>
        <v>13220</v>
      </c>
    </row>
    <row r="49" spans="1:2">
      <c r="A49" s="1113" t="s">
        <v>550</v>
      </c>
      <c r="B49" s="1114" t="str">
        <f ca="1">'预评函-3'!D5</f>
        <v>捌亿伍仟陆佰零玖万元整</v>
      </c>
    </row>
    <row r="50" spans="1:2">
      <c r="A50" s="1113" t="s">
        <v>574</v>
      </c>
      <c r="B50" s="1114" t="str">
        <f>'预评函-3'!F2</f>
        <v>在建建筑物价值</v>
      </c>
    </row>
    <row r="51" spans="1:2">
      <c r="A51" s="1113" t="s">
        <v>551</v>
      </c>
      <c r="B51" s="1114">
        <f ca="1">'预评函-3'!F4</f>
        <v>22757</v>
      </c>
    </row>
    <row r="52" spans="1:2">
      <c r="A52" s="1113" t="s">
        <v>552</v>
      </c>
      <c r="B52" s="1114">
        <f ca="1">'预评函-3'!G4</f>
        <v>3514</v>
      </c>
    </row>
    <row r="53" spans="1:2">
      <c r="A53" s="1113" t="s">
        <v>580</v>
      </c>
      <c r="B53" s="1114" t="str">
        <f ca="1">'预评函-3'!F5</f>
        <v>贰亿贰仟柒佰伍拾柒万元整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3348</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3334</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3335</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3336</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3337</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3338</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3339</v>
      </c>
    </row>
    <row r="8" spans="1:23">
      <c r="A8" s="1435" t="s">
        <v>1026</v>
      </c>
      <c r="B8" s="1435" t="s">
        <v>1027</v>
      </c>
      <c r="C8" s="1436" t="s">
        <v>319</v>
      </c>
      <c r="F8" s="1437" t="s">
        <v>1028</v>
      </c>
      <c r="H8" s="1437" t="s">
        <v>2574</v>
      </c>
      <c r="I8" s="1437" t="s">
        <v>3340</v>
      </c>
    </row>
    <row r="9" spans="1:23">
      <c r="A9" s="1435" t="s">
        <v>1029</v>
      </c>
      <c r="B9" s="1435" t="s">
        <v>1030</v>
      </c>
      <c r="C9" s="1436" t="s">
        <v>320</v>
      </c>
      <c r="F9" s="1437" t="s">
        <v>1031</v>
      </c>
      <c r="H9" s="1437"/>
      <c r="I9" s="1439" t="s">
        <v>3341</v>
      </c>
    </row>
    <row r="10" spans="1:23">
      <c r="A10" s="1435" t="s">
        <v>1032</v>
      </c>
      <c r="B10" s="1435" t="s">
        <v>1033</v>
      </c>
      <c r="C10" s="1436" t="s">
        <v>321</v>
      </c>
      <c r="F10" s="1437" t="s">
        <v>2575</v>
      </c>
      <c r="I10" s="1439" t="s">
        <v>3342</v>
      </c>
    </row>
    <row r="11" spans="1:23">
      <c r="A11" s="1435" t="s">
        <v>1034</v>
      </c>
      <c r="B11" s="1435" t="s">
        <v>1035</v>
      </c>
      <c r="C11" s="1436" t="s">
        <v>322</v>
      </c>
      <c r="F11" s="1437" t="s">
        <v>13</v>
      </c>
      <c r="I11" s="1439" t="s">
        <v>3343</v>
      </c>
    </row>
    <row r="12" spans="1:23">
      <c r="A12" s="1435" t="s">
        <v>1036</v>
      </c>
      <c r="B12" s="1435" t="s">
        <v>1037</v>
      </c>
      <c r="C12" s="1436" t="s">
        <v>323</v>
      </c>
      <c r="I12" s="1439" t="s">
        <v>3344</v>
      </c>
    </row>
    <row r="13" spans="1:23">
      <c r="A13" s="1435" t="s">
        <v>1038</v>
      </c>
      <c r="B13" s="1435" t="s">
        <v>1039</v>
      </c>
      <c r="C13" s="1436" t="s">
        <v>324</v>
      </c>
      <c r="I13" s="1439" t="s">
        <v>3345</v>
      </c>
    </row>
    <row r="14" spans="1:23">
      <c r="A14" s="1435" t="s">
        <v>1040</v>
      </c>
      <c r="B14" s="1435" t="s">
        <v>1041</v>
      </c>
      <c r="C14" s="1437" t="s">
        <v>13</v>
      </c>
      <c r="I14" s="1439" t="s">
        <v>3346</v>
      </c>
    </row>
    <row r="15" spans="1:23">
      <c r="A15" s="1435" t="s">
        <v>1042</v>
      </c>
      <c r="B15" s="1435" t="s">
        <v>1043</v>
      </c>
      <c r="C15" s="1436"/>
      <c r="I15" s="1439" t="s">
        <v>3347</v>
      </c>
    </row>
    <row r="16" spans="1:23">
      <c r="A16" s="1435" t="s">
        <v>1044</v>
      </c>
      <c r="B16" s="1435" t="s">
        <v>312</v>
      </c>
      <c r="C16" s="1436"/>
    </row>
    <row r="17" spans="1:3">
      <c r="A17" s="1435" t="s">
        <v>1045</v>
      </c>
      <c r="B17" s="1435" t="s">
        <v>2288</v>
      </c>
      <c r="C17" s="1436"/>
    </row>
    <row r="18" spans="1:3">
      <c r="A18" s="1435" t="s">
        <v>1046</v>
      </c>
      <c r="B18" s="1435" t="s">
        <v>2430</v>
      </c>
      <c r="C18" s="1436"/>
    </row>
    <row r="19" spans="1:3">
      <c r="A19" s="1435" t="s">
        <v>1047</v>
      </c>
      <c r="B19" s="1435" t="s">
        <v>4062</v>
      </c>
      <c r="C19" s="1436"/>
    </row>
    <row r="20" spans="1:3">
      <c r="A20" s="1435" t="s">
        <v>1048</v>
      </c>
      <c r="B20" s="1435" t="s">
        <v>4064</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214"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1" t="s">
        <v>385</v>
      </c>
      <c r="C54" s="1439" t="s">
        <v>583</v>
      </c>
    </row>
    <row r="55" spans="1:4">
      <c r="A55" s="3214"/>
      <c r="B55" s="1441" t="s">
        <v>386</v>
      </c>
      <c r="C55" s="1439" t="s">
        <v>584</v>
      </c>
    </row>
    <row r="56" spans="1:4">
      <c r="A56" s="3214"/>
      <c r="B56" s="1441" t="s">
        <v>387</v>
      </c>
      <c r="C56" s="1439" t="s">
        <v>588</v>
      </c>
    </row>
    <row r="57" spans="1:4">
      <c r="A57" s="3214"/>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P26" sqref="P26"/>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2497</v>
      </c>
      <c r="B1" s="2747"/>
      <c r="C1" s="2747"/>
      <c r="D1" s="2747"/>
      <c r="E1" s="2747"/>
      <c r="F1" s="2748"/>
      <c r="I1" s="3123" t="s">
        <v>2590</v>
      </c>
      <c r="J1" s="2773"/>
      <c r="K1" s="2773"/>
      <c r="L1" s="2773"/>
      <c r="M1" s="2773"/>
      <c r="N1" s="2958"/>
      <c r="O1" s="2958"/>
      <c r="P1" s="2958"/>
      <c r="Q1" s="2958"/>
      <c r="R1" s="2958"/>
    </row>
    <row r="2" spans="1:18">
      <c r="A2" s="2750"/>
      <c r="B2" s="2751"/>
      <c r="C2" s="2751"/>
      <c r="D2" s="2751"/>
      <c r="E2" s="2751"/>
      <c r="F2" s="2752"/>
      <c r="I2" s="3215" t="s">
        <v>2577</v>
      </c>
      <c r="J2" s="3215"/>
      <c r="K2" s="3215"/>
      <c r="L2" s="3215"/>
      <c r="M2" s="3215"/>
      <c r="N2" s="3215"/>
      <c r="O2" s="3215"/>
      <c r="P2" s="3215"/>
      <c r="Q2" s="3215"/>
      <c r="R2" s="3215"/>
    </row>
    <row r="3" spans="1:18">
      <c r="A3" s="2753" t="s">
        <v>2498</v>
      </c>
      <c r="B3" s="2754">
        <f>项目基本情况!D3</f>
        <v>45595</v>
      </c>
      <c r="C3" s="2756"/>
      <c r="D3" s="2756"/>
      <c r="E3" s="2756"/>
      <c r="F3" s="2752"/>
      <c r="I3" s="2768"/>
      <c r="J3" s="2768" t="s">
        <v>2581</v>
      </c>
      <c r="K3" s="2768" t="s">
        <v>2582</v>
      </c>
      <c r="L3" s="2768" t="s">
        <v>2583</v>
      </c>
      <c r="M3" s="2768" t="s">
        <v>2584</v>
      </c>
      <c r="N3" s="3124" t="s">
        <v>2585</v>
      </c>
      <c r="O3" s="3124" t="s">
        <v>2586</v>
      </c>
      <c r="P3" s="3124" t="s">
        <v>2587</v>
      </c>
      <c r="Q3" s="3124" t="s">
        <v>2588</v>
      </c>
      <c r="R3" s="3124" t="s">
        <v>2589</v>
      </c>
    </row>
    <row r="4" spans="1:18">
      <c r="A4" s="2753" t="s">
        <v>2499</v>
      </c>
      <c r="B4" s="2756" t="s">
        <v>2500</v>
      </c>
      <c r="C4" s="2756" t="s">
        <v>2501</v>
      </c>
      <c r="D4" s="2756" t="s">
        <v>2502</v>
      </c>
      <c r="E4" s="2756" t="s">
        <v>2503</v>
      </c>
      <c r="F4" s="2752"/>
      <c r="I4" s="2768" t="s">
        <v>2578</v>
      </c>
      <c r="J4" s="2768">
        <v>80</v>
      </c>
      <c r="K4" s="2768">
        <v>70</v>
      </c>
      <c r="L4" s="2768">
        <v>20</v>
      </c>
      <c r="M4" s="2768">
        <v>30</v>
      </c>
      <c r="N4" s="2756">
        <v>45</v>
      </c>
      <c r="O4" s="2756">
        <v>60</v>
      </c>
      <c r="P4" s="2756">
        <v>50</v>
      </c>
      <c r="Q4" s="2756">
        <v>20</v>
      </c>
      <c r="R4" s="2756">
        <v>375</v>
      </c>
    </row>
    <row r="5" spans="1:18">
      <c r="A5" s="2757">
        <v>40</v>
      </c>
      <c r="B5" s="2754">
        <v>46375</v>
      </c>
      <c r="C5" s="2756">
        <f>ROUNDDOWN(MIN((B5-B3)/365,A5),2)</f>
        <v>2.13</v>
      </c>
      <c r="D5" s="2758">
        <f>IF(ISERROR(ROUND(POWER(1+E5,A5-C5)*(POWER(1+E5,C5)-1)/(POWER(1+E5,A5)-1),3)),0,ROUND(POWER(1+E5,A5-C5)*(POWER(1+E5,C5)-1)/(POWER(1+E5,A5)-1),4))</f>
        <v>0.1012</v>
      </c>
      <c r="E5" s="2759">
        <v>0.04</v>
      </c>
      <c r="F5" s="2752"/>
      <c r="I5" s="2768" t="s">
        <v>2579</v>
      </c>
      <c r="J5" s="2768">
        <v>70</v>
      </c>
      <c r="K5" s="2768">
        <v>60</v>
      </c>
      <c r="L5" s="2768">
        <v>15</v>
      </c>
      <c r="M5" s="2768">
        <v>25</v>
      </c>
      <c r="N5" s="2756">
        <v>40</v>
      </c>
      <c r="O5" s="2756">
        <v>50</v>
      </c>
      <c r="P5" s="2756">
        <v>40</v>
      </c>
      <c r="Q5" s="2756">
        <v>15</v>
      </c>
      <c r="R5" s="2756">
        <v>315</v>
      </c>
    </row>
    <row r="6" spans="1:18">
      <c r="A6" s="2757">
        <v>50</v>
      </c>
      <c r="B6" s="2754">
        <v>50028</v>
      </c>
      <c r="C6" s="2756">
        <f>ROUNDDOWN(MIN((B6-B3)/365,A6),2)</f>
        <v>12.14</v>
      </c>
      <c r="D6" s="2758">
        <f>IF(ISERROR(ROUND(POWER(1+E6,A6-C6)*(POWER(1+E6,C6)-1)/(POWER(1+E6,A6)-1),3)),0,ROUND(POWER(1+E6,A6-C6)*(POWER(1+E6,C6)-1)/(POWER(1+E6,A6)-1),4))</f>
        <v>0.44090000000000001</v>
      </c>
      <c r="E6" s="2759">
        <v>0.04</v>
      </c>
      <c r="F6" s="2752"/>
      <c r="I6" s="2768" t="s">
        <v>2580</v>
      </c>
      <c r="J6" s="2768">
        <v>60</v>
      </c>
      <c r="K6" s="2768">
        <v>50</v>
      </c>
      <c r="L6" s="2768">
        <v>10</v>
      </c>
      <c r="M6" s="2768">
        <v>20</v>
      </c>
      <c r="N6" s="2756">
        <v>35</v>
      </c>
      <c r="O6" s="2756">
        <v>40</v>
      </c>
      <c r="P6" s="2756">
        <v>30</v>
      </c>
      <c r="Q6" s="2756">
        <v>10</v>
      </c>
      <c r="R6" s="2756">
        <v>255</v>
      </c>
    </row>
    <row r="7" spans="1:18">
      <c r="A7" s="2757">
        <v>70</v>
      </c>
      <c r="B7" s="2754">
        <v>57333</v>
      </c>
      <c r="C7" s="2756">
        <f>ROUNDDOWN(MIN((B7-B3)/365,A7),2)</f>
        <v>32.15</v>
      </c>
      <c r="D7" s="2758">
        <f>IF(ISERROR(ROUND(POWER(1+E7,A7-C7)*(POWER(1+E7,C7)-1)/(POWER(1+E7,A7)-1),3)),0,ROUND(POWER(1+E7,A7-C7)*(POWER(1+E7,C7)-1)/(POWER(1+E7,A7)-1),4))</f>
        <v>0.76580000000000004</v>
      </c>
      <c r="E7" s="2759">
        <v>0.04</v>
      </c>
      <c r="F7" s="2752"/>
    </row>
    <row r="8" spans="1:18">
      <c r="A8" s="2750"/>
      <c r="B8" s="2751"/>
      <c r="C8" s="2751"/>
      <c r="D8" s="2751"/>
      <c r="E8" s="2751"/>
      <c r="F8" s="2752"/>
    </row>
    <row r="9" spans="1:18">
      <c r="A9" s="2753" t="s">
        <v>2504</v>
      </c>
      <c r="B9" s="2756"/>
      <c r="C9" s="2756"/>
      <c r="D9" s="2756"/>
      <c r="E9" s="2756"/>
      <c r="F9" s="2760"/>
    </row>
    <row r="10" spans="1:18">
      <c r="A10" s="2753" t="s">
        <v>2505</v>
      </c>
      <c r="B10" s="2756"/>
      <c r="C10" s="2756"/>
      <c r="D10" s="2756" t="s">
        <v>2503</v>
      </c>
      <c r="E10" s="2756"/>
      <c r="F10" s="2760" t="s">
        <v>2502</v>
      </c>
    </row>
    <row r="11" spans="1:18">
      <c r="A11" s="2753" t="s">
        <v>2506</v>
      </c>
      <c r="B11" s="2761">
        <v>70</v>
      </c>
      <c r="C11" s="2756" t="s">
        <v>2507</v>
      </c>
      <c r="D11" s="2761">
        <v>4.4999999999999998E-2</v>
      </c>
      <c r="E11" s="2756" t="s">
        <v>2508</v>
      </c>
      <c r="F11" s="2762">
        <f>ROUND(1-(1/(POWER(1+D11,B11))),4)</f>
        <v>0.95409999999999995</v>
      </c>
    </row>
    <row r="12" spans="1:18">
      <c r="A12" s="2753" t="s">
        <v>2509</v>
      </c>
      <c r="B12" s="2761">
        <v>40</v>
      </c>
      <c r="C12" s="2756" t="s">
        <v>2510</v>
      </c>
      <c r="D12" s="2761">
        <v>4.4999999999999998E-2</v>
      </c>
      <c r="E12" s="2756" t="s">
        <v>2511</v>
      </c>
      <c r="F12" s="2762">
        <f>ROUND(1-(1/(POWER(1+D12,B12))),4)</f>
        <v>0.82809999999999995</v>
      </c>
    </row>
    <row r="13" spans="1:18">
      <c r="A13" s="2753" t="s">
        <v>2512</v>
      </c>
      <c r="B13" s="2756"/>
      <c r="C13" s="2756"/>
      <c r="D13" s="2751"/>
      <c r="E13" s="2751"/>
      <c r="F13" s="2752"/>
    </row>
    <row r="14" spans="1:18">
      <c r="A14" s="2753" t="s">
        <v>2513</v>
      </c>
      <c r="B14" s="2761">
        <v>5000</v>
      </c>
      <c r="C14" s="2755"/>
      <c r="D14" s="2751"/>
      <c r="E14" s="2751"/>
      <c r="F14" s="2752"/>
    </row>
    <row r="15" spans="1:18">
      <c r="A15" s="2753" t="s">
        <v>2514</v>
      </c>
      <c r="B15" s="2756">
        <f>ROUND(B14*F12/F11,2)</f>
        <v>4339.6899999999996</v>
      </c>
      <c r="C15" s="2756">
        <f>ROUND(F12/F11,4)</f>
        <v>0.8679</v>
      </c>
      <c r="D15" s="2751"/>
      <c r="E15" s="2751"/>
      <c r="F15" s="2752"/>
    </row>
    <row r="16" spans="1:18">
      <c r="A16" s="2753" t="s">
        <v>2515</v>
      </c>
      <c r="B16" s="2756"/>
      <c r="C16" s="2756"/>
      <c r="D16" s="2751"/>
      <c r="E16" s="2751"/>
      <c r="F16" s="2752"/>
    </row>
    <row r="17" spans="1:13">
      <c r="A17" s="2753" t="s">
        <v>2514</v>
      </c>
      <c r="B17" s="2761">
        <v>4810</v>
      </c>
      <c r="C17" s="2755"/>
      <c r="D17" s="2751"/>
      <c r="E17" s="2751"/>
      <c r="F17" s="2752"/>
    </row>
    <row r="18" spans="1:13" ht="14.25" thickBot="1">
      <c r="A18" s="2763" t="s">
        <v>2513</v>
      </c>
      <c r="B18" s="2764">
        <f>ROUND(B17*F11/F12,2)</f>
        <v>5541.87</v>
      </c>
      <c r="C18" s="2764">
        <f>ROUND(F11/F12,4)</f>
        <v>1.1521999999999999</v>
      </c>
      <c r="D18" s="2765"/>
      <c r="E18" s="2765"/>
      <c r="F18" s="2766"/>
    </row>
    <row r="19" spans="1:13" ht="14.25" thickBot="1"/>
    <row r="20" spans="1:13" s="2799" customFormat="1" ht="14.25" thickTop="1">
      <c r="A20" s="2796" t="s">
        <v>2516</v>
      </c>
      <c r="B20" s="2797"/>
      <c r="C20" s="2797"/>
      <c r="D20" s="2797"/>
      <c r="E20" s="2797"/>
      <c r="F20" s="2797"/>
      <c r="G20" s="2798"/>
      <c r="I20" s="2800" t="s">
        <v>2561</v>
      </c>
      <c r="J20" s="2800" t="s">
        <v>2566</v>
      </c>
      <c r="K20" s="2800"/>
      <c r="L20" s="2800"/>
      <c r="M20" s="2800"/>
    </row>
    <row r="21" spans="1:13">
      <c r="A21" s="2767"/>
      <c r="B21" s="2768" t="s">
        <v>2517</v>
      </c>
      <c r="C21" s="2768" t="s">
        <v>2518</v>
      </c>
      <c r="D21" s="2768" t="s">
        <v>2519</v>
      </c>
      <c r="E21" s="2768" t="s">
        <v>2520</v>
      </c>
      <c r="F21" s="2768" t="s">
        <v>2521</v>
      </c>
      <c r="G21" s="2769" t="s">
        <v>2522</v>
      </c>
      <c r="I21" s="2790">
        <v>5</v>
      </c>
      <c r="J21" s="2790">
        <v>54.2</v>
      </c>
    </row>
    <row r="22" spans="1:13">
      <c r="A22" s="2767" t="s">
        <v>2523</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3">
      <c r="A23" s="2767" t="s">
        <v>2524</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2564</v>
      </c>
      <c r="M23" s="2790" t="s">
        <v>2565</v>
      </c>
    </row>
    <row r="24" spans="1:13">
      <c r="A24" s="2767" t="s">
        <v>2525</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2563</v>
      </c>
      <c r="M24" s="2790">
        <v>10</v>
      </c>
    </row>
    <row r="25" spans="1:13">
      <c r="A25" s="2767" t="s">
        <v>2526</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2567</v>
      </c>
      <c r="M25" s="2790">
        <v>8</v>
      </c>
    </row>
    <row r="26" spans="1:13">
      <c r="A26" s="2772"/>
      <c r="B26" s="2773"/>
      <c r="C26" s="2773"/>
      <c r="D26" s="2773"/>
      <c r="E26" s="2773"/>
      <c r="F26" s="2773"/>
      <c r="G26" s="2774"/>
      <c r="I26" s="2790">
        <v>30</v>
      </c>
      <c r="J26" s="2790">
        <v>90.5</v>
      </c>
      <c r="K26" s="2790">
        <f t="shared" si="2"/>
        <v>4.2000000000000028</v>
      </c>
      <c r="L26" s="2790" t="s">
        <v>2568</v>
      </c>
      <c r="M26" s="2790">
        <v>5</v>
      </c>
    </row>
    <row r="27" spans="1:13">
      <c r="A27" s="2772" t="s">
        <v>2527</v>
      </c>
      <c r="B27" s="2773"/>
      <c r="C27" s="2773"/>
      <c r="D27" s="2773"/>
      <c r="E27" s="2773"/>
      <c r="F27" s="2773"/>
      <c r="G27" s="2774"/>
      <c r="I27" s="2790">
        <v>35</v>
      </c>
      <c r="J27" s="2790">
        <v>93.8</v>
      </c>
      <c r="K27" s="2790">
        <f t="shared" si="2"/>
        <v>3.2999999999999972</v>
      </c>
      <c r="L27" s="2790" t="s">
        <v>2569</v>
      </c>
      <c r="M27" s="2790">
        <v>3</v>
      </c>
    </row>
    <row r="28" spans="1:13">
      <c r="A28" s="2772" t="s">
        <v>2528</v>
      </c>
      <c r="B28" s="2773"/>
      <c r="C28" s="2773"/>
      <c r="D28" s="2773"/>
      <c r="E28" s="2773"/>
      <c r="F28" s="2773"/>
      <c r="G28" s="2774"/>
      <c r="I28" s="2790">
        <v>40</v>
      </c>
      <c r="J28" s="2790">
        <v>96.4</v>
      </c>
      <c r="K28" s="2790">
        <f t="shared" si="2"/>
        <v>2.6000000000000085</v>
      </c>
      <c r="L28" s="2790" t="s">
        <v>2570</v>
      </c>
      <c r="M28" s="2790">
        <v>2</v>
      </c>
    </row>
    <row r="29" spans="1:13">
      <c r="A29" s="2772" t="s">
        <v>2529</v>
      </c>
      <c r="B29" s="2773"/>
      <c r="C29" s="2773"/>
      <c r="D29" s="2773"/>
      <c r="E29" s="2773"/>
      <c r="F29" s="2773"/>
      <c r="G29" s="2774"/>
      <c r="I29" s="2790">
        <v>45</v>
      </c>
      <c r="J29" s="2790">
        <v>98.4</v>
      </c>
      <c r="K29" s="2790">
        <f t="shared" si="2"/>
        <v>2</v>
      </c>
    </row>
    <row r="30" spans="1:13">
      <c r="A30" s="2772" t="s">
        <v>2530</v>
      </c>
      <c r="B30" s="2773"/>
      <c r="C30" s="2773"/>
      <c r="D30" s="2773"/>
      <c r="E30" s="2773"/>
      <c r="F30" s="2773"/>
      <c r="G30" s="2774"/>
      <c r="I30" s="2790">
        <v>50</v>
      </c>
      <c r="J30" s="2790">
        <v>100</v>
      </c>
      <c r="K30" s="2790">
        <f t="shared" si="2"/>
        <v>1.5999999999999943</v>
      </c>
    </row>
    <row r="31" spans="1:13">
      <c r="A31" s="2772" t="s">
        <v>2531</v>
      </c>
      <c r="B31" s="2773"/>
      <c r="C31" s="2773"/>
      <c r="D31" s="2773"/>
      <c r="E31" s="2773"/>
      <c r="F31" s="2773"/>
      <c r="G31" s="2774"/>
      <c r="I31" s="2790" t="s">
        <v>2562</v>
      </c>
    </row>
    <row r="32" spans="1:13">
      <c r="A32" s="2772" t="s">
        <v>2532</v>
      </c>
      <c r="B32" s="2773"/>
      <c r="C32" s="2773"/>
      <c r="D32" s="2773"/>
      <c r="E32" s="2773"/>
      <c r="F32" s="2773"/>
      <c r="G32" s="2774"/>
    </row>
    <row r="33" spans="1:13">
      <c r="A33" s="2772" t="s">
        <v>2533</v>
      </c>
      <c r="B33" s="2773"/>
      <c r="C33" s="2773"/>
      <c r="D33" s="2773"/>
      <c r="E33" s="2773"/>
      <c r="F33" s="2773"/>
      <c r="G33" s="2774"/>
      <c r="I33" s="2790" t="s">
        <v>2561</v>
      </c>
      <c r="J33" s="2790" t="s">
        <v>2571</v>
      </c>
    </row>
    <row r="34" spans="1:13">
      <c r="A34" s="2772" t="s">
        <v>2534</v>
      </c>
      <c r="B34" s="2773"/>
      <c r="C34" s="2773"/>
      <c r="D34" s="2773"/>
      <c r="E34" s="2773"/>
      <c r="F34" s="2773"/>
      <c r="G34" s="2774"/>
      <c r="I34" s="2790">
        <v>5</v>
      </c>
      <c r="J34" s="2790">
        <v>55.1</v>
      </c>
    </row>
    <row r="35" spans="1:13">
      <c r="A35" s="2772" t="s">
        <v>2535</v>
      </c>
      <c r="B35" s="2773"/>
      <c r="C35" s="2773"/>
      <c r="D35" s="2773"/>
      <c r="E35" s="2773"/>
      <c r="F35" s="2773"/>
      <c r="G35" s="2774"/>
      <c r="I35" s="2790">
        <v>10</v>
      </c>
      <c r="J35" s="2790">
        <v>67</v>
      </c>
      <c r="K35" s="2790">
        <f>J35-J34</f>
        <v>11.899999999999999</v>
      </c>
    </row>
    <row r="36" spans="1:13">
      <c r="A36" s="2772" t="s">
        <v>2536</v>
      </c>
      <c r="B36" s="2773"/>
      <c r="C36" s="2773"/>
      <c r="D36" s="2773"/>
      <c r="E36" s="2773"/>
      <c r="F36" s="2773"/>
      <c r="G36" s="2774"/>
      <c r="I36" s="2790">
        <v>15</v>
      </c>
      <c r="J36" s="2790">
        <v>76.3</v>
      </c>
      <c r="K36" s="2790">
        <f t="shared" ref="K36:K41" si="3">J36-J35</f>
        <v>9.2999999999999972</v>
      </c>
      <c r="L36" s="2790" t="s">
        <v>2564</v>
      </c>
      <c r="M36" s="2790" t="s">
        <v>2565</v>
      </c>
    </row>
    <row r="37" spans="1:13">
      <c r="A37" s="2772" t="s">
        <v>2537</v>
      </c>
      <c r="B37" s="2773"/>
      <c r="C37" s="2773"/>
      <c r="D37" s="2773"/>
      <c r="E37" s="2773"/>
      <c r="F37" s="2773"/>
      <c r="G37" s="2774"/>
      <c r="I37" s="2790">
        <v>20</v>
      </c>
      <c r="J37" s="2790">
        <v>83.6</v>
      </c>
      <c r="K37" s="2790">
        <f t="shared" si="3"/>
        <v>7.2999999999999972</v>
      </c>
      <c r="L37" s="2790" t="s">
        <v>2563</v>
      </c>
      <c r="M37" s="2790">
        <v>10</v>
      </c>
    </row>
    <row r="38" spans="1:13">
      <c r="A38" s="2772" t="s">
        <v>2538</v>
      </c>
      <c r="B38" s="2773"/>
      <c r="C38" s="2773"/>
      <c r="D38" s="2773"/>
      <c r="E38" s="2773"/>
      <c r="F38" s="2773"/>
      <c r="G38" s="2774"/>
      <c r="I38" s="2790">
        <v>25</v>
      </c>
      <c r="J38" s="2790">
        <v>89.3</v>
      </c>
      <c r="K38" s="2790">
        <f t="shared" si="3"/>
        <v>5.7000000000000028</v>
      </c>
      <c r="L38" s="2790" t="s">
        <v>2567</v>
      </c>
      <c r="M38" s="2790">
        <v>8</v>
      </c>
    </row>
    <row r="39" spans="1:13">
      <c r="A39" s="2772"/>
      <c r="B39" s="2773"/>
      <c r="C39" s="2773"/>
      <c r="D39" s="2773"/>
      <c r="E39" s="2773"/>
      <c r="F39" s="2773"/>
      <c r="G39" s="2774"/>
      <c r="I39" s="2790">
        <v>30</v>
      </c>
      <c r="J39" s="2790">
        <v>93.8</v>
      </c>
      <c r="K39" s="2790">
        <f t="shared" si="3"/>
        <v>4.5</v>
      </c>
      <c r="L39" s="2790" t="s">
        <v>2568</v>
      </c>
      <c r="M39" s="2790">
        <v>6</v>
      </c>
    </row>
    <row r="40" spans="1:13">
      <c r="A40" s="2775" t="s">
        <v>2539</v>
      </c>
      <c r="B40" s="2776"/>
      <c r="C40" s="2776"/>
      <c r="D40" s="2776"/>
      <c r="E40" s="2776"/>
      <c r="F40" s="2776"/>
      <c r="G40" s="2777"/>
      <c r="I40" s="2790">
        <v>35</v>
      </c>
      <c r="J40" s="2790">
        <v>97.2</v>
      </c>
      <c r="K40" s="2790">
        <f t="shared" si="3"/>
        <v>3.4000000000000057</v>
      </c>
      <c r="L40" s="2790" t="s">
        <v>2569</v>
      </c>
      <c r="M40" s="2790">
        <v>3</v>
      </c>
    </row>
    <row r="41" spans="1:13">
      <c r="A41" s="2778" t="s">
        <v>2540</v>
      </c>
      <c r="B41" s="2779" t="s">
        <v>2541</v>
      </c>
      <c r="C41" s="2780" t="s">
        <v>2542</v>
      </c>
      <c r="D41" s="2780" t="s">
        <v>2543</v>
      </c>
      <c r="E41" s="2781"/>
      <c r="F41" s="2782"/>
      <c r="G41" s="2783"/>
      <c r="I41" s="2790">
        <v>40</v>
      </c>
      <c r="J41" s="2790">
        <v>100</v>
      </c>
      <c r="K41" s="2790">
        <f t="shared" si="3"/>
        <v>2.7999999999999972</v>
      </c>
    </row>
    <row r="42" spans="1:13">
      <c r="A42" s="2778" t="s">
        <v>2544</v>
      </c>
      <c r="B42" s="2779" t="s">
        <v>2545</v>
      </c>
      <c r="C42" s="2780" t="s">
        <v>2546</v>
      </c>
      <c r="D42" s="2784" t="s">
        <v>2547</v>
      </c>
      <c r="E42" s="2776" t="s">
        <v>2548</v>
      </c>
      <c r="F42" s="2776"/>
      <c r="G42" s="2777"/>
    </row>
    <row r="43" spans="1:13">
      <c r="A43" s="2778" t="s">
        <v>2549</v>
      </c>
      <c r="B43" s="2779" t="s">
        <v>2550</v>
      </c>
      <c r="C43" s="2780" t="s">
        <v>2551</v>
      </c>
      <c r="D43" s="2780" t="s">
        <v>2552</v>
      </c>
      <c r="E43" s="2781" t="s">
        <v>2553</v>
      </c>
      <c r="F43" s="2782"/>
      <c r="G43" s="2783"/>
      <c r="I43" s="2790" t="s">
        <v>2561</v>
      </c>
      <c r="J43" s="2790" t="s">
        <v>2572</v>
      </c>
    </row>
    <row r="44" spans="1:13">
      <c r="A44" s="2778" t="s">
        <v>2554</v>
      </c>
      <c r="B44" s="2779" t="s">
        <v>2555</v>
      </c>
      <c r="C44" s="2780" t="s">
        <v>2556</v>
      </c>
      <c r="D44" s="2784">
        <v>0.5</v>
      </c>
      <c r="E44" s="2781" t="s">
        <v>2557</v>
      </c>
      <c r="F44" s="2782"/>
      <c r="G44" s="2783"/>
      <c r="I44" s="2790">
        <v>30</v>
      </c>
      <c r="J44" s="2790">
        <v>81.7</v>
      </c>
    </row>
    <row r="45" spans="1:13" ht="14.25" thickBot="1">
      <c r="A45" s="2785" t="s">
        <v>2558</v>
      </c>
      <c r="B45" s="2786" t="s">
        <v>2545</v>
      </c>
      <c r="C45" s="2787" t="s">
        <v>2545</v>
      </c>
      <c r="D45" s="2787" t="s">
        <v>2559</v>
      </c>
      <c r="E45" s="2788" t="s">
        <v>2560</v>
      </c>
      <c r="F45" s="2788"/>
      <c r="G45" s="2789"/>
      <c r="I45" s="2790">
        <v>40</v>
      </c>
      <c r="J45" s="2790">
        <v>89.2</v>
      </c>
      <c r="K45" s="2790">
        <f>J45-J44</f>
        <v>7.5</v>
      </c>
    </row>
    <row r="46" spans="1:13">
      <c r="I46" s="2790">
        <v>50</v>
      </c>
      <c r="J46" s="2790">
        <v>94.3</v>
      </c>
      <c r="K46" s="2790">
        <f t="shared" ref="K46:K47" si="4">J46-J45</f>
        <v>5.0999999999999943</v>
      </c>
    </row>
    <row r="47" spans="1:13">
      <c r="I47" s="2790">
        <v>60</v>
      </c>
      <c r="J47" s="2790">
        <v>97.7</v>
      </c>
      <c r="K47" s="279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topLeftCell="A4" workbookViewId="0">
      <selection activeCell="J26" sqref="J26"/>
    </sheetView>
  </sheetViews>
  <sheetFormatPr defaultRowHeight="15.75"/>
  <cols>
    <col min="1" max="1" width="10.875" style="3133" customWidth="1"/>
    <col min="2" max="3" width="9" style="3133"/>
    <col min="4" max="4" width="11.375" style="3133" customWidth="1"/>
    <col min="5" max="5" width="8.875" style="3133" customWidth="1"/>
    <col min="6" max="6" width="9.5" style="3133" customWidth="1"/>
    <col min="7" max="7" width="9.375" style="3133" bestFit="1" customWidth="1"/>
    <col min="8" max="8" width="9" style="3133"/>
    <col min="9" max="9" width="10.5" style="3133" customWidth="1"/>
    <col min="10" max="11" width="10.25" style="3133" customWidth="1"/>
    <col min="12" max="16384" width="9" style="3133"/>
  </cols>
  <sheetData>
    <row r="1" spans="1:10">
      <c r="A1" s="3133" t="s">
        <v>3387</v>
      </c>
    </row>
    <row r="2" spans="1:10">
      <c r="A2" s="3134" t="s">
        <v>3388</v>
      </c>
      <c r="B2" s="3134" t="s">
        <v>3389</v>
      </c>
      <c r="C2" s="3134" t="s">
        <v>2589</v>
      </c>
      <c r="D2" s="3134" t="s">
        <v>2549</v>
      </c>
      <c r="E2" s="3134" t="s">
        <v>3390</v>
      </c>
      <c r="F2" s="3134" t="s">
        <v>3391</v>
      </c>
      <c r="G2" s="3134" t="s">
        <v>3421</v>
      </c>
      <c r="H2" s="3134" t="s">
        <v>3394</v>
      </c>
      <c r="I2" s="3134" t="s">
        <v>3392</v>
      </c>
      <c r="J2" s="3134" t="s">
        <v>3386</v>
      </c>
    </row>
    <row r="3" spans="1:10">
      <c r="A3" s="3134" t="s">
        <v>3400</v>
      </c>
      <c r="B3" s="3134" t="s">
        <v>3393</v>
      </c>
      <c r="C3" s="3134">
        <f t="shared" ref="C3:C20" si="0">SUM(D3:J3)</f>
        <v>7527.94</v>
      </c>
      <c r="D3" s="3134">
        <v>6961.49</v>
      </c>
      <c r="E3" s="3134">
        <v>60.38</v>
      </c>
      <c r="F3" s="3134"/>
      <c r="G3" s="3134"/>
      <c r="H3" s="3134"/>
      <c r="I3" s="3134">
        <v>506.07</v>
      </c>
      <c r="J3" s="3134"/>
    </row>
    <row r="4" spans="1:10">
      <c r="A4" s="3134" t="s">
        <v>3401</v>
      </c>
      <c r="B4" s="3134" t="s">
        <v>3393</v>
      </c>
      <c r="C4" s="3134">
        <f t="shared" si="0"/>
        <v>6371.84</v>
      </c>
      <c r="D4" s="3134">
        <v>6141.24</v>
      </c>
      <c r="E4" s="3134">
        <v>87.8</v>
      </c>
      <c r="F4" s="3134"/>
      <c r="G4" s="3134"/>
      <c r="H4" s="3134">
        <v>142.80000000000001</v>
      </c>
      <c r="I4" s="3134"/>
      <c r="J4" s="3134"/>
    </row>
    <row r="5" spans="1:10">
      <c r="A5" s="3134" t="s">
        <v>3402</v>
      </c>
      <c r="B5" s="3134" t="s">
        <v>3393</v>
      </c>
      <c r="C5" s="3134">
        <f t="shared" si="0"/>
        <v>7457.5199999999995</v>
      </c>
      <c r="D5" s="3134">
        <v>7428.24</v>
      </c>
      <c r="E5" s="3134">
        <v>29.28</v>
      </c>
      <c r="F5" s="3134"/>
      <c r="G5" s="3134"/>
      <c r="H5" s="3134"/>
      <c r="I5" s="3134"/>
      <c r="J5" s="3134"/>
    </row>
    <row r="6" spans="1:10">
      <c r="A6" s="3134" t="s">
        <v>3403</v>
      </c>
      <c r="B6" s="3134" t="s">
        <v>3393</v>
      </c>
      <c r="C6" s="3134">
        <f t="shared" si="0"/>
        <v>5867.3</v>
      </c>
      <c r="D6" s="3134">
        <v>5817.24</v>
      </c>
      <c r="E6" s="3134">
        <v>50.06</v>
      </c>
      <c r="F6" s="3134"/>
      <c r="G6" s="3134"/>
      <c r="H6" s="3134"/>
      <c r="I6" s="3134"/>
      <c r="J6" s="3134"/>
    </row>
    <row r="7" spans="1:10">
      <c r="A7" s="3134" t="s">
        <v>3404</v>
      </c>
      <c r="B7" s="3134" t="s">
        <v>3393</v>
      </c>
      <c r="C7" s="3134">
        <f t="shared" si="0"/>
        <v>9407.0300000000007</v>
      </c>
      <c r="D7" s="3134">
        <v>9338.84</v>
      </c>
      <c r="E7" s="3134">
        <v>68.19</v>
      </c>
      <c r="F7" s="3134"/>
      <c r="G7" s="3134"/>
      <c r="H7" s="3134"/>
      <c r="I7" s="3134"/>
      <c r="J7" s="3134"/>
    </row>
    <row r="8" spans="1:10">
      <c r="A8" s="3134" t="s">
        <v>3405</v>
      </c>
      <c r="B8" s="3134" t="s">
        <v>3393</v>
      </c>
      <c r="C8" s="3134">
        <f t="shared" si="0"/>
        <v>6682.42</v>
      </c>
      <c r="D8" s="3134">
        <v>6219.84</v>
      </c>
      <c r="E8" s="3134">
        <v>38.799999999999997</v>
      </c>
      <c r="F8" s="3134"/>
      <c r="G8" s="3134"/>
      <c r="H8" s="3134"/>
      <c r="I8" s="3134">
        <v>423.78</v>
      </c>
      <c r="J8" s="3134"/>
    </row>
    <row r="9" spans="1:10">
      <c r="A9" s="3134" t="s">
        <v>3406</v>
      </c>
      <c r="B9" s="3134" t="s">
        <v>3393</v>
      </c>
      <c r="C9" s="3134">
        <f t="shared" si="0"/>
        <v>5845</v>
      </c>
      <c r="D9" s="3134">
        <v>5802.53</v>
      </c>
      <c r="E9" s="3134">
        <v>42.47</v>
      </c>
      <c r="F9" s="3134"/>
      <c r="G9" s="3134"/>
      <c r="H9" s="3134"/>
      <c r="I9" s="3134"/>
      <c r="J9" s="3134"/>
    </row>
    <row r="10" spans="1:10">
      <c r="A10" s="3134" t="s">
        <v>3407</v>
      </c>
      <c r="B10" s="3134" t="s">
        <v>3396</v>
      </c>
      <c r="C10" s="3134">
        <f t="shared" si="0"/>
        <v>8977.7999999999993</v>
      </c>
      <c r="D10" s="3134">
        <v>8893.64</v>
      </c>
      <c r="E10" s="3134">
        <v>84.16</v>
      </c>
      <c r="F10" s="3134"/>
      <c r="G10" s="3134"/>
      <c r="H10" s="3134"/>
      <c r="I10" s="3134"/>
      <c r="J10" s="3134"/>
    </row>
    <row r="11" spans="1:10">
      <c r="A11" s="3134" t="s">
        <v>3408</v>
      </c>
      <c r="B11" s="3134" t="s">
        <v>3395</v>
      </c>
      <c r="C11" s="3134">
        <f t="shared" si="0"/>
        <v>4005.55</v>
      </c>
      <c r="D11" s="3134">
        <v>3930</v>
      </c>
      <c r="E11" s="3134">
        <v>75.55</v>
      </c>
      <c r="F11" s="3134"/>
      <c r="G11" s="3134"/>
      <c r="H11" s="3134"/>
      <c r="I11" s="3134"/>
      <c r="J11" s="3134"/>
    </row>
    <row r="12" spans="1:10">
      <c r="A12" s="3134" t="s">
        <v>3409</v>
      </c>
      <c r="B12" s="3134" t="s">
        <v>3397</v>
      </c>
      <c r="C12" s="3134">
        <f t="shared" si="0"/>
        <v>5260.05</v>
      </c>
      <c r="D12" s="3134">
        <v>5208.8</v>
      </c>
      <c r="E12" s="3134">
        <v>51.25</v>
      </c>
      <c r="F12" s="3134"/>
      <c r="G12" s="3134"/>
      <c r="H12" s="3134"/>
      <c r="I12" s="3134"/>
      <c r="J12" s="3134"/>
    </row>
    <row r="13" spans="1:10">
      <c r="A13" s="3134" t="s">
        <v>3410</v>
      </c>
      <c r="B13" s="3134" t="s">
        <v>3398</v>
      </c>
      <c r="C13" s="3134">
        <f t="shared" si="0"/>
        <v>1621.32</v>
      </c>
      <c r="D13" s="3134">
        <v>1563.01</v>
      </c>
      <c r="E13" s="3134">
        <v>58.31</v>
      </c>
      <c r="F13" s="3134"/>
      <c r="G13" s="3134"/>
      <c r="H13" s="3134"/>
      <c r="I13" s="3134"/>
      <c r="J13" s="3134"/>
    </row>
    <row r="14" spans="1:10">
      <c r="A14" s="3134" t="s">
        <v>3411</v>
      </c>
      <c r="B14" s="3134" t="s">
        <v>3393</v>
      </c>
      <c r="C14" s="3134">
        <f t="shared" si="0"/>
        <v>5925.78</v>
      </c>
      <c r="D14" s="3134">
        <v>5494.91</v>
      </c>
      <c r="E14" s="3134">
        <v>30.93</v>
      </c>
      <c r="F14" s="3134"/>
      <c r="G14" s="3134"/>
      <c r="H14" s="3134"/>
      <c r="I14" s="3134">
        <v>399.94</v>
      </c>
      <c r="J14" s="3134"/>
    </row>
    <row r="15" spans="1:10">
      <c r="A15" s="3134" t="s">
        <v>3412</v>
      </c>
      <c r="B15" s="3134" t="s">
        <v>3396</v>
      </c>
      <c r="C15" s="3134">
        <f t="shared" si="0"/>
        <v>4507.4399999999996</v>
      </c>
      <c r="D15" s="3134">
        <v>4436.1499999999996</v>
      </c>
      <c r="E15" s="3134">
        <v>71.290000000000006</v>
      </c>
      <c r="F15" s="3134"/>
      <c r="G15" s="3134"/>
      <c r="H15" s="3134"/>
      <c r="I15" s="3134"/>
      <c r="J15" s="3134"/>
    </row>
    <row r="16" spans="1:10">
      <c r="A16" s="3134" t="s">
        <v>3413</v>
      </c>
      <c r="B16" s="3134" t="s">
        <v>3399</v>
      </c>
      <c r="C16" s="3134">
        <f t="shared" si="0"/>
        <v>1431.29</v>
      </c>
      <c r="D16" s="3134">
        <v>1394.23</v>
      </c>
      <c r="E16" s="3134">
        <v>37.06</v>
      </c>
      <c r="F16" s="3134"/>
      <c r="G16" s="3134"/>
      <c r="H16" s="3134"/>
      <c r="I16" s="3134"/>
      <c r="J16" s="3134"/>
    </row>
    <row r="17" spans="1:10">
      <c r="A17" s="3134" t="s">
        <v>3414</v>
      </c>
      <c r="B17" s="3134" t="s">
        <v>3416</v>
      </c>
      <c r="C17" s="3134">
        <f t="shared" si="0"/>
        <v>4604.47</v>
      </c>
      <c r="D17" s="3134">
        <v>4550.7</v>
      </c>
      <c r="E17" s="3134">
        <v>53.77</v>
      </c>
      <c r="F17" s="3134"/>
      <c r="G17" s="3134"/>
      <c r="H17" s="3134"/>
      <c r="I17" s="3134"/>
      <c r="J17" s="3134"/>
    </row>
    <row r="18" spans="1:10">
      <c r="A18" s="3134" t="s">
        <v>3415</v>
      </c>
      <c r="B18" s="3134" t="s">
        <v>3393</v>
      </c>
      <c r="C18" s="3134">
        <f t="shared" si="0"/>
        <v>5902.27</v>
      </c>
      <c r="D18" s="3134">
        <v>5838.3</v>
      </c>
      <c r="E18" s="3134">
        <v>63.97</v>
      </c>
      <c r="F18" s="3134"/>
      <c r="G18" s="3134"/>
      <c r="H18" s="3134"/>
      <c r="I18" s="3134"/>
      <c r="J18" s="3134"/>
    </row>
    <row r="19" spans="1:10">
      <c r="A19" s="3134" t="s">
        <v>3417</v>
      </c>
      <c r="B19" s="3134">
        <v>1</v>
      </c>
      <c r="C19" s="3134">
        <f t="shared" si="0"/>
        <v>36.03</v>
      </c>
      <c r="D19" s="3134"/>
      <c r="E19" s="3134"/>
      <c r="F19" s="3134"/>
      <c r="G19" s="3134"/>
      <c r="H19" s="3134">
        <v>10.53</v>
      </c>
      <c r="I19" s="3134">
        <v>25.5</v>
      </c>
      <c r="J19" s="3134"/>
    </row>
    <row r="20" spans="1:10">
      <c r="A20" s="3134" t="s">
        <v>3418</v>
      </c>
      <c r="B20" s="3134" t="s">
        <v>3419</v>
      </c>
      <c r="C20" s="3134">
        <f t="shared" si="0"/>
        <v>25069.11</v>
      </c>
      <c r="D20" s="3134"/>
      <c r="E20" s="3134"/>
      <c r="F20" s="3134">
        <v>21103.68</v>
      </c>
      <c r="G20" s="3134">
        <v>2934.45</v>
      </c>
      <c r="H20" s="3134"/>
      <c r="I20" s="3134">
        <f>72.69+31.95+683.49+204.7+20.26+17.89</f>
        <v>1030.98</v>
      </c>
      <c r="J20" s="3134"/>
    </row>
    <row r="21" spans="1:10">
      <c r="A21" s="3134"/>
      <c r="B21" s="3134"/>
      <c r="C21" s="3134">
        <f>SUM(C3:C20)</f>
        <v>116500.16</v>
      </c>
      <c r="D21" s="3139">
        <f t="shared" ref="D21:I21" si="1">SUM(D3:D20)</f>
        <v>89019.159999999989</v>
      </c>
      <c r="E21" s="3139">
        <f t="shared" si="1"/>
        <v>903.27</v>
      </c>
      <c r="F21" s="3139">
        <f t="shared" si="1"/>
        <v>21103.68</v>
      </c>
      <c r="G21" s="3134">
        <f t="shared" si="1"/>
        <v>2934.45</v>
      </c>
      <c r="H21" s="3134">
        <f t="shared" si="1"/>
        <v>153.33000000000001</v>
      </c>
      <c r="I21" s="3134">
        <f t="shared" si="1"/>
        <v>2386.27</v>
      </c>
      <c r="J21" s="3134"/>
    </row>
    <row r="22" spans="1:10">
      <c r="A22" s="3134"/>
      <c r="B22" s="3134"/>
      <c r="C22" s="3134"/>
      <c r="D22" s="3134"/>
      <c r="E22" s="3134"/>
      <c r="F22" s="3134" t="s">
        <v>3420</v>
      </c>
      <c r="G22" s="3134" t="s">
        <v>3422</v>
      </c>
      <c r="H22" s="3134"/>
      <c r="I22" s="3134"/>
      <c r="J22" s="3134"/>
    </row>
    <row r="25" spans="1:10">
      <c r="B25" s="3161"/>
      <c r="C25" s="3161"/>
      <c r="D25" s="3161"/>
      <c r="E25" s="3161"/>
      <c r="F25" s="3161"/>
      <c r="G25" s="3161"/>
      <c r="H25" s="3161"/>
      <c r="I25" s="3161"/>
    </row>
    <row r="26" spans="1:10">
      <c r="B26" s="3161"/>
      <c r="C26" s="3161" t="s">
        <v>4071</v>
      </c>
      <c r="D26" s="3161"/>
      <c r="E26" s="3161"/>
      <c r="F26" s="3161"/>
      <c r="G26" s="3161"/>
      <c r="H26" s="3161"/>
      <c r="I26" s="3161"/>
    </row>
    <row r="27" spans="1:10">
      <c r="B27" s="3161"/>
      <c r="C27" s="3162"/>
      <c r="D27" s="3163" t="s">
        <v>4072</v>
      </c>
      <c r="E27" s="3163" t="s">
        <v>4073</v>
      </c>
      <c r="F27" s="3163" t="s">
        <v>4074</v>
      </c>
      <c r="G27" s="3162"/>
      <c r="H27" s="3164" t="s">
        <v>4023</v>
      </c>
      <c r="I27" s="3161"/>
    </row>
    <row r="28" spans="1:10">
      <c r="B28" s="3161"/>
      <c r="C28" s="3165" t="s">
        <v>4075</v>
      </c>
      <c r="D28" s="3166">
        <f>D29+D30</f>
        <v>116500.16</v>
      </c>
      <c r="E28" s="3166">
        <f>F28/D28</f>
        <v>2145.5555940867375</v>
      </c>
      <c r="F28" s="3166">
        <f>F29+F30</f>
        <v>249957570</v>
      </c>
      <c r="G28" s="3162"/>
      <c r="H28" s="3167">
        <v>1</v>
      </c>
      <c r="I28" s="3161"/>
    </row>
    <row r="29" spans="1:10">
      <c r="B29" s="3161"/>
      <c r="C29" s="3163" t="s">
        <v>3428</v>
      </c>
      <c r="D29" s="3168">
        <f>C21-C20</f>
        <v>91431.05</v>
      </c>
      <c r="E29" s="3162">
        <v>1500</v>
      </c>
      <c r="F29" s="3162">
        <f>E29*D29</f>
        <v>137146575</v>
      </c>
      <c r="G29" s="3162"/>
      <c r="H29" s="3162"/>
      <c r="I29" s="3161"/>
    </row>
    <row r="30" spans="1:10">
      <c r="B30" s="3161"/>
      <c r="C30" s="3163" t="s">
        <v>3429</v>
      </c>
      <c r="D30" s="3168">
        <f>C20</f>
        <v>25069.11</v>
      </c>
      <c r="E30" s="3162">
        <v>4500</v>
      </c>
      <c r="F30" s="3162">
        <f t="shared" ref="F30:F33" si="2">E30*D30</f>
        <v>112810995</v>
      </c>
      <c r="G30" s="3162"/>
      <c r="H30" s="3162"/>
      <c r="I30" s="3161"/>
    </row>
    <row r="31" spans="1:10">
      <c r="B31" s="3161"/>
      <c r="C31" s="3165" t="s">
        <v>4076</v>
      </c>
      <c r="D31" s="3166">
        <f>D28</f>
        <v>116500.16</v>
      </c>
      <c r="E31" s="3166">
        <v>1000</v>
      </c>
      <c r="F31" s="3166">
        <f t="shared" si="2"/>
        <v>116500160</v>
      </c>
      <c r="G31" s="3162"/>
      <c r="H31" s="3167">
        <v>1</v>
      </c>
      <c r="I31" s="3161"/>
    </row>
    <row r="32" spans="1:10">
      <c r="B32" s="3161"/>
      <c r="C32" s="3165" t="s">
        <v>4077</v>
      </c>
      <c r="D32" s="3166">
        <f>D28</f>
        <v>116500.16</v>
      </c>
      <c r="E32" s="3166">
        <v>1500</v>
      </c>
      <c r="F32" s="3166">
        <f t="shared" si="2"/>
        <v>174750240</v>
      </c>
      <c r="G32" s="3162"/>
      <c r="H32" s="3167">
        <v>1</v>
      </c>
      <c r="I32" s="3161"/>
    </row>
    <row r="33" spans="2:9">
      <c r="B33" s="3161"/>
      <c r="C33" s="3165" t="s">
        <v>4078</v>
      </c>
      <c r="D33" s="3166">
        <v>0</v>
      </c>
      <c r="E33" s="3166">
        <f>E30</f>
        <v>4500</v>
      </c>
      <c r="F33" s="3166">
        <f t="shared" si="2"/>
        <v>0</v>
      </c>
      <c r="G33" s="3162"/>
      <c r="H33" s="3162"/>
      <c r="I33" s="3161"/>
    </row>
    <row r="34" spans="2:9">
      <c r="B34" s="3161"/>
      <c r="C34" s="3163" t="s">
        <v>4079</v>
      </c>
      <c r="D34" s="3162">
        <f>D28</f>
        <v>116500.16</v>
      </c>
      <c r="E34" s="3162">
        <f>F34/D34</f>
        <v>4645.555594086738</v>
      </c>
      <c r="F34" s="3162">
        <f>F28+F31+F32+F33</f>
        <v>541207970</v>
      </c>
      <c r="G34" s="3162"/>
      <c r="H34" s="3165">
        <f>(H28*F28+H31*F31+H32*F32)/F34</f>
        <v>1</v>
      </c>
      <c r="I34" s="3161"/>
    </row>
    <row r="35" spans="2:9">
      <c r="B35" s="3161"/>
      <c r="C35" s="3161"/>
      <c r="D35" s="3161"/>
      <c r="E35" s="3161"/>
      <c r="F35" s="3161"/>
      <c r="G35" s="3161"/>
      <c r="H35" s="3161"/>
      <c r="I35" s="3161"/>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612" customWidth="1"/>
    <col min="2" max="2" width="10" style="1612" customWidth="1"/>
    <col min="3" max="3" width="11.5" style="1612" customWidth="1"/>
    <col min="4" max="4" width="10" style="1612" customWidth="1"/>
    <col min="5" max="5" width="12.625" style="1612" customWidth="1"/>
    <col min="6" max="6" width="10" style="1612" customWidth="1"/>
    <col min="7" max="7" width="10.75" style="1612" customWidth="1"/>
    <col min="8" max="8" width="10" style="1612" customWidth="1"/>
    <col min="9" max="9" width="11.125" style="1462" customWidth="1"/>
    <col min="10" max="10" width="10" style="1610" customWidth="1"/>
    <col min="11" max="11" width="10" style="2404" customWidth="1"/>
    <col min="12" max="13" width="10" style="2405"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223" t="str">
        <f>IF(B10="北京市","北京市",C10)&amp;F10&amp;IF(结果表!G1="在建","出让国有建设用地使用权及在建建筑物",IF(结果表!G1="土地","出让国有建设用地使用权",))&amp;B9&amp;"预评估"</f>
        <v>北京市房山区城关中心区出让国有建设用地使用权及在建建筑物房地产抵押价值预评估</v>
      </c>
      <c r="C1" s="3224"/>
      <c r="D1" s="3224"/>
      <c r="E1" s="3224"/>
      <c r="F1" s="3224"/>
      <c r="G1" s="3224"/>
      <c r="H1" s="3224"/>
      <c r="I1" s="3225"/>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北京市房山区城关中心区出让国有建设用地使用权及在建建筑物房地产抵押价值</v>
      </c>
      <c r="T1" s="1612"/>
      <c r="U1" s="1612"/>
      <c r="V1" s="1612"/>
      <c r="W1" s="1612"/>
      <c r="X1" s="1612"/>
      <c r="Y1" s="1612"/>
      <c r="Z1" s="1612"/>
      <c r="AA1" s="1612"/>
      <c r="AB1" s="1612"/>
    </row>
    <row r="2" spans="1:30">
      <c r="A2" s="2174" t="s">
        <v>2168</v>
      </c>
      <c r="B2" s="121"/>
      <c r="D2" s="2438"/>
      <c r="E2" s="2432"/>
      <c r="F2" s="2432"/>
      <c r="G2" s="2433"/>
      <c r="H2" s="2433"/>
      <c r="I2" s="2433"/>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北京市房山区城关中心区出让国有建设用地使用权及在建建筑物房地产</v>
      </c>
      <c r="T2" s="1612"/>
      <c r="U2" s="1612"/>
      <c r="V2" s="1612"/>
      <c r="W2" s="1612"/>
      <c r="X2" s="1612"/>
      <c r="Y2" s="1612"/>
      <c r="Z2" s="1612"/>
      <c r="AA2" s="1612"/>
      <c r="AB2" s="1612"/>
    </row>
    <row r="3" spans="1:30">
      <c r="A3" s="293" t="s">
        <v>2169</v>
      </c>
      <c r="B3" s="2177">
        <v>45595</v>
      </c>
      <c r="C3" s="2178" t="s">
        <v>2170</v>
      </c>
      <c r="D3" s="2177">
        <f>B3</f>
        <v>45595</v>
      </c>
      <c r="E3" s="2433"/>
      <c r="F3" s="2433"/>
      <c r="G3" s="2433"/>
      <c r="H3" s="2433"/>
      <c r="I3" s="2433"/>
      <c r="J3" s="2237"/>
      <c r="K3" s="2175"/>
      <c r="L3" s="2176"/>
      <c r="M3" s="2176"/>
      <c r="N3" s="2174"/>
      <c r="O3" s="1460"/>
      <c r="P3" s="2174"/>
      <c r="Q3" s="2174"/>
      <c r="R3" s="2174"/>
      <c r="S3" s="1555"/>
      <c r="T3" s="1612"/>
      <c r="U3" s="1612"/>
      <c r="V3" s="1612"/>
      <c r="W3" s="1612"/>
      <c r="X3" s="1612"/>
      <c r="Y3" s="1612"/>
      <c r="Z3" s="1612"/>
      <c r="AA3" s="1612"/>
      <c r="AB3" s="1612"/>
    </row>
    <row r="4" spans="1:30" ht="13.5" thickBot="1">
      <c r="A4" s="1021"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3"/>
      <c r="F5" s="2433"/>
      <c r="G5" s="2433"/>
      <c r="H5" s="2433"/>
      <c r="I5" s="2433"/>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2"/>
      <c r="F6" s="2433"/>
      <c r="G6" s="2433"/>
      <c r="H6" s="2433"/>
      <c r="I6" s="2433"/>
      <c r="J6" s="2237"/>
      <c r="K6" s="2392" t="str">
        <f>IF(COUNTIF(B6,"*上海银行*"),"上海银行","")</f>
        <v/>
      </c>
      <c r="L6" s="2390"/>
      <c r="M6" s="2390"/>
      <c r="N6" s="2237"/>
      <c r="O6" s="1664"/>
      <c r="P6" s="2237"/>
      <c r="Q6" s="2237"/>
      <c r="R6" s="2237"/>
    </row>
    <row r="7" spans="1:30">
      <c r="A7" s="2186" t="s">
        <v>2174</v>
      </c>
      <c r="B7" s="2190"/>
      <c r="C7" s="2188"/>
      <c r="D7" s="2189"/>
      <c r="E7" s="2432"/>
      <c r="F7" s="2433"/>
      <c r="G7" s="2433"/>
      <c r="H7" s="2433"/>
      <c r="I7" s="2433"/>
      <c r="J7" s="2237"/>
      <c r="K7" s="2393"/>
      <c r="L7" s="2390"/>
      <c r="M7" s="2390"/>
      <c r="N7" s="2237"/>
      <c r="O7" s="1664"/>
      <c r="P7" s="2237"/>
      <c r="Q7" s="2237"/>
      <c r="R7" s="2237"/>
    </row>
    <row r="8" spans="1:30">
      <c r="A8" s="2191" t="s">
        <v>2175</v>
      </c>
      <c r="B8" s="2192" t="s">
        <v>3423</v>
      </c>
      <c r="C8" s="2193"/>
      <c r="D8" s="3226" t="s">
        <v>2176</v>
      </c>
      <c r="E8" s="2194" t="s">
        <v>3424</v>
      </c>
      <c r="F8" s="2195"/>
      <c r="G8" s="2433"/>
      <c r="H8" s="2433"/>
      <c r="I8" s="2433"/>
      <c r="J8" s="2237"/>
      <c r="K8" s="2391"/>
      <c r="L8" s="2390"/>
      <c r="M8" s="2390"/>
      <c r="N8" s="2237"/>
      <c r="O8" s="1664"/>
      <c r="P8" s="2237"/>
      <c r="Q8" s="2237"/>
      <c r="R8" s="2237"/>
    </row>
    <row r="9" spans="1:30" ht="13.5" thickBot="1">
      <c r="A9" s="2196" t="s">
        <v>2177</v>
      </c>
      <c r="B9" s="2197" t="s">
        <v>3424</v>
      </c>
      <c r="C9" s="2198"/>
      <c r="D9" s="3227"/>
      <c r="E9" s="2197"/>
      <c r="F9" s="2199"/>
      <c r="G9" s="2434"/>
      <c r="H9" s="2434"/>
      <c r="I9" s="2434"/>
      <c r="J9" s="2237"/>
      <c r="K9" s="2393"/>
      <c r="L9" s="2390"/>
      <c r="M9" s="2390"/>
      <c r="N9" s="2237"/>
      <c r="O9" s="1664"/>
      <c r="P9" s="2237"/>
      <c r="Q9" s="2237"/>
      <c r="R9" s="2237"/>
    </row>
    <row r="10" spans="1:30" ht="13.5" thickTop="1">
      <c r="A10" s="2200" t="s">
        <v>2178</v>
      </c>
      <c r="B10" s="2201" t="s">
        <v>3425</v>
      </c>
      <c r="C10" s="2202"/>
      <c r="D10" s="2185"/>
      <c r="E10" s="2203" t="s">
        <v>2179</v>
      </c>
      <c r="F10" s="3135" t="s">
        <v>3427</v>
      </c>
      <c r="G10" s="2435"/>
      <c r="H10" s="2436"/>
      <c r="I10" s="2437"/>
      <c r="J10" s="2237"/>
      <c r="K10" s="2393"/>
      <c r="L10" s="2390"/>
      <c r="M10" s="2390"/>
      <c r="N10" s="2237"/>
      <c r="O10" s="1664"/>
      <c r="P10" s="2237"/>
      <c r="Q10" s="2237"/>
      <c r="R10" s="2237"/>
    </row>
    <row r="11" spans="1:30">
      <c r="A11" s="2204" t="s">
        <v>2180</v>
      </c>
      <c r="B11" s="2205" t="s">
        <v>3426</v>
      </c>
      <c r="C11" s="2206"/>
      <c r="D11" s="2207"/>
      <c r="E11" s="2174"/>
      <c r="F11" s="2174"/>
      <c r="G11" s="2174"/>
      <c r="H11" s="2174"/>
      <c r="I11" s="2174"/>
      <c r="J11" s="2792"/>
      <c r="K11" s="2390"/>
      <c r="L11" s="2390"/>
      <c r="M11" s="2390"/>
      <c r="N11" s="2237"/>
      <c r="O11" s="1664"/>
      <c r="P11" s="2237"/>
      <c r="Q11" s="2237"/>
      <c r="R11" s="2237"/>
    </row>
    <row r="12" spans="1:30">
      <c r="A12" s="2208" t="s">
        <v>2181</v>
      </c>
      <c r="B12" s="314" t="s">
        <v>2182</v>
      </c>
      <c r="C12" s="2209" t="s">
        <v>2183</v>
      </c>
      <c r="D12" s="2209" t="s">
        <v>2184</v>
      </c>
      <c r="E12" s="2209" t="s">
        <v>2185</v>
      </c>
      <c r="F12" s="2209" t="s">
        <v>2186</v>
      </c>
      <c r="G12" s="2209" t="s">
        <v>2187</v>
      </c>
      <c r="H12" s="2209" t="s">
        <v>2188</v>
      </c>
      <c r="I12" s="2791" t="s">
        <v>2573</v>
      </c>
      <c r="J12" s="2793"/>
      <c r="K12" s="2390"/>
      <c r="L12" s="2390"/>
      <c r="M12" s="2237"/>
      <c r="N12" s="1664"/>
      <c r="O12" s="2237"/>
      <c r="P12" s="2237"/>
      <c r="Q12" s="2237"/>
      <c r="AD12" s="1612"/>
    </row>
    <row r="13" spans="1:30" ht="14.25">
      <c r="A13" s="3111" t="s">
        <v>3329</v>
      </c>
      <c r="B13" s="2210" t="s">
        <v>2189</v>
      </c>
      <c r="C13" s="3136">
        <v>70674</v>
      </c>
      <c r="D13" s="3136">
        <v>59716</v>
      </c>
      <c r="E13" s="3136">
        <v>63369</v>
      </c>
      <c r="F13" s="3136">
        <v>63369</v>
      </c>
      <c r="G13" s="3136">
        <v>63369</v>
      </c>
      <c r="H13" s="797"/>
      <c r="I13" s="797"/>
      <c r="J13" s="2793"/>
      <c r="K13" s="2390"/>
      <c r="L13" s="2390"/>
      <c r="M13" s="2237"/>
      <c r="N13" s="1664"/>
      <c r="O13" s="2237"/>
      <c r="P13" s="2237"/>
      <c r="Q13" s="2237"/>
      <c r="AD13" s="1612"/>
    </row>
    <row r="14" spans="1:30" ht="14.25">
      <c r="A14" s="1012"/>
      <c r="B14" s="2210" t="s">
        <v>2190</v>
      </c>
      <c r="C14" s="3137">
        <v>70</v>
      </c>
      <c r="D14" s="3137">
        <v>40</v>
      </c>
      <c r="E14" s="3137">
        <v>50</v>
      </c>
      <c r="F14" s="3137">
        <v>50</v>
      </c>
      <c r="G14" s="3137">
        <v>50</v>
      </c>
      <c r="H14" s="2211"/>
      <c r="I14" s="2211"/>
      <c r="J14" s="2794"/>
      <c r="K14" s="2390"/>
      <c r="L14" s="2390"/>
      <c r="M14" s="2237"/>
      <c r="N14" s="1664"/>
      <c r="O14" s="2237"/>
      <c r="P14" s="2237"/>
      <c r="Q14" s="2237"/>
      <c r="AD14" s="1612"/>
    </row>
    <row r="15" spans="1:30">
      <c r="A15" s="311"/>
      <c r="B15" s="2212" t="s">
        <v>2191</v>
      </c>
      <c r="C15" s="2213">
        <f>IF(A13="出让",IF(C13="","",ROUNDDOWN(MIN((C13-$D$3)/365,C14),2)),C14)</f>
        <v>68.7</v>
      </c>
      <c r="D15" s="2213">
        <f>IF(A13="出让",IF(D13="","",ROUNDDOWN(MIN((D13-$D$3)/365,D14),2)),D14)</f>
        <v>38.68</v>
      </c>
      <c r="E15" s="2213">
        <f>IF(A13="出让",IF(E13="","",ROUNDDOWN(MIN((E13-$D$3)/365,E14),2)),E14)</f>
        <v>48.69</v>
      </c>
      <c r="F15" s="2213">
        <f>IF(A13="出让",IF(F13="","",ROUNDDOWN(MIN((F13-$D$3)/365,F14),2)),F14)</f>
        <v>48.69</v>
      </c>
      <c r="G15" s="2213">
        <f>IF(A13="出让",IF(G13="","",ROUNDDOWN(MIN((G13-$D$3)/365,G14),2)),G14)</f>
        <v>48.69</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233"/>
      <c r="C16" s="3234"/>
      <c r="D16" s="3235"/>
      <c r="E16" s="2214" t="s">
        <v>2193</v>
      </c>
      <c r="F16" s="3236"/>
      <c r="G16" s="3237"/>
      <c r="H16" s="3237"/>
      <c r="I16" s="3238"/>
      <c r="J16" s="2237"/>
      <c r="K16" s="2394"/>
      <c r="L16" s="1664"/>
      <c r="M16" s="1664"/>
      <c r="N16" s="2237"/>
      <c r="O16" s="1664"/>
      <c r="P16" s="2237"/>
      <c r="Q16" s="2237"/>
      <c r="R16" s="2237"/>
    </row>
    <row r="17" spans="1:28">
      <c r="A17" s="304" t="s">
        <v>2194</v>
      </c>
      <c r="B17" s="293" t="s">
        <v>2195</v>
      </c>
      <c r="C17" s="8">
        <f>'数据-汇总表'!E3</f>
        <v>64756.12</v>
      </c>
      <c r="D17" s="1250" t="s">
        <v>2196</v>
      </c>
      <c r="E17" s="3239" t="s">
        <v>2197</v>
      </c>
      <c r="F17" s="3240"/>
      <c r="G17" s="3240"/>
      <c r="H17" s="3240"/>
      <c r="I17" s="3241"/>
      <c r="J17" s="2237"/>
      <c r="K17" s="2395"/>
      <c r="L17" s="1664"/>
      <c r="M17" s="1664"/>
      <c r="N17" s="2237"/>
      <c r="O17" s="1664"/>
      <c r="P17" s="2237"/>
      <c r="Q17" s="2237"/>
      <c r="R17" s="2237"/>
      <c r="S17" s="2237"/>
      <c r="T17" s="2237"/>
      <c r="U17" s="2237"/>
      <c r="V17" s="2237"/>
    </row>
    <row r="18" spans="1:28" ht="24.75" thickBot="1">
      <c r="A18" s="2215" t="s">
        <v>2198</v>
      </c>
      <c r="B18" s="1021" t="s">
        <v>2199</v>
      </c>
      <c r="C18" s="2216">
        <f>'数据-汇总表'!D3</f>
        <v>15478.33</v>
      </c>
      <c r="D18" s="1023" t="s">
        <v>2200</v>
      </c>
      <c r="E18" s="3242" t="s">
        <v>2201</v>
      </c>
      <c r="F18" s="3243"/>
      <c r="G18" s="3243"/>
      <c r="H18" s="3243"/>
      <c r="I18" s="3244"/>
      <c r="J18" s="2237"/>
      <c r="K18" s="2395"/>
      <c r="L18" s="1664"/>
      <c r="M18" s="1664"/>
      <c r="N18" s="2237"/>
      <c r="O18" s="1664"/>
      <c r="P18" s="2237"/>
      <c r="Q18" s="2237"/>
      <c r="R18" s="2237"/>
      <c r="S18" s="2237"/>
      <c r="T18" s="2237"/>
      <c r="U18" s="2237"/>
      <c r="V18" s="2237"/>
    </row>
    <row r="19" spans="1:28" ht="37.5" thickTop="1" thickBot="1">
      <c r="A19" s="318" t="s">
        <v>1055</v>
      </c>
      <c r="B19" s="298" t="s">
        <v>2202</v>
      </c>
      <c r="C19" s="1449"/>
      <c r="D19" s="1450" t="s">
        <v>2203</v>
      </c>
      <c r="E19" s="1451"/>
      <c r="F19" s="1452" t="str">
        <f>IF(AND(C19="是",E19="否"),"是否提供他项权证或相关说明","")</f>
        <v/>
      </c>
      <c r="G19" s="1453"/>
      <c r="H19" s="2433"/>
      <c r="I19" s="2433"/>
      <c r="J19" s="2237"/>
      <c r="K19" s="2393"/>
      <c r="L19" s="2390"/>
      <c r="M19" s="2390"/>
      <c r="N19" s="2237"/>
      <c r="O19" s="1664"/>
      <c r="P19" s="2237"/>
      <c r="Q19" s="2237"/>
      <c r="R19" s="2237"/>
      <c r="S19" s="2237"/>
      <c r="T19" s="2237"/>
      <c r="U19" s="2237"/>
      <c r="V19" s="2237"/>
    </row>
    <row r="20" spans="1:28">
      <c r="A20" s="2408" t="s">
        <v>2204</v>
      </c>
      <c r="B20" s="3229" t="s">
        <v>2205</v>
      </c>
      <c r="C20" s="3230"/>
      <c r="D20" s="3231" t="s">
        <v>2206</v>
      </c>
      <c r="E20" s="3232"/>
      <c r="F20" s="2421" t="s">
        <v>1056</v>
      </c>
      <c r="G20" s="2433"/>
      <c r="H20" s="2433"/>
      <c r="I20" s="2433"/>
      <c r="J20" s="2237"/>
      <c r="K20" s="322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8"/>
      <c r="B21" s="2409" t="s">
        <v>2208</v>
      </c>
      <c r="C21" s="2287" t="s">
        <v>1057</v>
      </c>
      <c r="D21" s="1454" t="s">
        <v>2209</v>
      </c>
      <c r="E21" s="2410" t="s">
        <v>1057</v>
      </c>
      <c r="F21" s="2422"/>
      <c r="G21" s="2433"/>
      <c r="H21" s="2433"/>
      <c r="I21" s="2433"/>
      <c r="J21" s="2237"/>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8"/>
      <c r="B22" s="2411" t="s">
        <v>2210</v>
      </c>
      <c r="C22" s="2287" t="s">
        <v>1058</v>
      </c>
      <c r="D22" s="2433"/>
      <c r="E22" s="2433"/>
      <c r="F22" s="2433"/>
      <c r="G22" s="2433"/>
      <c r="H22" s="2433"/>
      <c r="I22" s="2433"/>
      <c r="J22" s="2237"/>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2" t="s">
        <v>2211</v>
      </c>
      <c r="B23" s="2284" t="s">
        <v>2212</v>
      </c>
      <c r="C23" s="2413"/>
      <c r="D23" s="2414" t="s">
        <v>2212</v>
      </c>
      <c r="E23" s="2415"/>
      <c r="F23" s="2433"/>
      <c r="G23" s="2433"/>
      <c r="H23" s="2433"/>
      <c r="I23" s="2433"/>
      <c r="J23" s="2237"/>
      <c r="K23" s="2392"/>
      <c r="L23" s="120"/>
      <c r="M23" s="2390"/>
      <c r="N23" s="2237"/>
      <c r="O23" s="1664"/>
      <c r="P23" s="2237"/>
      <c r="Q23" s="2237"/>
      <c r="R23" s="2237"/>
      <c r="S23" s="2237"/>
      <c r="T23" s="2237"/>
      <c r="U23" s="2237"/>
      <c r="V23" s="2237"/>
    </row>
    <row r="24" spans="1:28">
      <c r="A24" s="2412"/>
      <c r="B24" s="2284" t="s">
        <v>1059</v>
      </c>
      <c r="C24" s="2263"/>
      <c r="D24" s="2412" t="s">
        <v>1059</v>
      </c>
      <c r="E24" s="2416"/>
      <c r="F24" s="2433"/>
      <c r="G24" s="2433"/>
      <c r="H24" s="2433"/>
      <c r="I24" s="2433"/>
      <c r="J24" s="2237"/>
      <c r="K24" s="2392"/>
      <c r="L24" s="120"/>
      <c r="M24" s="2390"/>
      <c r="N24" s="2237"/>
      <c r="O24" s="1664"/>
      <c r="P24" s="2237"/>
      <c r="Q24" s="2237"/>
      <c r="R24" s="2237"/>
      <c r="S24" s="2237"/>
      <c r="T24" s="2237"/>
      <c r="U24" s="2237"/>
      <c r="V24" s="2237"/>
    </row>
    <row r="25" spans="1:28">
      <c r="A25" s="2412"/>
      <c r="B25" s="2284" t="s">
        <v>1060</v>
      </c>
      <c r="C25" s="2263"/>
      <c r="D25" s="2412" t="s">
        <v>1060</v>
      </c>
      <c r="E25" s="2416"/>
      <c r="F25" s="2433"/>
      <c r="G25" s="2433"/>
      <c r="H25" s="2433"/>
      <c r="I25" s="2433"/>
      <c r="J25" s="2237"/>
      <c r="K25" s="2393"/>
      <c r="L25" s="2390"/>
      <c r="M25" s="2390"/>
      <c r="N25" s="2237"/>
      <c r="O25" s="1664"/>
      <c r="P25" s="2237"/>
      <c r="Q25" s="2237"/>
      <c r="R25" s="2237"/>
      <c r="S25" s="2237"/>
      <c r="T25" s="2237"/>
      <c r="U25" s="2237"/>
      <c r="V25" s="2237"/>
    </row>
    <row r="26" spans="1:28" ht="13.5" thickBot="1">
      <c r="A26" s="2417"/>
      <c r="B26" s="2418" t="s">
        <v>1061</v>
      </c>
      <c r="C26" s="2419"/>
      <c r="D26" s="2417" t="s">
        <v>1061</v>
      </c>
      <c r="E26" s="2420"/>
      <c r="F26" s="2434"/>
      <c r="G26" s="2434"/>
      <c r="H26" s="2434"/>
      <c r="I26" s="2434"/>
      <c r="J26" s="2237"/>
      <c r="K26" s="2393"/>
      <c r="L26" s="2390"/>
      <c r="M26" s="2390"/>
      <c r="N26" s="2237"/>
      <c r="O26" s="1664"/>
      <c r="P26" s="2237"/>
      <c r="Q26" s="2237"/>
      <c r="R26" s="2237"/>
      <c r="S26" s="2237"/>
      <c r="T26" s="2237"/>
      <c r="U26" s="2237"/>
      <c r="V26" s="2237"/>
    </row>
    <row r="27" spans="1:28" ht="13.5" thickTop="1">
      <c r="A27" s="3217" t="s">
        <v>2213</v>
      </c>
      <c r="B27" s="311" t="s">
        <v>2214</v>
      </c>
      <c r="C27" s="2217"/>
      <c r="D27" s="2218"/>
      <c r="E27" s="2433"/>
      <c r="F27" s="2433"/>
      <c r="G27" s="2433"/>
      <c r="H27" s="2433"/>
      <c r="I27" s="2433"/>
      <c r="J27" s="2237"/>
      <c r="K27" s="2394"/>
      <c r="L27" s="1664"/>
      <c r="M27" s="1664"/>
      <c r="N27" s="2237"/>
      <c r="O27" s="1664"/>
      <c r="P27" s="2237"/>
      <c r="Q27" s="2237"/>
      <c r="R27" s="2237"/>
      <c r="S27" s="2237"/>
      <c r="T27" s="2237"/>
      <c r="U27" s="2237"/>
      <c r="V27" s="2237"/>
    </row>
    <row r="28" spans="1:28">
      <c r="A28" s="3217"/>
      <c r="B28" s="293" t="s">
        <v>2215</v>
      </c>
      <c r="C28" s="2219"/>
      <c r="D28" s="2220"/>
      <c r="E28" s="2433"/>
      <c r="F28" s="2433"/>
      <c r="G28" s="2433"/>
      <c r="H28" s="2433"/>
      <c r="I28" s="2433"/>
      <c r="J28" s="2237"/>
      <c r="K28" s="2393"/>
      <c r="L28" s="2390"/>
      <c r="M28" s="2390"/>
      <c r="N28" s="2237"/>
      <c r="O28" s="1664"/>
      <c r="P28" s="2237"/>
      <c r="Q28" s="2237"/>
      <c r="R28" s="2237"/>
      <c r="S28" s="2237"/>
      <c r="T28" s="2237"/>
      <c r="U28" s="2237"/>
      <c r="V28" s="2237"/>
    </row>
    <row r="29" spans="1:28">
      <c r="A29" s="3217"/>
      <c r="B29" s="293" t="s">
        <v>2216</v>
      </c>
      <c r="C29" s="2221"/>
      <c r="D29" s="2222"/>
      <c r="E29" s="2433"/>
      <c r="F29" s="2433"/>
      <c r="G29" s="2433"/>
      <c r="H29" s="2433"/>
      <c r="I29" s="2433"/>
      <c r="J29" s="2237"/>
      <c r="K29" s="2393"/>
      <c r="L29" s="2390"/>
      <c r="M29" s="2390"/>
      <c r="N29" s="2237"/>
      <c r="O29" s="1664"/>
      <c r="P29" s="2237"/>
      <c r="Q29" s="2237"/>
      <c r="R29" s="2237"/>
      <c r="S29" s="2237"/>
      <c r="T29" s="2237"/>
      <c r="U29" s="2237"/>
      <c r="V29" s="2237"/>
    </row>
    <row r="30" spans="1:28">
      <c r="A30" s="3218"/>
      <c r="B30" s="293" t="s">
        <v>2217</v>
      </c>
      <c r="C30" s="3219"/>
      <c r="D30" s="3220"/>
      <c r="E30" s="2433"/>
      <c r="F30" s="2433"/>
      <c r="G30" s="2433"/>
      <c r="H30" s="2433"/>
      <c r="I30" s="2433"/>
      <c r="J30" s="2237"/>
      <c r="K30" s="2393"/>
      <c r="L30" s="2390"/>
      <c r="M30" s="2390"/>
      <c r="N30" s="2237"/>
      <c r="O30" s="1664"/>
      <c r="P30" s="2237"/>
      <c r="Q30" s="2237"/>
      <c r="R30" s="2237"/>
      <c r="S30" s="2237"/>
      <c r="T30" s="2237"/>
      <c r="U30" s="2237"/>
      <c r="V30" s="2237"/>
    </row>
    <row r="31" spans="1:28">
      <c r="A31" s="3221" t="s">
        <v>2218</v>
      </c>
      <c r="B31" s="2223"/>
      <c r="C31" s="12" t="str">
        <f>IF(B31="现房","成新及维护状况正常否",IF(B31="在建","工程状态是否正常",IF(B31="土地","是否闲置","-")))</f>
        <v>-</v>
      </c>
      <c r="D31" s="1275"/>
      <c r="E31" s="2224"/>
      <c r="F31" s="2433"/>
      <c r="G31" s="2433"/>
      <c r="H31" s="2433"/>
      <c r="I31" s="2433"/>
      <c r="J31" s="2237"/>
      <c r="K31" s="2392"/>
      <c r="L31" s="2390"/>
      <c r="M31" s="2390"/>
      <c r="N31" s="2237"/>
      <c r="O31" s="1664"/>
      <c r="P31" s="2237"/>
      <c r="Q31" s="2237"/>
      <c r="R31" s="2237"/>
      <c r="S31" s="2237"/>
      <c r="T31" s="2237"/>
      <c r="U31" s="2237"/>
      <c r="V31" s="2237"/>
    </row>
    <row r="32" spans="1:28">
      <c r="A32" s="3222"/>
      <c r="B32" s="2223"/>
      <c r="C32" s="12" t="str">
        <f>IF(B32="现房","成新及维护状况是否正常",IF(B32="在建","工程状态是否正常",IF(B32="土地","是否闲置","-")))</f>
        <v>-</v>
      </c>
      <c r="D32" s="1275"/>
      <c r="E32" s="2224"/>
      <c r="F32" s="2433"/>
      <c r="G32" s="2433"/>
      <c r="H32" s="2433"/>
      <c r="I32" s="2433"/>
      <c r="J32" s="2237"/>
      <c r="K32" s="2393"/>
      <c r="L32" s="2390"/>
      <c r="M32" s="2390"/>
      <c r="N32" s="2237"/>
      <c r="O32" s="1664"/>
      <c r="P32" s="2237"/>
      <c r="Q32" s="2237"/>
      <c r="R32" s="2237"/>
      <c r="S32" s="2237"/>
      <c r="T32" s="2237"/>
      <c r="U32" s="2237"/>
      <c r="V32" s="2237"/>
    </row>
    <row r="33" spans="1:30">
      <c r="A33" s="3222"/>
      <c r="B33" s="2226"/>
      <c r="C33" s="1472" t="str">
        <f>IF(B33="现房","成新及维护状况是否正常",IF(B33="在建","工程状态是否正常",IF(B33="土地","是否闲置","-")))</f>
        <v>-</v>
      </c>
      <c r="D33" s="1268"/>
      <c r="E33" s="2227"/>
      <c r="F33" s="2433"/>
      <c r="G33" s="2433"/>
      <c r="H33" s="2433"/>
      <c r="I33" s="2433"/>
      <c r="J33" s="2237"/>
      <c r="K33" s="2393"/>
      <c r="L33" s="2390"/>
      <c r="M33" s="2390"/>
      <c r="N33" s="2237"/>
      <c r="O33" s="1664"/>
      <c r="P33" s="2237"/>
      <c r="Q33" s="2237"/>
      <c r="R33" s="2237"/>
      <c r="S33" s="2237"/>
      <c r="T33" s="2237"/>
      <c r="U33" s="2237"/>
      <c r="V33" s="2237"/>
    </row>
    <row r="34" spans="1:30">
      <c r="A34" s="293" t="s">
        <v>2219</v>
      </c>
      <c r="B34" s="1862"/>
      <c r="C34" s="1862"/>
      <c r="D34" s="1862"/>
      <c r="E34" s="1862"/>
      <c r="F34" s="1862"/>
      <c r="G34" s="1862"/>
      <c r="H34" s="1862"/>
      <c r="I34" s="2433"/>
      <c r="J34" s="2237"/>
      <c r="K34" s="8">
        <f>COUNTIF(B34:H34,"——")</f>
        <v>0</v>
      </c>
      <c r="L34" s="314" t="s">
        <v>2220</v>
      </c>
      <c r="M34" s="314" t="s">
        <v>2221</v>
      </c>
      <c r="N34" s="314" t="s">
        <v>2222</v>
      </c>
      <c r="O34" s="314" t="s">
        <v>2223</v>
      </c>
      <c r="P34" s="314" t="s">
        <v>2224</v>
      </c>
      <c r="Q34" s="314" t="s">
        <v>2225</v>
      </c>
      <c r="R34" s="314" t="s">
        <v>2226</v>
      </c>
      <c r="S34" s="3216" t="s">
        <v>2227</v>
      </c>
      <c r="T34" s="314" t="str">
        <f>NUMBERSTRING(7-K34,1)&amp;"通"</f>
        <v>七通</v>
      </c>
      <c r="U34" s="2237"/>
      <c r="V34" s="2237"/>
    </row>
    <row r="35" spans="1:30">
      <c r="A35" s="2228"/>
      <c r="B35" s="3216" t="s">
        <v>2228</v>
      </c>
      <c r="C35" s="3216"/>
      <c r="D35" s="3216"/>
      <c r="E35" s="3216"/>
      <c r="F35" s="8">
        <f>C10</f>
        <v>0</v>
      </c>
      <c r="G35" s="2433"/>
      <c r="H35" s="2433"/>
      <c r="I35" s="2433"/>
      <c r="J35" s="2237"/>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6"/>
      <c r="T35" s="137" t="str">
        <f>IF(T34="一通",L35,IF(T34="二通",M35,IF(T34="三通",N35,IF(T34="四通",O35,IF(T34="五通",P35,IF(T34="六通",Q35,R35))))))</f>
        <v>、、、、、、</v>
      </c>
      <c r="U35" s="2237"/>
      <c r="V35" s="2237"/>
    </row>
    <row r="36" spans="1:30">
      <c r="A36" s="2175"/>
      <c r="B36" s="8" t="s">
        <v>2184</v>
      </c>
      <c r="C36" s="8" t="s">
        <v>2185</v>
      </c>
      <c r="D36" s="8" t="s">
        <v>2183</v>
      </c>
      <c r="E36" s="8" t="s">
        <v>2188</v>
      </c>
      <c r="F36" s="2791" t="s">
        <v>2576</v>
      </c>
      <c r="G36" s="2433"/>
      <c r="H36" s="2433"/>
      <c r="I36" s="2433"/>
      <c r="J36" s="2237"/>
      <c r="K36" s="2393"/>
      <c r="L36" s="2390"/>
      <c r="M36" s="2390"/>
      <c r="N36" s="2237"/>
      <c r="O36" s="1664"/>
      <c r="P36" s="2237"/>
      <c r="Q36" s="2237"/>
      <c r="R36" s="2237"/>
      <c r="S36" s="2237"/>
      <c r="T36" s="2237"/>
      <c r="U36" s="2237"/>
      <c r="V36" s="2237"/>
    </row>
    <row r="37" spans="1:30" ht="14.25">
      <c r="A37" s="2406" t="s">
        <v>2229</v>
      </c>
      <c r="B37" s="3138" t="s">
        <v>307</v>
      </c>
      <c r="C37" s="3138" t="s">
        <v>307</v>
      </c>
      <c r="D37" s="3138" t="s">
        <v>307</v>
      </c>
      <c r="E37" s="3138" t="s">
        <v>307</v>
      </c>
      <c r="F37" s="2229"/>
      <c r="G37" s="2433"/>
      <c r="H37" s="2433"/>
      <c r="I37" s="2433"/>
      <c r="J37" s="2237"/>
      <c r="K37" s="2393"/>
      <c r="L37" s="2390"/>
      <c r="M37" s="2390"/>
      <c r="N37" s="2237"/>
      <c r="O37" s="1664"/>
      <c r="P37" s="2237"/>
      <c r="Q37" s="2237"/>
      <c r="R37" s="2237"/>
      <c r="S37" s="2237"/>
      <c r="T37" s="2237"/>
      <c r="U37" s="2237"/>
      <c r="V37" s="2237"/>
    </row>
    <row r="38" spans="1:30" ht="15" thickBot="1">
      <c r="A38" s="2407" t="s">
        <v>2230</v>
      </c>
      <c r="B38" s="3138" t="s">
        <v>161</v>
      </c>
      <c r="C38" s="3138" t="s">
        <v>161</v>
      </c>
      <c r="D38" s="3138" t="s">
        <v>161</v>
      </c>
      <c r="E38" s="3138" t="s">
        <v>161</v>
      </c>
      <c r="F38" s="2230"/>
      <c r="G38" s="2434"/>
      <c r="H38" s="2434"/>
      <c r="I38" s="2434"/>
      <c r="J38" s="2237"/>
      <c r="K38" s="2393"/>
      <c r="L38" s="2390"/>
      <c r="M38" s="2390"/>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4"/>
      <c r="B40" s="2174"/>
      <c r="C40" s="2174"/>
      <c r="D40" s="2174"/>
      <c r="E40" s="2174"/>
      <c r="F40" s="2174"/>
      <c r="G40" s="2174"/>
      <c r="H40" s="2174"/>
      <c r="I40" s="1460"/>
      <c r="J40" s="2237"/>
      <c r="K40" s="2392"/>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3"/>
      <c r="L41" s="2390"/>
      <c r="M41" s="2390"/>
      <c r="N41" s="2237"/>
      <c r="O41" s="1664"/>
      <c r="P41" s="2237"/>
      <c r="Q41" s="2237"/>
      <c r="R41" s="2237"/>
      <c r="S41" s="2237"/>
      <c r="T41" s="2237"/>
      <c r="U41" s="2237"/>
      <c r="V41" s="2237"/>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7"/>
      <c r="T42" s="2237"/>
      <c r="U42" s="2237"/>
      <c r="V42" s="2237"/>
    </row>
    <row r="43" spans="1:30" s="1610" customFormat="1">
      <c r="A43" s="1456"/>
      <c r="B43" s="627"/>
      <c r="C43" s="627"/>
      <c r="D43" s="627"/>
      <c r="E43" s="627"/>
      <c r="F43" s="627"/>
      <c r="G43" s="627"/>
      <c r="H43" s="627"/>
      <c r="I43" s="627"/>
      <c r="J43" s="2235"/>
      <c r="K43" s="2236"/>
      <c r="L43" s="2236"/>
      <c r="M43" s="627"/>
      <c r="N43" s="627"/>
      <c r="O43" s="627"/>
      <c r="P43" s="627"/>
      <c r="Q43" s="627"/>
      <c r="R43" s="627"/>
      <c r="S43" s="2237"/>
      <c r="T43" s="2237"/>
      <c r="U43" s="2237"/>
      <c r="V43" s="2237"/>
    </row>
    <row r="44" spans="1:30" s="1610" customFormat="1">
      <c r="A44" s="1456"/>
      <c r="B44" s="1456"/>
      <c r="C44" s="627"/>
      <c r="D44" s="627"/>
      <c r="E44" s="627"/>
      <c r="F44" s="627"/>
      <c r="G44" s="627"/>
      <c r="H44" s="627"/>
      <c r="I44" s="627"/>
      <c r="J44" s="2235"/>
      <c r="K44" s="2236"/>
      <c r="L44" s="2236"/>
      <c r="M44" s="627"/>
      <c r="N44" s="627"/>
      <c r="O44" s="627"/>
      <c r="P44" s="627"/>
      <c r="Q44" s="627"/>
      <c r="R44" s="627"/>
      <c r="S44" s="2237"/>
      <c r="T44" s="2237"/>
      <c r="U44" s="2237"/>
      <c r="V44" s="2237"/>
    </row>
    <row r="45" spans="1:30" s="1610" customFormat="1">
      <c r="A45" s="1456"/>
      <c r="B45" s="1456"/>
      <c r="C45" s="627"/>
      <c r="D45" s="627"/>
      <c r="E45" s="627"/>
      <c r="F45" s="627"/>
      <c r="G45" s="627"/>
      <c r="H45" s="627"/>
      <c r="I45" s="627"/>
      <c r="J45" s="2235"/>
      <c r="K45" s="2236"/>
      <c r="L45" s="2236"/>
      <c r="M45" s="627"/>
      <c r="N45" s="627"/>
      <c r="O45" s="627"/>
      <c r="P45" s="627"/>
      <c r="Q45" s="627"/>
      <c r="R45" s="627"/>
      <c r="S45" s="2237"/>
      <c r="T45" s="2237"/>
      <c r="U45" s="2237"/>
      <c r="V45" s="2237"/>
    </row>
    <row r="46" spans="1:30" s="1610" customFormat="1">
      <c r="A46" s="1456"/>
      <c r="B46" s="1456"/>
      <c r="C46" s="627"/>
      <c r="D46" s="627"/>
      <c r="E46" s="627"/>
      <c r="F46" s="627"/>
      <c r="G46" s="627"/>
      <c r="H46" s="627"/>
      <c r="I46" s="627"/>
      <c r="J46" s="2235"/>
      <c r="K46" s="2236"/>
      <c r="L46" s="2236"/>
      <c r="M46" s="627"/>
      <c r="N46" s="627"/>
      <c r="O46" s="627"/>
      <c r="P46" s="627"/>
      <c r="Q46" s="627"/>
      <c r="R46" s="627"/>
      <c r="S46" s="2237"/>
      <c r="T46" s="2237"/>
      <c r="U46" s="2237"/>
      <c r="V46" s="2237"/>
    </row>
    <row r="47" spans="1:30" s="1610" customFormat="1">
      <c r="A47" s="1456"/>
      <c r="B47" s="1456"/>
      <c r="C47" s="627"/>
      <c r="D47" s="627"/>
      <c r="E47" s="627"/>
      <c r="F47" s="627"/>
      <c r="G47" s="627"/>
      <c r="H47" s="627"/>
      <c r="I47" s="627"/>
      <c r="J47" s="2235"/>
      <c r="K47" s="2236"/>
      <c r="L47" s="2236"/>
      <c r="M47" s="627"/>
      <c r="N47" s="627"/>
      <c r="O47" s="627"/>
      <c r="P47" s="627"/>
      <c r="Q47" s="627"/>
      <c r="R47" s="627"/>
      <c r="S47" s="2237"/>
      <c r="T47" s="2237"/>
      <c r="U47" s="2237"/>
      <c r="V47" s="2237"/>
    </row>
    <row r="48" spans="1:30" s="1610" customFormat="1">
      <c r="A48" s="1456"/>
      <c r="B48" s="1456"/>
      <c r="C48" s="627"/>
      <c r="D48" s="627"/>
      <c r="E48" s="627"/>
      <c r="F48" s="627"/>
      <c r="G48" s="627"/>
      <c r="H48" s="627"/>
      <c r="I48" s="627"/>
      <c r="J48" s="2235"/>
      <c r="K48" s="2236"/>
      <c r="L48" s="2236"/>
      <c r="M48" s="627"/>
      <c r="N48" s="627"/>
      <c r="O48" s="627"/>
      <c r="P48" s="627"/>
      <c r="Q48" s="627"/>
      <c r="R48" s="627"/>
      <c r="S48" s="2237"/>
      <c r="T48" s="2237"/>
      <c r="U48" s="2237"/>
      <c r="V48" s="2237"/>
    </row>
    <row r="49" spans="1:22" s="1610" customFormat="1">
      <c r="A49" s="1456"/>
      <c r="B49" s="1456"/>
      <c r="C49" s="627"/>
      <c r="D49" s="627"/>
      <c r="E49" s="627"/>
      <c r="F49" s="627"/>
      <c r="G49" s="627"/>
      <c r="H49" s="627"/>
      <c r="I49" s="627"/>
      <c r="J49" s="2235"/>
      <c r="K49" s="2236"/>
      <c r="L49" s="2236"/>
      <c r="M49" s="627"/>
      <c r="N49" s="627"/>
      <c r="O49" s="627"/>
      <c r="P49" s="627"/>
      <c r="Q49" s="627"/>
      <c r="R49" s="627"/>
      <c r="S49" s="2237"/>
      <c r="T49" s="2237"/>
      <c r="U49" s="2237"/>
      <c r="V49" s="2237"/>
    </row>
    <row r="50" spans="1:22" s="1610" customFormat="1">
      <c r="A50" s="1456"/>
      <c r="B50" s="1456"/>
      <c r="C50" s="627"/>
      <c r="D50" s="627"/>
      <c r="E50" s="627"/>
      <c r="F50" s="627"/>
      <c r="G50" s="627"/>
      <c r="H50" s="627"/>
      <c r="I50" s="627"/>
      <c r="J50" s="2235"/>
      <c r="K50" s="2236"/>
      <c r="L50" s="2236"/>
      <c r="M50" s="627"/>
      <c r="N50" s="627"/>
      <c r="O50" s="627"/>
      <c r="P50" s="627"/>
      <c r="Q50" s="627"/>
      <c r="R50" s="627"/>
      <c r="S50" s="2237"/>
      <c r="T50" s="2237"/>
      <c r="U50" s="2237"/>
      <c r="V50" s="2237"/>
    </row>
    <row r="51" spans="1:22" s="1610" customFormat="1">
      <c r="A51" s="1456"/>
      <c r="B51" s="1456"/>
      <c r="C51" s="627"/>
      <c r="D51" s="627"/>
      <c r="E51" s="627"/>
      <c r="F51" s="627"/>
      <c r="G51" s="627"/>
      <c r="H51" s="627"/>
      <c r="I51" s="627"/>
      <c r="J51" s="2235"/>
      <c r="K51" s="2236"/>
      <c r="L51" s="2236"/>
      <c r="M51" s="627"/>
      <c r="N51" s="627"/>
      <c r="O51" s="627"/>
      <c r="P51" s="627"/>
      <c r="Q51" s="627"/>
      <c r="R51" s="627"/>
    </row>
    <row r="52" spans="1:22" s="1610" customFormat="1">
      <c r="A52" s="1456"/>
      <c r="B52" s="1456"/>
      <c r="C52" s="1456"/>
      <c r="D52" s="1456"/>
      <c r="E52" s="1456"/>
      <c r="F52" s="627"/>
      <c r="G52" s="1456"/>
      <c r="H52" s="1456"/>
      <c r="I52" s="1456"/>
      <c r="J52" s="2238"/>
      <c r="K52" s="2236"/>
      <c r="L52" s="2236"/>
      <c r="M52" s="2236"/>
      <c r="N52" s="1456"/>
      <c r="O52" s="1456"/>
      <c r="P52" s="1456"/>
      <c r="Q52" s="1456"/>
      <c r="R52" s="1456"/>
    </row>
    <row r="53" spans="1:22" s="1610" customFormat="1">
      <c r="A53" s="1456"/>
      <c r="B53" s="1456"/>
      <c r="C53" s="1456"/>
      <c r="D53" s="1456"/>
      <c r="E53" s="1456"/>
      <c r="F53" s="627"/>
      <c r="G53" s="1456"/>
      <c r="H53" s="1456"/>
      <c r="I53" s="1456"/>
      <c r="J53" s="2238"/>
      <c r="K53" s="2236"/>
      <c r="L53" s="2236"/>
      <c r="M53" s="2236"/>
      <c r="N53" s="1456"/>
      <c r="O53" s="1456"/>
      <c r="P53" s="1456"/>
      <c r="Q53" s="1456"/>
      <c r="R53" s="1456"/>
    </row>
    <row r="54" spans="1:22" s="1610" customFormat="1">
      <c r="A54" s="1456"/>
      <c r="B54" s="1456"/>
      <c r="C54" s="1456"/>
      <c r="D54" s="1456"/>
      <c r="E54" s="1456"/>
      <c r="F54" s="627"/>
      <c r="G54" s="1456"/>
      <c r="H54" s="1456"/>
      <c r="I54" s="1456"/>
      <c r="J54" s="2238"/>
      <c r="K54" s="2236"/>
      <c r="L54" s="2236"/>
      <c r="M54" s="2236"/>
      <c r="N54" s="1456"/>
      <c r="O54" s="1456"/>
      <c r="P54" s="1456"/>
      <c r="Q54" s="1456"/>
      <c r="R54" s="1456"/>
    </row>
    <row r="55" spans="1:22" s="1610" customFormat="1">
      <c r="A55" s="1456"/>
      <c r="B55" s="1456"/>
      <c r="C55" s="1456"/>
      <c r="D55" s="1456"/>
      <c r="E55" s="1456"/>
      <c r="F55" s="627"/>
      <c r="G55" s="1456"/>
      <c r="H55" s="1456"/>
      <c r="I55" s="1456"/>
      <c r="J55" s="2238"/>
      <c r="K55" s="2236"/>
      <c r="L55" s="2236"/>
      <c r="M55" s="2236"/>
      <c r="N55" s="1456"/>
      <c r="O55" s="1456"/>
      <c r="P55" s="1456"/>
      <c r="Q55" s="1456"/>
      <c r="R55" s="1456"/>
    </row>
    <row r="56" spans="1:22" s="1610" customFormat="1">
      <c r="A56" s="1456"/>
      <c r="B56" s="1456"/>
      <c r="C56" s="1456"/>
      <c r="D56" s="1456"/>
      <c r="E56" s="1456"/>
      <c r="F56" s="627"/>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customWidth="1"/>
    <col min="18" max="18" width="9.25" style="1457" customWidth="1"/>
    <col min="19" max="19" width="10.875" style="1457" customWidth="1"/>
    <col min="20" max="21" width="10.75" style="1457" customWidth="1"/>
    <col min="22" max="22" width="10.875" style="1457" customWidth="1"/>
    <col min="23" max="27" width="10.75" style="1457" customWidth="1"/>
    <col min="28" max="28" width="10.875" style="1457"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0" t="s">
        <v>1067</v>
      </c>
      <c r="AZ2" s="981"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v>15478.33</v>
      </c>
      <c r="B3" s="11">
        <f>IF(C3="否",G5-AT5,G5)</f>
        <v>64756.12</v>
      </c>
      <c r="C3" s="1463" t="s">
        <v>1070</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2"/>
      <c r="AZ3" s="627"/>
      <c r="BA3" s="983"/>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1071</v>
      </c>
      <c r="B5" s="1253"/>
      <c r="C5" s="1253"/>
      <c r="D5" s="1254"/>
      <c r="E5" s="13" t="s">
        <v>0</v>
      </c>
      <c r="F5" s="13">
        <f>SUM(F13:F587)</f>
        <v>0</v>
      </c>
      <c r="G5" s="13">
        <f>SUM(G13:G587)</f>
        <v>64756.12</v>
      </c>
      <c r="H5" s="13">
        <f t="shared" ref="H5:AT5" si="0">SUM(H13:H656)</f>
        <v>64756.12</v>
      </c>
      <c r="I5" s="13">
        <f t="shared" si="0"/>
        <v>64756.12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1071</v>
      </c>
      <c r="AW5" s="1253"/>
      <c r="AX5" s="1253"/>
      <c r="AY5" s="14" t="s">
        <v>2</v>
      </c>
      <c r="AZ5" s="15">
        <f t="shared" ref="AZ5:BT5" si="1">SUM(AZ13:AZ656)</f>
        <v>64756.12</v>
      </c>
      <c r="BA5" s="15">
        <f t="shared" si="1"/>
        <v>64756.12</v>
      </c>
      <c r="BB5" s="15">
        <f t="shared" si="1"/>
        <v>64756.12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1072</v>
      </c>
      <c r="B6" s="1468"/>
      <c r="C6" s="1468"/>
      <c r="D6" s="1469"/>
      <c r="E6" s="13">
        <f>H6+AC6+AT6</f>
        <v>15478.33</v>
      </c>
      <c r="F6" s="13" t="s">
        <v>0</v>
      </c>
      <c r="G6" s="13" t="s">
        <v>1</v>
      </c>
      <c r="H6" s="17">
        <f>SUMIF(I$12:AB$12,"总值",I6:AB6)</f>
        <v>15478.33</v>
      </c>
      <c r="I6" s="13">
        <f t="shared" ref="I6:AB6" si="2">ROUND($A$3*I5/$B$3,2)</f>
        <v>15478.33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1072</v>
      </c>
      <c r="AW6" s="1468"/>
      <c r="AX6" s="1468"/>
      <c r="AY6" s="18">
        <f>IF(AY3&gt;0,AY3,ROUND($A$3*AZ5/$B$3,2))</f>
        <v>15478.33</v>
      </c>
      <c r="AZ6" s="13" t="s">
        <v>2</v>
      </c>
      <c r="BA6" s="13">
        <f>ROUND($AY$6*BA5/$AZ$5,2)</f>
        <v>15478.33</v>
      </c>
      <c r="BB6" s="13">
        <f>ROUND($AY$6*BB5/$AZ$5,2)</f>
        <v>15478.33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1073</v>
      </c>
      <c r="B7" s="1455" t="s">
        <v>1074</v>
      </c>
      <c r="C7" s="1455" t="s">
        <v>1075</v>
      </c>
      <c r="D7" s="1455" t="s">
        <v>1076</v>
      </c>
      <c r="E7" s="1455" t="s">
        <v>1077</v>
      </c>
      <c r="F7" s="1455" t="s">
        <v>1078</v>
      </c>
      <c r="G7" s="1472" t="s">
        <v>1079</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1080</v>
      </c>
      <c r="AV7" s="20" t="s">
        <v>1081</v>
      </c>
      <c r="AW7" s="1460" t="s">
        <v>1082</v>
      </c>
      <c r="AX7" s="20" t="s">
        <v>1075</v>
      </c>
      <c r="AY7" s="1253" t="s">
        <v>1083</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1084</v>
      </c>
      <c r="H8" s="1478" t="s">
        <v>1085</v>
      </c>
      <c r="I8" s="1479"/>
      <c r="J8" s="1263"/>
      <c r="K8" s="1263"/>
      <c r="L8" s="1263"/>
      <c r="M8" s="1263"/>
      <c r="N8" s="1263"/>
      <c r="O8" s="1263"/>
      <c r="P8" s="1263"/>
      <c r="Q8" s="1263"/>
      <c r="R8" s="1263"/>
      <c r="S8" s="1263"/>
      <c r="T8" s="1263"/>
      <c r="U8" s="1263"/>
      <c r="V8" s="1480"/>
      <c r="W8" s="1263"/>
      <c r="X8" s="1263"/>
      <c r="Y8" s="1263"/>
      <c r="Z8" s="1263"/>
      <c r="AA8" s="1480"/>
      <c r="AB8" s="1481"/>
      <c r="AC8" s="755" t="s">
        <v>1086</v>
      </c>
      <c r="AD8" s="1482"/>
      <c r="AE8" s="1474"/>
      <c r="AF8" s="1263"/>
      <c r="AG8" s="1263"/>
      <c r="AH8" s="1263"/>
      <c r="AI8" s="1263"/>
      <c r="AJ8" s="1263"/>
      <c r="AK8" s="1263"/>
      <c r="AL8" s="1263"/>
      <c r="AM8" s="1263"/>
      <c r="AN8" s="1263"/>
      <c r="AO8" s="1263"/>
      <c r="AP8" s="1263"/>
      <c r="AQ8" s="1263"/>
      <c r="AR8" s="1263"/>
      <c r="AS8" s="1263"/>
      <c r="AT8" s="1001" t="s">
        <v>1087</v>
      </c>
      <c r="AU8" s="1476" t="s">
        <v>1088</v>
      </c>
      <c r="AV8" s="1001"/>
      <c r="AW8" s="1461"/>
      <c r="AX8" s="1001"/>
      <c r="AY8" s="1460" t="s">
        <v>1089</v>
      </c>
      <c r="AZ8" s="1262" t="s">
        <v>1090</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1"/>
      <c r="H9" s="1484" t="s">
        <v>1091</v>
      </c>
      <c r="I9" s="1485" t="s">
        <v>3428</v>
      </c>
      <c r="J9" s="755"/>
      <c r="K9" s="1485" t="s">
        <v>3428</v>
      </c>
      <c r="L9" s="755"/>
      <c r="M9" s="1485" t="s">
        <v>3429</v>
      </c>
      <c r="N9" s="755"/>
      <c r="O9" s="1485" t="s">
        <v>3429</v>
      </c>
      <c r="P9" s="755"/>
      <c r="Q9" s="1485"/>
      <c r="R9" s="755"/>
      <c r="S9" s="1485"/>
      <c r="T9" s="755"/>
      <c r="U9" s="1485"/>
      <c r="V9" s="755"/>
      <c r="W9" s="1485"/>
      <c r="X9" s="1486"/>
      <c r="Y9" s="1485"/>
      <c r="Z9" s="755"/>
      <c r="AA9" s="1485"/>
      <c r="AB9" s="755"/>
      <c r="AC9" s="1477" t="s">
        <v>1091</v>
      </c>
      <c r="AD9" s="12" t="s">
        <v>1092</v>
      </c>
      <c r="AE9" s="1007"/>
      <c r="AF9" s="12" t="s">
        <v>1093</v>
      </c>
      <c r="AG9" s="1007"/>
      <c r="AH9" s="12" t="s">
        <v>1092</v>
      </c>
      <c r="AI9" s="1007"/>
      <c r="AJ9" s="12" t="s">
        <v>1093</v>
      </c>
      <c r="AK9" s="1007"/>
      <c r="AL9" s="12" t="s">
        <v>1092</v>
      </c>
      <c r="AM9" s="1007"/>
      <c r="AN9" s="12" t="s">
        <v>1093</v>
      </c>
      <c r="AO9" s="1007"/>
      <c r="AP9" s="12" t="s">
        <v>1092</v>
      </c>
      <c r="AQ9" s="1007"/>
      <c r="AR9" s="12" t="s">
        <v>1093</v>
      </c>
      <c r="AS9" s="1487"/>
      <c r="AT9" s="1476"/>
      <c r="AU9" s="1476" t="s">
        <v>1094</v>
      </c>
      <c r="AV9" s="1001"/>
      <c r="AW9" s="1461"/>
      <c r="AX9" s="1001"/>
      <c r="AY9" s="25"/>
      <c r="AZ9" s="25" t="s">
        <v>1084</v>
      </c>
      <c r="BA9" s="1488" t="s">
        <v>1095</v>
      </c>
      <c r="BB9" s="1489"/>
      <c r="BC9" s="1019"/>
      <c r="BD9" s="1019"/>
      <c r="BE9" s="1019"/>
      <c r="BF9" s="1019"/>
      <c r="BG9" s="1019"/>
      <c r="BH9" s="1019"/>
      <c r="BI9" s="1019"/>
      <c r="BJ9" s="1019"/>
      <c r="BK9" s="1490"/>
      <c r="BL9" s="12" t="s">
        <v>1096</v>
      </c>
      <c r="BM9" s="1263"/>
      <c r="BN9" s="1479"/>
      <c r="BO9" s="1263"/>
      <c r="BP9" s="1263"/>
      <c r="BQ9" s="1263"/>
      <c r="BR9" s="1263"/>
      <c r="BS9" s="1263"/>
      <c r="BT9" s="23"/>
    </row>
    <row r="10" spans="1:72" s="1483" customFormat="1" ht="12.75">
      <c r="A10" s="1476"/>
      <c r="B10" s="1476"/>
      <c r="C10" s="1476"/>
      <c r="D10" s="1476"/>
      <c r="E10" s="1476"/>
      <c r="F10" s="1476"/>
      <c r="G10" s="1001"/>
      <c r="H10" s="25"/>
      <c r="I10" s="1485" t="s">
        <v>3385</v>
      </c>
      <c r="J10" s="755"/>
      <c r="K10" s="1485" t="s">
        <v>673</v>
      </c>
      <c r="L10" s="755"/>
      <c r="M10" s="1491" t="s">
        <v>3331</v>
      </c>
      <c r="N10" s="755"/>
      <c r="O10" s="1491" t="s">
        <v>3330</v>
      </c>
      <c r="P10" s="755"/>
      <c r="Q10" s="1491"/>
      <c r="R10" s="755"/>
      <c r="S10" s="1491"/>
      <c r="T10" s="755"/>
      <c r="U10" s="1491"/>
      <c r="V10" s="755"/>
      <c r="W10" s="1491"/>
      <c r="X10" s="755"/>
      <c r="Y10" s="1491"/>
      <c r="Z10" s="755"/>
      <c r="AA10" s="1491"/>
      <c r="AB10" s="755"/>
      <c r="AC10" s="1001"/>
      <c r="AD10" s="12" t="s">
        <v>1097</v>
      </c>
      <c r="AE10" s="1492"/>
      <c r="AF10" s="12" t="s">
        <v>1097</v>
      </c>
      <c r="AG10" s="1492"/>
      <c r="AH10" s="12" t="s">
        <v>1098</v>
      </c>
      <c r="AI10" s="1492"/>
      <c r="AJ10" s="12" t="s">
        <v>1098</v>
      </c>
      <c r="AK10" s="1492"/>
      <c r="AL10" s="12" t="s">
        <v>1099</v>
      </c>
      <c r="AM10" s="1007"/>
      <c r="AN10" s="12" t="s">
        <v>1099</v>
      </c>
      <c r="AO10" s="1007"/>
      <c r="AP10" s="12" t="s">
        <v>1100</v>
      </c>
      <c r="AQ10" s="1007"/>
      <c r="AR10" s="12" t="s">
        <v>1100</v>
      </c>
      <c r="AS10" s="1007"/>
      <c r="AT10" s="1476"/>
      <c r="AU10" s="1476"/>
      <c r="AV10" s="1001"/>
      <c r="AW10" s="1461"/>
      <c r="AX10" s="1001"/>
      <c r="AY10" s="25"/>
      <c r="AZ10" s="25"/>
      <c r="BA10" s="1493" t="s">
        <v>1091</v>
      </c>
      <c r="BB10" s="149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1"/>
      <c r="H11" s="1493"/>
      <c r="I11" s="1496"/>
      <c r="J11" s="1497"/>
      <c r="K11" s="3140"/>
      <c r="L11" s="1497"/>
      <c r="M11" s="1496"/>
      <c r="N11" s="1497"/>
      <c r="O11" s="1496"/>
      <c r="P11" s="1497"/>
      <c r="Q11" s="1496"/>
      <c r="R11" s="1497"/>
      <c r="S11" s="1496"/>
      <c r="T11" s="1497"/>
      <c r="U11" s="1496"/>
      <c r="V11" s="1497"/>
      <c r="W11" s="1496"/>
      <c r="X11" s="1497"/>
      <c r="Y11" s="1496"/>
      <c r="Z11" s="1497"/>
      <c r="AA11" s="1496"/>
      <c r="AB11" s="1497"/>
      <c r="AC11" s="1001"/>
      <c r="AD11" s="1498" t="s">
        <v>1101</v>
      </c>
      <c r="AE11" s="1264"/>
      <c r="AF11" s="1498" t="s">
        <v>1101</v>
      </c>
      <c r="AG11" s="1264"/>
      <c r="AH11" s="1498" t="s">
        <v>1102</v>
      </c>
      <c r="AI11" s="1499"/>
      <c r="AJ11" s="1498" t="s">
        <v>1102</v>
      </c>
      <c r="AK11" s="1264"/>
      <c r="AL11" s="1262"/>
      <c r="AM11" s="1264"/>
      <c r="AN11" s="1262"/>
      <c r="AO11" s="1264"/>
      <c r="AP11" s="1262"/>
      <c r="AQ11" s="1264"/>
      <c r="AR11" s="1262"/>
      <c r="AS11" s="1264"/>
      <c r="AT11" s="1461"/>
      <c r="AU11" s="1476"/>
      <c r="AV11" s="1001"/>
      <c r="AW11" s="1461"/>
      <c r="AX11" s="1001"/>
      <c r="AY11" s="25"/>
      <c r="AZ11" s="25"/>
      <c r="BA11" s="25"/>
      <c r="BB11" s="1481" t="str">
        <f>I10</f>
        <v>住宅</v>
      </c>
      <c r="BC11" s="1481" t="str">
        <f>K10</f>
        <v>商业</v>
      </c>
      <c r="BD11" s="1481" t="str">
        <f>M10</f>
        <v>仓储</v>
      </c>
      <c r="BE11" s="1481" t="str">
        <f>O10</f>
        <v>车库</v>
      </c>
      <c r="BF11" s="1481">
        <f>Q10</f>
        <v>0</v>
      </c>
      <c r="BG11" s="1481">
        <f>S10</f>
        <v>0</v>
      </c>
      <c r="BH11" s="1481">
        <f>U10</f>
        <v>0</v>
      </c>
      <c r="BI11" s="1481">
        <f>W10</f>
        <v>0</v>
      </c>
      <c r="BJ11" s="1481">
        <f>Y10</f>
        <v>0</v>
      </c>
      <c r="BK11" s="1481">
        <f>AA10</f>
        <v>0</v>
      </c>
      <c r="BL11" s="1001"/>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2" t="s">
        <v>1104</v>
      </c>
      <c r="W12" s="8" t="s">
        <v>1103</v>
      </c>
      <c r="X12" s="8" t="s">
        <v>1104</v>
      </c>
      <c r="Y12" s="8" t="s">
        <v>1103</v>
      </c>
      <c r="Z12" s="8" t="s">
        <v>1104</v>
      </c>
      <c r="AA12" s="8" t="s">
        <v>1103</v>
      </c>
      <c r="AB12" s="8" t="s">
        <v>1104</v>
      </c>
      <c r="AC12" s="1503"/>
      <c r="AD12" s="125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1" t="s">
        <v>1104</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1"/>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7"/>
      <c r="B13" s="627"/>
      <c r="C13" s="627"/>
      <c r="D13" s="1507" t="s">
        <v>3430</v>
      </c>
      <c r="E13" s="13">
        <f>IF($C$3="是",ROUND($A$3*G13/$B$3,2),ROUND($A$3*(G13-AT13)/$B$3,2))</f>
        <v>15478.33</v>
      </c>
      <c r="F13" s="29"/>
      <c r="G13" s="30">
        <f>H13+AC13+AT13</f>
        <v>64756.12</v>
      </c>
      <c r="H13" s="17">
        <f>SUMIF(I$12:AB$12,"总值",I13:AB13)</f>
        <v>64756.12</v>
      </c>
      <c r="I13" s="3142">
        <v>64756.12</v>
      </c>
      <c r="J13" s="1508"/>
      <c r="K13" s="1508"/>
      <c r="L13" s="1508"/>
      <c r="M13" s="3142"/>
      <c r="N13" s="1508"/>
      <c r="O13" s="3142"/>
      <c r="P13" s="1508"/>
      <c r="Q13" s="1508"/>
      <c r="R13" s="1508"/>
      <c r="S13" s="1508"/>
      <c r="T13" s="1508"/>
      <c r="U13" s="1508"/>
      <c r="V13" s="1508"/>
      <c r="W13" s="1508"/>
      <c r="X13" s="1508"/>
      <c r="Y13" s="1508"/>
      <c r="Z13" s="1508"/>
      <c r="AA13" s="1508"/>
      <c r="AB13" s="1508"/>
      <c r="AC13" s="13">
        <f>SUMIF(AD$12:AS$12,"总值",AD13:AS13)</f>
        <v>0</v>
      </c>
      <c r="AD13" s="983"/>
      <c r="AE13" s="983"/>
      <c r="AF13" s="983"/>
      <c r="AG13" s="983"/>
      <c r="AH13" s="983"/>
      <c r="AI13" s="983"/>
      <c r="AJ13" s="983"/>
      <c r="AK13" s="983"/>
      <c r="AL13" s="983"/>
      <c r="AM13" s="983"/>
      <c r="AN13" s="983"/>
      <c r="AO13" s="983"/>
      <c r="AP13" s="983"/>
      <c r="AQ13" s="983"/>
      <c r="AR13" s="983"/>
      <c r="AS13" s="983"/>
      <c r="AT13" s="29"/>
      <c r="AU13" s="1509"/>
      <c r="AV13" s="8">
        <f t="shared" ref="AV13:AX17" si="6">A13</f>
        <v>0</v>
      </c>
      <c r="AW13" s="8">
        <f t="shared" si="6"/>
        <v>0</v>
      </c>
      <c r="AX13" s="8">
        <f t="shared" si="6"/>
        <v>0</v>
      </c>
      <c r="AY13" s="1254">
        <f>ROUND($AY$6*AZ13/$AZ$5,2)</f>
        <v>15478.33</v>
      </c>
      <c r="AZ13" s="13">
        <f>BA13+BL13</f>
        <v>64756.12</v>
      </c>
      <c r="BA13" s="13">
        <f>SUM(BB13:BK13)</f>
        <v>64756.12</v>
      </c>
      <c r="BB13" s="13">
        <f>IF($D13="是",I13-J13,0)</f>
        <v>64756.12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7"/>
      <c r="B14" s="627"/>
      <c r="C14" s="1456"/>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7"/>
      <c r="B15" s="627"/>
      <c r="C15" s="1456"/>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7"/>
      <c r="B16" s="627"/>
      <c r="C16" s="1456"/>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7"/>
      <c r="B17" s="627"/>
      <c r="C17" s="145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zoomScaleSheetLayoutView="85" workbookViewId="0">
      <selection activeCell="F19" sqref="F19"/>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1130</v>
      </c>
      <c r="B1" s="1065"/>
      <c r="C1" s="1065"/>
      <c r="D1" s="1065"/>
      <c r="E1" s="1065"/>
      <c r="F1" s="1065"/>
      <c r="G1" s="1065"/>
      <c r="H1" s="1065"/>
      <c r="I1" s="1065"/>
      <c r="J1" s="1065"/>
      <c r="K1" s="1065"/>
      <c r="L1" s="1065"/>
      <c r="M1" s="1065"/>
      <c r="N1" s="1065"/>
      <c r="O1" s="1065"/>
      <c r="P1" s="1065"/>
    </row>
    <row r="2" spans="1:16" ht="15">
      <c r="A2" s="3254" t="s">
        <v>1131</v>
      </c>
      <c r="B2" s="3254"/>
      <c r="C2" s="3254"/>
      <c r="D2" s="742" t="s">
        <v>1107</v>
      </c>
      <c r="E2" s="1517" t="s">
        <v>1108</v>
      </c>
      <c r="F2" s="2430"/>
      <c r="G2" s="2423"/>
      <c r="H2" s="2424"/>
      <c r="I2" s="2138" t="s">
        <v>1132</v>
      </c>
      <c r="J2" s="2430"/>
      <c r="K2" s="2430"/>
      <c r="L2" s="2430"/>
      <c r="M2" s="2430"/>
      <c r="N2" s="2431"/>
      <c r="O2" s="2430"/>
      <c r="P2" s="2430"/>
    </row>
    <row r="3" spans="1:16" ht="15.75" thickBot="1">
      <c r="A3" s="3255" t="s">
        <v>1105</v>
      </c>
      <c r="B3" s="3255"/>
      <c r="C3" s="3255"/>
      <c r="D3" s="41">
        <f>'数据-基础表'!AY6</f>
        <v>15478.33</v>
      </c>
      <c r="E3" s="41">
        <f>'数据-基础表'!AZ5</f>
        <v>64756.12</v>
      </c>
      <c r="F3" s="2430"/>
      <c r="G3" s="42"/>
      <c r="H3" s="43" t="s">
        <v>1106</v>
      </c>
      <c r="I3" s="796">
        <f>ROUND('数据-基础表'!B3/'数据-基础表'!A3,2)</f>
        <v>4.18</v>
      </c>
      <c r="J3" s="2430"/>
      <c r="K3" s="2430"/>
      <c r="L3" s="2430"/>
      <c r="M3" s="2430"/>
      <c r="N3" s="2431"/>
      <c r="O3" s="2430"/>
      <c r="P3" s="2430"/>
    </row>
    <row r="4" spans="1:16" ht="15">
      <c r="A4" s="3256"/>
      <c r="B4" s="3257"/>
      <c r="C4" s="3258"/>
      <c r="D4" s="1518" t="s">
        <v>1107</v>
      </c>
      <c r="E4" s="1519" t="s">
        <v>1108</v>
      </c>
      <c r="F4" s="2430"/>
      <c r="G4" s="2425" t="s">
        <v>1133</v>
      </c>
      <c r="H4" s="43" t="s">
        <v>1113</v>
      </c>
      <c r="I4" s="796">
        <f>ROUND(SUMIF('数据-基础表'!I9:AS9,"地上",'数据-基础表'!I5:AS5)/'数据-基础表'!A3,2)</f>
        <v>4.18</v>
      </c>
      <c r="J4" s="2430"/>
      <c r="K4" s="2430"/>
      <c r="L4" s="2430"/>
      <c r="M4" s="2430"/>
      <c r="N4" s="2431"/>
      <c r="O4" s="2430"/>
      <c r="P4" s="2430"/>
    </row>
    <row r="5" spans="1:16">
      <c r="A5" s="42" t="s">
        <v>1109</v>
      </c>
      <c r="B5" s="3259" t="s">
        <v>1110</v>
      </c>
      <c r="C5" s="3259"/>
      <c r="D5" s="43">
        <f>ROUND($D$3*E5/$E$3,2)</f>
        <v>15478.33</v>
      </c>
      <c r="E5" s="44">
        <f>SUMIF('数据-基础表'!$11:$11,"住宅",'数据-基础表'!$5:$5)</f>
        <v>64756.12</v>
      </c>
      <c r="F5" s="2430"/>
      <c r="G5" s="42"/>
      <c r="H5" s="43" t="s">
        <v>1106</v>
      </c>
      <c r="I5" s="796">
        <f>ROUND(E31/D31,2)</f>
        <v>4.18</v>
      </c>
      <c r="J5" s="2430"/>
      <c r="K5" s="2430"/>
      <c r="L5" s="2430"/>
      <c r="M5" s="2430"/>
      <c r="N5" s="2430"/>
      <c r="O5" s="2430"/>
      <c r="P5" s="2430"/>
    </row>
    <row r="6" spans="1:16" ht="15" thickBot="1">
      <c r="A6" s="1521"/>
      <c r="B6" s="3259" t="s">
        <v>1111</v>
      </c>
      <c r="C6" s="3259"/>
      <c r="D6" s="43">
        <f>ROUND($D$3*E6/$E$3,2)</f>
        <v>0</v>
      </c>
      <c r="E6" s="44">
        <f>E3-E5</f>
        <v>0</v>
      </c>
      <c r="F6" s="2430"/>
      <c r="G6" s="1523" t="s">
        <v>1112</v>
      </c>
      <c r="H6" s="45" t="s">
        <v>1113</v>
      </c>
      <c r="I6" s="2426">
        <f>ROUND(F31/D31,2)</f>
        <v>4.18</v>
      </c>
      <c r="J6" s="2430"/>
      <c r="K6" s="2430"/>
      <c r="L6" s="2430"/>
      <c r="M6" s="2430"/>
      <c r="N6" s="2430"/>
      <c r="O6" s="2430"/>
      <c r="P6" s="2430"/>
    </row>
    <row r="7" spans="1:16" ht="15.75" thickBot="1">
      <c r="A7" s="3251"/>
      <c r="B7" s="3252"/>
      <c r="C7" s="3253"/>
      <c r="D7" s="1518" t="s">
        <v>1107</v>
      </c>
      <c r="E7" s="1522" t="s">
        <v>1114</v>
      </c>
      <c r="F7" s="2430"/>
      <c r="G7" s="2427" t="s">
        <v>1115</v>
      </c>
      <c r="H7" s="95"/>
      <c r="I7" s="2428"/>
      <c r="J7" s="2430"/>
      <c r="K7" s="2430"/>
      <c r="L7" s="2430"/>
      <c r="M7" s="2430"/>
      <c r="N7" s="2430"/>
      <c r="O7" s="2430"/>
      <c r="P7" s="2430"/>
    </row>
    <row r="8" spans="1:16">
      <c r="A8" s="42" t="s">
        <v>1116</v>
      </c>
      <c r="B8" s="45" t="s">
        <v>1117</v>
      </c>
      <c r="C8" s="43" t="s">
        <v>1118</v>
      </c>
      <c r="D8" s="43">
        <f t="shared" ref="D8:D15" si="0">ROUND($D$3*E8/$E$3,2)</f>
        <v>15478.33</v>
      </c>
      <c r="E8" s="46">
        <f>SUMIF('数据-基础表'!BB10:BK10,"地上",'数据-基础表'!BB5:BK5)</f>
        <v>64756.12</v>
      </c>
      <c r="F8" s="2430"/>
      <c r="G8" s="2430"/>
      <c r="H8" s="2430"/>
      <c r="I8" s="2430"/>
      <c r="J8" s="2430"/>
      <c r="K8" s="2430"/>
      <c r="L8" s="2430"/>
      <c r="M8" s="2430"/>
      <c r="N8" s="2430"/>
      <c r="O8" s="2430"/>
      <c r="P8" s="2430"/>
    </row>
    <row r="9" spans="1:16">
      <c r="A9" s="1523"/>
      <c r="B9" s="1524"/>
      <c r="C9" s="43" t="s">
        <v>1119</v>
      </c>
      <c r="D9" s="43">
        <f t="shared" si="0"/>
        <v>0</v>
      </c>
      <c r="E9" s="47">
        <v>0</v>
      </c>
      <c r="F9" s="2430"/>
      <c r="G9" s="2430"/>
      <c r="H9" s="2430"/>
      <c r="I9" s="2430"/>
      <c r="J9" s="2430"/>
      <c r="K9" s="2430"/>
      <c r="L9" s="2430"/>
      <c r="M9" s="2430"/>
      <c r="N9" s="2430"/>
      <c r="O9" s="2430"/>
      <c r="P9" s="2430"/>
    </row>
    <row r="10" spans="1:16">
      <c r="A10" s="1523"/>
      <c r="B10" s="1524"/>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3"/>
      <c r="B11" s="1524"/>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3"/>
      <c r="B12" s="1524"/>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3"/>
      <c r="B13" s="1524"/>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3"/>
      <c r="B14" s="1524"/>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3"/>
      <c r="B15" s="1524"/>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1"/>
      <c r="B16" s="1524"/>
      <c r="C16" s="45" t="s">
        <v>1123</v>
      </c>
      <c r="D16" s="45">
        <f>SUM(D8:D15)</f>
        <v>15478.33</v>
      </c>
      <c r="E16" s="48">
        <f>SUM(E8:E15)</f>
        <v>64756.12</v>
      </c>
      <c r="F16" s="2430"/>
      <c r="G16" s="2430"/>
      <c r="H16" s="1525" t="s">
        <v>1135</v>
      </c>
      <c r="I16" s="1526"/>
      <c r="J16" s="1065"/>
      <c r="K16" s="3248" t="s">
        <v>1135</v>
      </c>
      <c r="L16" s="3249"/>
      <c r="M16" s="3249"/>
      <c r="N16" s="3249"/>
      <c r="O16" s="3249"/>
      <c r="P16" s="3250"/>
    </row>
    <row r="17" spans="1:19" ht="15">
      <c r="A17" s="1527" t="s">
        <v>1136</v>
      </c>
      <c r="B17" s="1528" t="s">
        <v>1137</v>
      </c>
      <c r="C17" s="1529" t="s">
        <v>1138</v>
      </c>
      <c r="D17" s="1530" t="s">
        <v>1126</v>
      </c>
      <c r="E17" s="1531" t="s">
        <v>1127</v>
      </c>
      <c r="F17" s="1532"/>
      <c r="G17" s="1533"/>
      <c r="H17" s="1534" t="s">
        <v>1139</v>
      </c>
      <c r="I17" s="1535" t="s">
        <v>1124</v>
      </c>
      <c r="J17" s="1065"/>
      <c r="K17" s="3245" t="s">
        <v>1140</v>
      </c>
      <c r="L17" s="3246"/>
      <c r="M17" s="3247"/>
      <c r="N17" s="3245" t="s">
        <v>1141</v>
      </c>
      <c r="O17" s="3246"/>
      <c r="P17" s="3247"/>
      <c r="R17" s="763" t="s">
        <v>1142</v>
      </c>
      <c r="S17" s="54"/>
    </row>
    <row r="18" spans="1:19" ht="15">
      <c r="A18" s="1523"/>
      <c r="B18" s="1520"/>
      <c r="C18" s="1536"/>
      <c r="D18" s="1537"/>
      <c r="E18" s="1538" t="s">
        <v>1143</v>
      </c>
      <c r="F18" s="1539" t="s">
        <v>1144</v>
      </c>
      <c r="G18" s="1540" t="s">
        <v>1145</v>
      </c>
      <c r="H18" s="974" t="s">
        <v>1146</v>
      </c>
      <c r="I18" s="1541" t="s">
        <v>1147</v>
      </c>
      <c r="J18" s="1065"/>
      <c r="K18" s="974" t="s">
        <v>1148</v>
      </c>
      <c r="L18" s="1542" t="s">
        <v>1149</v>
      </c>
      <c r="M18" s="796" t="s">
        <v>1150</v>
      </c>
      <c r="N18" s="974" t="s">
        <v>1148</v>
      </c>
      <c r="O18" s="1542" t="s">
        <v>1149</v>
      </c>
      <c r="P18" s="796" t="s">
        <v>1150</v>
      </c>
      <c r="R18" s="43" t="s">
        <v>1151</v>
      </c>
      <c r="S18" s="43" t="s">
        <v>1152</v>
      </c>
    </row>
    <row r="19" spans="1:19">
      <c r="A19" s="1543"/>
      <c r="B19" s="45" t="s">
        <v>1125</v>
      </c>
      <c r="C19" s="3141" t="s">
        <v>308</v>
      </c>
      <c r="D19" s="43">
        <f>ROUND($D$3*E19/$E$3,2)</f>
        <v>15478.33</v>
      </c>
      <c r="E19" s="51">
        <f t="shared" ref="E19:E26" si="1">SUM(F19:G19)</f>
        <v>64756.12</v>
      </c>
      <c r="F19" s="2548">
        <f>'数据-基础表'!I13</f>
        <v>64756.12</v>
      </c>
      <c r="G19" s="1237"/>
      <c r="H19" s="636">
        <f>ROUND($D$3*I19/$E$3,2)</f>
        <v>0</v>
      </c>
      <c r="I19" s="46">
        <f t="shared" ref="I19:I26" si="2">IF($I$17="自定义",P19,M19)</f>
        <v>0</v>
      </c>
      <c r="J19" s="1065"/>
      <c r="K19" s="636">
        <f t="shared" ref="K19:K26" si="3">ROUND(E$28*E19/E$27,2)</f>
        <v>0</v>
      </c>
      <c r="L19" s="43">
        <f t="shared" ref="L19:L26" si="4">ROUND(IF(COUNTIF(C19,"*住宅*")&gt;0,E$29*E19/E$32,0),2)</f>
        <v>0</v>
      </c>
      <c r="M19" s="46">
        <f>K19+L19</f>
        <v>0</v>
      </c>
      <c r="N19" s="1544"/>
      <c r="O19" s="1545"/>
      <c r="P19" s="46">
        <f>N19+O19</f>
        <v>0</v>
      </c>
      <c r="R19" s="43">
        <f t="shared" ref="R19:S26" si="5">D19+H19</f>
        <v>15478.33</v>
      </c>
      <c r="S19" s="51">
        <f t="shared" si="5"/>
        <v>64756.12</v>
      </c>
    </row>
    <row r="20" spans="1:19">
      <c r="A20" s="1543"/>
      <c r="B20" s="45" t="s">
        <v>1153</v>
      </c>
      <c r="C20" s="3141" t="s">
        <v>2636</v>
      </c>
      <c r="D20" s="43">
        <f t="shared" ref="D20:D26" si="6">ROUND($D$3*E20/$E$3,2)</f>
        <v>0</v>
      </c>
      <c r="E20" s="51">
        <f t="shared" si="1"/>
        <v>0</v>
      </c>
      <c r="F20" s="2548"/>
      <c r="G20" s="1237"/>
      <c r="H20" s="636">
        <f t="shared" ref="H20:H26" si="7">ROUND($D$3*I20/$E$3,2)</f>
        <v>0</v>
      </c>
      <c r="I20" s="46">
        <f t="shared" si="2"/>
        <v>0</v>
      </c>
      <c r="J20" s="1065"/>
      <c r="K20" s="636">
        <f t="shared" si="3"/>
        <v>0</v>
      </c>
      <c r="L20" s="43">
        <f t="shared" si="4"/>
        <v>0</v>
      </c>
      <c r="M20" s="46">
        <f t="shared" ref="M20:M26" si="8">K20+L20</f>
        <v>0</v>
      </c>
      <c r="N20" s="1544"/>
      <c r="O20" s="1545"/>
      <c r="P20" s="46">
        <f t="shared" ref="P20:P26" si="9">N20+O20</f>
        <v>0</v>
      </c>
      <c r="R20" s="43">
        <f t="shared" si="5"/>
        <v>0</v>
      </c>
      <c r="S20" s="51">
        <f t="shared" si="5"/>
        <v>0</v>
      </c>
    </row>
    <row r="21" spans="1:19">
      <c r="A21" s="1543"/>
      <c r="B21" s="45" t="s">
        <v>1153</v>
      </c>
      <c r="C21" s="3141" t="s">
        <v>3431</v>
      </c>
      <c r="D21" s="43">
        <f t="shared" si="6"/>
        <v>0</v>
      </c>
      <c r="E21" s="51">
        <f t="shared" si="1"/>
        <v>0</v>
      </c>
      <c r="F21" s="2548"/>
      <c r="G21" s="1237"/>
      <c r="H21" s="636">
        <f t="shared" si="7"/>
        <v>0</v>
      </c>
      <c r="I21" s="46">
        <f t="shared" si="2"/>
        <v>0</v>
      </c>
      <c r="J21" s="1065"/>
      <c r="K21" s="636">
        <f t="shared" si="3"/>
        <v>0</v>
      </c>
      <c r="L21" s="43">
        <f t="shared" si="4"/>
        <v>0</v>
      </c>
      <c r="M21" s="46">
        <f t="shared" si="8"/>
        <v>0</v>
      </c>
      <c r="N21" s="1544"/>
      <c r="O21" s="1545"/>
      <c r="P21" s="46">
        <f t="shared" si="9"/>
        <v>0</v>
      </c>
      <c r="R21" s="43">
        <f t="shared" si="5"/>
        <v>0</v>
      </c>
      <c r="S21" s="51">
        <f t="shared" si="5"/>
        <v>0</v>
      </c>
    </row>
    <row r="22" spans="1:19">
      <c r="A22" s="1543"/>
      <c r="B22" s="45" t="s">
        <v>1153</v>
      </c>
      <c r="C22" s="3141" t="s">
        <v>4053</v>
      </c>
      <c r="D22" s="43">
        <f t="shared" si="6"/>
        <v>0</v>
      </c>
      <c r="E22" s="51">
        <f t="shared" si="1"/>
        <v>0</v>
      </c>
      <c r="F22" s="2549"/>
      <c r="G22" s="2550"/>
      <c r="H22" s="636">
        <f t="shared" si="7"/>
        <v>0</v>
      </c>
      <c r="I22" s="46">
        <f t="shared" si="2"/>
        <v>0</v>
      </c>
      <c r="J22" s="1065"/>
      <c r="K22" s="636">
        <f t="shared" si="3"/>
        <v>0</v>
      </c>
      <c r="L22" s="43">
        <f t="shared" si="4"/>
        <v>0</v>
      </c>
      <c r="M22" s="46">
        <f t="shared" si="8"/>
        <v>0</v>
      </c>
      <c r="N22" s="1544"/>
      <c r="O22" s="1545"/>
      <c r="P22" s="46">
        <f t="shared" si="9"/>
        <v>0</v>
      </c>
      <c r="R22" s="43">
        <f t="shared" si="5"/>
        <v>0</v>
      </c>
      <c r="S22" s="51">
        <f t="shared" si="5"/>
        <v>0</v>
      </c>
    </row>
    <row r="23" spans="1:19">
      <c r="A23" s="1543"/>
      <c r="B23" s="45" t="s">
        <v>1153</v>
      </c>
      <c r="C23" s="3106"/>
      <c r="D23" s="43">
        <f>ROUND($D$3*E23/$E$3,2)</f>
        <v>0</v>
      </c>
      <c r="E23" s="51">
        <f>SUM(F23:G23)</f>
        <v>0</v>
      </c>
      <c r="F23" s="2549"/>
      <c r="G23" s="2550"/>
      <c r="H23" s="636">
        <f>ROUND($D$3*I23/$E$3,2)</f>
        <v>0</v>
      </c>
      <c r="I23" s="46">
        <f t="shared" si="2"/>
        <v>0</v>
      </c>
      <c r="J23" s="1065"/>
      <c r="K23" s="636">
        <f t="shared" si="3"/>
        <v>0</v>
      </c>
      <c r="L23" s="43">
        <f t="shared" si="4"/>
        <v>0</v>
      </c>
      <c r="M23" s="46">
        <f t="shared" si="8"/>
        <v>0</v>
      </c>
      <c r="N23" s="1544"/>
      <c r="O23" s="1545"/>
      <c r="P23" s="46">
        <f t="shared" si="9"/>
        <v>0</v>
      </c>
      <c r="R23" s="43">
        <f t="shared" si="5"/>
        <v>0</v>
      </c>
      <c r="S23" s="51">
        <f t="shared" si="5"/>
        <v>0</v>
      </c>
    </row>
    <row r="24" spans="1:19">
      <c r="A24" s="1543"/>
      <c r="B24" s="45" t="s">
        <v>1153</v>
      </c>
      <c r="C24" s="3106"/>
      <c r="D24" s="43">
        <f>ROUND($D$3*E24/$E$3,2)</f>
        <v>0</v>
      </c>
      <c r="E24" s="51">
        <f>SUM(F24:G24)</f>
        <v>0</v>
      </c>
      <c r="F24" s="2549"/>
      <c r="G24" s="2550"/>
      <c r="H24" s="636">
        <f>ROUND($D$3*I24/$E$3,2)</f>
        <v>0</v>
      </c>
      <c r="I24" s="46">
        <f t="shared" si="2"/>
        <v>0</v>
      </c>
      <c r="J24" s="1065"/>
      <c r="K24" s="636">
        <f t="shared" si="3"/>
        <v>0</v>
      </c>
      <c r="L24" s="43">
        <f t="shared" si="4"/>
        <v>0</v>
      </c>
      <c r="M24" s="46">
        <f t="shared" si="8"/>
        <v>0</v>
      </c>
      <c r="N24" s="1544"/>
      <c r="O24" s="1545"/>
      <c r="P24" s="46">
        <f t="shared" si="9"/>
        <v>0</v>
      </c>
      <c r="R24" s="43">
        <f t="shared" si="5"/>
        <v>0</v>
      </c>
      <c r="S24" s="51">
        <f t="shared" si="5"/>
        <v>0</v>
      </c>
    </row>
    <row r="25" spans="1:19">
      <c r="A25" s="1543"/>
      <c r="B25" s="45" t="s">
        <v>1153</v>
      </c>
      <c r="C25" s="3106"/>
      <c r="D25" s="43">
        <f t="shared" si="6"/>
        <v>0</v>
      </c>
      <c r="E25" s="51">
        <f t="shared" si="1"/>
        <v>0</v>
      </c>
      <c r="F25" s="2549"/>
      <c r="G25" s="2550"/>
      <c r="H25" s="42">
        <f t="shared" si="7"/>
        <v>0</v>
      </c>
      <c r="I25" s="46">
        <f t="shared" si="2"/>
        <v>0</v>
      </c>
      <c r="J25" s="1065"/>
      <c r="K25" s="636">
        <f t="shared" si="3"/>
        <v>0</v>
      </c>
      <c r="L25" s="43">
        <f t="shared" si="4"/>
        <v>0</v>
      </c>
      <c r="M25" s="46">
        <f t="shared" si="8"/>
        <v>0</v>
      </c>
      <c r="N25" s="1544"/>
      <c r="O25" s="1545"/>
      <c r="P25" s="46">
        <f t="shared" si="9"/>
        <v>0</v>
      </c>
      <c r="R25" s="43">
        <f t="shared" si="5"/>
        <v>0</v>
      </c>
      <c r="S25" s="51">
        <f t="shared" si="5"/>
        <v>0</v>
      </c>
    </row>
    <row r="26" spans="1:19">
      <c r="A26" s="1543"/>
      <c r="B26" s="45" t="s">
        <v>1153</v>
      </c>
      <c r="C26" s="53"/>
      <c r="D26" s="43">
        <f t="shared" si="6"/>
        <v>0</v>
      </c>
      <c r="E26" s="51">
        <f t="shared" si="1"/>
        <v>0</v>
      </c>
      <c r="F26" s="2549"/>
      <c r="G26" s="2550"/>
      <c r="H26" s="42">
        <f t="shared" si="7"/>
        <v>0</v>
      </c>
      <c r="I26" s="46">
        <f t="shared" si="2"/>
        <v>0</v>
      </c>
      <c r="J26" s="1065"/>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1154</v>
      </c>
      <c r="D27" s="1066">
        <f>SUM(D19:D26)</f>
        <v>15478.33</v>
      </c>
      <c r="E27" s="1067">
        <f>IF(SUM(E19:E26)='数据-基础表'!BA5,SUM(E19:E26),IF(F27="地上面积有误","面积有误","地下面积有误"))</f>
        <v>64756.12</v>
      </c>
      <c r="F27" s="1066">
        <f>IF(SUM(F19:F26)=E8,SUM(F19:F26),"地上面积有误")</f>
        <v>64756.12</v>
      </c>
      <c r="G27" s="1068">
        <f>SUM(G19:G26)</f>
        <v>0</v>
      </c>
      <c r="H27" s="1069">
        <f>SUM(H19:H26)</f>
        <v>0</v>
      </c>
      <c r="I27" s="1070">
        <f>SUM(I19:I26)</f>
        <v>0</v>
      </c>
      <c r="J27" s="1065"/>
      <c r="K27" s="1071">
        <f>SUM(K19:K26)</f>
        <v>0</v>
      </c>
      <c r="L27" s="779">
        <f>SUM(L19:L26)</f>
        <v>0</v>
      </c>
      <c r="M27" s="1072">
        <f>SUM(M19:M26)</f>
        <v>0</v>
      </c>
      <c r="N27" s="1071">
        <f t="shared" ref="N27:O27" si="10">SUM(N19:N26)</f>
        <v>0</v>
      </c>
      <c r="O27" s="779">
        <f t="shared" si="10"/>
        <v>0</v>
      </c>
      <c r="P27" s="94">
        <f>SUM(P19:P26)</f>
        <v>0</v>
      </c>
      <c r="R27" s="962">
        <f>IF(SUM(R19:R26)=$D$3,SUM(R19:R26),SUM(R19:R26)&amp;"误差"&amp;ROUND(SUM(R19:R26)-$D$3,2))</f>
        <v>15478.33</v>
      </c>
      <c r="S27" s="43">
        <f>IF(SUM(S19:S26)=$E$3,SUM(S19:S26),SUM(S19:S26)&amp;"误差"&amp;ROUND(SUM(S19:S26)-E3,2))</f>
        <v>64756.12</v>
      </c>
    </row>
    <row r="28" spans="1:19">
      <c r="A28" s="1543"/>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3"/>
      <c r="B29" s="45" t="s">
        <v>1155</v>
      </c>
      <c r="C29" s="1549"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3"/>
      <c r="B30" s="45"/>
      <c r="C30" s="1550" t="s">
        <v>1154</v>
      </c>
      <c r="D30" s="1066">
        <f>SUM(D28:D29)</f>
        <v>0</v>
      </c>
      <c r="E30" s="1066">
        <f>SUM(E28:E29)</f>
        <v>0</v>
      </c>
      <c r="F30" s="1066">
        <f>SUM(F28:F29)</f>
        <v>0</v>
      </c>
      <c r="G30" s="1068">
        <f>SUM(G28:G29)</f>
        <v>0</v>
      </c>
      <c r="H30" s="2430"/>
      <c r="I30" s="2430"/>
      <c r="J30" s="2430"/>
      <c r="K30" s="2430"/>
      <c r="L30" s="2430"/>
      <c r="M30" s="2430"/>
      <c r="N30" s="2430"/>
      <c r="O30" s="2430"/>
      <c r="P30" s="2430"/>
    </row>
    <row r="31" spans="1:19" ht="15.75" thickBot="1">
      <c r="A31" s="1551"/>
      <c r="B31" s="96"/>
      <c r="C31" s="779" t="s">
        <v>1158</v>
      </c>
      <c r="D31" s="642">
        <f>D27+D30</f>
        <v>15478.33</v>
      </c>
      <c r="E31" s="642">
        <f>E27+E30</f>
        <v>64756.12</v>
      </c>
      <c r="F31" s="643">
        <f>F27+F30</f>
        <v>64756.12</v>
      </c>
      <c r="G31" s="644">
        <f>G27+G30</f>
        <v>0</v>
      </c>
      <c r="H31" s="2430"/>
      <c r="I31" s="2430"/>
      <c r="J31" s="2430"/>
      <c r="K31" s="2430"/>
      <c r="L31" s="2430"/>
      <c r="M31" s="2430"/>
      <c r="N31" s="2430"/>
      <c r="O31" s="2430"/>
      <c r="P31" s="2430"/>
    </row>
    <row r="32" spans="1:19">
      <c r="A32" s="1520"/>
      <c r="B32" s="1520" t="s">
        <v>1159</v>
      </c>
      <c r="C32" s="1520"/>
      <c r="D32" s="1520"/>
      <c r="E32" s="984">
        <f>SUMIF(C19:C26,"*住宅*",E19:E26)</f>
        <v>64756.12</v>
      </c>
      <c r="F32" s="1520"/>
      <c r="G32" s="1520"/>
      <c r="H32" s="2430"/>
      <c r="I32" s="2430"/>
      <c r="J32" s="2430"/>
      <c r="K32" s="2430"/>
      <c r="L32" s="2430"/>
      <c r="M32" s="2430"/>
      <c r="N32" s="2430"/>
      <c r="O32" s="2430"/>
      <c r="P32" s="2430"/>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30" width="6.75" style="1555" customWidth="1"/>
    <col min="31" max="31" width="8" style="1555" customWidth="1"/>
    <col min="32" max="34" width="7.25" style="1555" customWidth="1"/>
    <col min="35" max="39" width="8" style="1555" customWidth="1"/>
    <col min="40" max="40" width="13.75" style="121"/>
    <col min="41" max="41" width="11.625" style="121" customWidth="1"/>
    <col min="42" max="42" width="9.75" style="121" customWidth="1"/>
    <col min="43" max="67" width="13.75" style="121"/>
    <col min="68" max="16384" width="13.75" style="1555"/>
  </cols>
  <sheetData>
    <row r="1" spans="1:67" ht="19.5" thickBot="1">
      <c r="A1" s="1553" t="s">
        <v>1160</v>
      </c>
      <c r="B1" s="645"/>
      <c r="C1" s="120"/>
      <c r="D1" s="1554"/>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5" customFormat="1" ht="15.75" thickBot="1">
      <c r="A2" s="1556" t="s">
        <v>1161</v>
      </c>
      <c r="B2" s="978">
        <f>项目基本情况!D3</f>
        <v>45595</v>
      </c>
      <c r="C2" s="1065"/>
      <c r="D2" s="1557"/>
      <c r="E2" s="1065"/>
      <c r="F2" s="1065"/>
      <c r="G2" s="1065"/>
      <c r="H2" s="1065"/>
      <c r="I2" s="1065"/>
      <c r="J2" s="1065"/>
      <c r="K2" s="857"/>
      <c r="L2" s="857"/>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0"/>
      <c r="AO2" s="2430"/>
      <c r="AP2" s="2430"/>
      <c r="AQ2" s="2430"/>
      <c r="AR2" s="2430"/>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5"/>
      <c r="D3" s="1557"/>
      <c r="E3" s="1065"/>
      <c r="F3" s="1065"/>
      <c r="G3" s="1065"/>
      <c r="H3" s="1065"/>
      <c r="I3" s="1065"/>
      <c r="J3" s="1065"/>
      <c r="K3" s="857"/>
      <c r="L3" s="857"/>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0"/>
      <c r="AO3" s="2430"/>
      <c r="AP3" s="2430"/>
      <c r="AQ3" s="2430"/>
      <c r="AR3" s="2430"/>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1162</v>
      </c>
      <c r="B4" s="1558"/>
      <c r="C4" s="1559"/>
      <c r="D4" s="1560"/>
      <c r="E4" s="1559" t="s">
        <v>1163</v>
      </c>
      <c r="F4" s="1559"/>
      <c r="G4" s="1559"/>
      <c r="H4" s="1559"/>
      <c r="I4" s="1559"/>
      <c r="J4" s="1561"/>
      <c r="K4" s="1562"/>
      <c r="L4" s="1563"/>
      <c r="M4" s="1559"/>
      <c r="N4" s="1559" t="s">
        <v>1164</v>
      </c>
      <c r="O4" s="1559"/>
      <c r="P4" s="1559"/>
      <c r="Q4" s="1559"/>
      <c r="R4" s="1559"/>
      <c r="S4" s="1561"/>
      <c r="T4" s="2429" t="str">
        <f>'数据-汇总表'!I17</f>
        <v>按面积比例</v>
      </c>
      <c r="U4" s="1558" t="s">
        <v>1165</v>
      </c>
      <c r="V4" s="1559"/>
      <c r="W4" s="1559"/>
      <c r="X4" s="1559"/>
      <c r="Y4" s="1561"/>
      <c r="Z4" s="1529" t="s">
        <v>1166</v>
      </c>
      <c r="AA4" s="1529"/>
      <c r="AB4" s="1529"/>
      <c r="AC4" s="1529"/>
      <c r="AD4" s="1529"/>
      <c r="AE4" s="1527" t="s">
        <v>1167</v>
      </c>
      <c r="AF4" s="1529"/>
      <c r="AG4" s="1564"/>
      <c r="AH4" s="1558"/>
      <c r="AI4" s="1559"/>
      <c r="AJ4" s="1559"/>
      <c r="AK4" s="1559"/>
      <c r="AL4" s="1559"/>
      <c r="AM4" s="1561"/>
      <c r="AN4" s="2430"/>
      <c r="AO4" s="2430"/>
      <c r="AP4" s="2430"/>
      <c r="AQ4" s="2430"/>
      <c r="AR4" s="2430"/>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1168</v>
      </c>
      <c r="B5" s="1566" t="s">
        <v>1169</v>
      </c>
      <c r="C5" s="1567" t="s">
        <v>1170</v>
      </c>
      <c r="D5" s="1568" t="s">
        <v>1171</v>
      </c>
      <c r="E5" s="503" t="s">
        <v>1172</v>
      </c>
      <c r="F5" s="1569" t="s">
        <v>1173</v>
      </c>
      <c r="G5" s="503" t="s">
        <v>1174</v>
      </c>
      <c r="H5" s="503" t="s">
        <v>1175</v>
      </c>
      <c r="I5" s="503" t="s">
        <v>1176</v>
      </c>
      <c r="J5" s="1241" t="s">
        <v>1177</v>
      </c>
      <c r="K5" s="1570" t="s">
        <v>1178</v>
      </c>
      <c r="L5" s="1571" t="s">
        <v>1179</v>
      </c>
      <c r="M5" s="1572" t="s">
        <v>1180</v>
      </c>
      <c r="N5" s="1573" t="s">
        <v>4023</v>
      </c>
      <c r="O5" s="1571" t="s">
        <v>1181</v>
      </c>
      <c r="P5" s="1574" t="s">
        <v>1182</v>
      </c>
      <c r="Q5" s="58" t="s">
        <v>1183</v>
      </c>
      <c r="R5" s="1575" t="s">
        <v>1184</v>
      </c>
      <c r="S5" s="1576" t="s">
        <v>1185</v>
      </c>
      <c r="T5" s="1577" t="s">
        <v>1186</v>
      </c>
      <c r="U5" s="979" t="s">
        <v>1187</v>
      </c>
      <c r="V5" s="503" t="s">
        <v>1188</v>
      </c>
      <c r="W5" s="503" t="s">
        <v>1189</v>
      </c>
      <c r="X5" s="60"/>
      <c r="Y5" s="59" t="s">
        <v>1190</v>
      </c>
      <c r="Z5" s="1095" t="s">
        <v>1187</v>
      </c>
      <c r="AA5" s="503" t="s">
        <v>1188</v>
      </c>
      <c r="AB5" s="503" t="s">
        <v>1189</v>
      </c>
      <c r="AC5" s="60"/>
      <c r="AD5" s="60" t="s">
        <v>1190</v>
      </c>
      <c r="AE5" s="979" t="s">
        <v>1191</v>
      </c>
      <c r="AF5" s="503" t="s">
        <v>1192</v>
      </c>
      <c r="AG5" s="59" t="s">
        <v>1193</v>
      </c>
      <c r="AH5" s="979" t="s">
        <v>1194</v>
      </c>
      <c r="AI5" s="1095" t="s">
        <v>1195</v>
      </c>
      <c r="AJ5" s="1095" t="s">
        <v>1196</v>
      </c>
      <c r="AK5" s="503" t="s">
        <v>1197</v>
      </c>
      <c r="AL5" s="503" t="s">
        <v>1198</v>
      </c>
      <c r="AM5" s="59" t="s">
        <v>1199</v>
      </c>
      <c r="AN5" s="1578" t="s">
        <v>1200</v>
      </c>
      <c r="AO5" s="1448" t="s">
        <v>1201</v>
      </c>
      <c r="AP5" s="962" t="s">
        <v>1202</v>
      </c>
      <c r="AQ5" s="1579" t="s">
        <v>1203</v>
      </c>
      <c r="AR5" s="1579"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5" customFormat="1" ht="14.25">
      <c r="A6" s="1580" t="str">
        <f>'数据-汇总表'!C19</f>
        <v>住宅</v>
      </c>
      <c r="B6" s="1581" t="str">
        <f>IF(A6=0,"","经营性")</f>
        <v>经营性</v>
      </c>
      <c r="C6" s="1582" t="s">
        <v>3385</v>
      </c>
      <c r="D6" s="799">
        <f>SUMIF(项目基本情况!C$12:I$12,C6,项目基本情况!C$14:I$14)</f>
        <v>70</v>
      </c>
      <c r="E6" s="798">
        <f>IF(B6="","",SUMIF(项目基本情况!C$12:I$12,C6,项目基本情况!C$13:I$13))</f>
        <v>70674</v>
      </c>
      <c r="F6" s="61">
        <f>SUMIF(项目基本情况!C$12:I$12,C6,项目基本情况!C$15:I$15)</f>
        <v>68.7</v>
      </c>
      <c r="G6" s="62">
        <f>IF(ISERROR(ROUND(POWER(1+H6,D6-F6)*(POWER(1+H6,F6)-1)/(POWER(1+H6,D6)-1),3)),0,ROUND(POWER(1+H6,D6-F6)*(POWER(1+H6,F6)-1)/(POWER(1+H6,D6)-1),3))</f>
        <v>0.996</v>
      </c>
      <c r="H6" s="690">
        <v>0.04</v>
      </c>
      <c r="I6" s="690">
        <v>4.4999999999999998E-2</v>
      </c>
      <c r="J6" s="63">
        <v>7.0000000000000007E-2</v>
      </c>
      <c r="K6" s="964">
        <f>SUMIF('数据-汇总表'!C$19:C$33,A6,'数据-汇总表'!E$19:E$33)</f>
        <v>64756.12</v>
      </c>
      <c r="L6" s="691">
        <v>4700</v>
      </c>
      <c r="M6" s="64">
        <f t="shared" ref="M6:M14" si="0">ROUND(K6*L6/10000,0)</f>
        <v>30435</v>
      </c>
      <c r="N6" s="689">
        <v>0.55000000000000004</v>
      </c>
      <c r="O6" s="64">
        <f>IF($N$5="成新度","——",ROUND(M6*N6,0))</f>
        <v>16739</v>
      </c>
      <c r="P6" s="65">
        <f>IF($N$5="成新度","——",M6-O6)</f>
        <v>13696</v>
      </c>
      <c r="Q6" s="3159">
        <v>0.15</v>
      </c>
      <c r="R6" s="66">
        <f ca="1">SUMIF('数据-汇总表'!C$19:C$33,A6,'数据-汇总表'!R$19:R$27)</f>
        <v>15478.33</v>
      </c>
      <c r="S6" s="49">
        <f>IF('数据-汇总表'!$I$17="按面积比例",SUMIF('数据-汇总表'!C$19:C$33,A6,'数据-汇总表'!K$19:K$33),SUMIF('数据-汇总表'!C$19:C$33,A6,'数据-汇总表'!N$19:N$33))</f>
        <v>0</v>
      </c>
      <c r="T6" s="1086">
        <f>ROUND($L$14*S6/10000,0)</f>
        <v>0</v>
      </c>
      <c r="U6" s="1544"/>
      <c r="V6" s="67"/>
      <c r="W6" s="67"/>
      <c r="X6" s="973"/>
      <c r="Y6" s="68"/>
      <c r="Z6" s="69"/>
      <c r="AA6" s="63"/>
      <c r="AB6" s="63"/>
      <c r="AC6" s="973"/>
      <c r="AD6" s="70"/>
      <c r="AE6" s="974">
        <f ca="1">IF(AN6="",0,SUMIF(INDIRECT("'"&amp;AN6&amp;"'"&amp;"!E:E"),$AE$5,INDIRECT("'"&amp;AN6&amp;"'"&amp;"!F:F")))</f>
        <v>0</v>
      </c>
      <c r="AF6" s="74"/>
      <c r="AG6" s="129">
        <f>IF(AF6="",0,AE6-AF6)</f>
        <v>0</v>
      </c>
      <c r="AH6" s="74"/>
      <c r="AI6" s="73"/>
      <c r="AJ6" s="74"/>
      <c r="AK6" s="75"/>
      <c r="AL6" s="76"/>
      <c r="AM6" s="77"/>
      <c r="AN6" s="3160"/>
      <c r="AO6" s="50" t="e">
        <f ca="1">SUMIF(INDIRECT("'"&amp;AN6&amp;"'"&amp;"!A:A"),"总价",INDIRECT("'"&amp;AN6&amp;"'"&amp;"!B:B"))</f>
        <v>#REF!</v>
      </c>
      <c r="AP6" s="1584">
        <f>IF(C6="住宅",K6*L6,0)</f>
        <v>304353764</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c r="D7" s="799">
        <f>SUMIF(项目基本情况!C$12:I$12,C7,项目基本情况!C$14:I$14)</f>
        <v>0</v>
      </c>
      <c r="E7" s="798">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3154"/>
      <c r="I7" s="3154"/>
      <c r="J7" s="63"/>
      <c r="K7" s="964">
        <f>SUMIF('数据-汇总表'!C$19:C$33,A7,'数据-汇总表'!E$19:E$33)</f>
        <v>0</v>
      </c>
      <c r="L7" s="691"/>
      <c r="M7" s="64">
        <f t="shared" si="0"/>
        <v>0</v>
      </c>
      <c r="N7" s="689"/>
      <c r="O7" s="64">
        <f t="shared" ref="O7:O14" si="3">IF($N$5="成新度","——",ROUND(M7*N7,0))</f>
        <v>0</v>
      </c>
      <c r="P7" s="65">
        <f t="shared" ref="P7:P14" si="4">IF($N$5="成新度","——",M7-O7)</f>
        <v>0</v>
      </c>
      <c r="Q7" s="3159"/>
      <c r="R7" s="66">
        <f ca="1">SUMIF('数据-汇总表'!C$19:C$33,A7,'数据-汇总表'!R$19:R$27)</f>
        <v>0</v>
      </c>
      <c r="S7" s="49">
        <f>IF('数据-汇总表'!$I$17="按面积比例",SUMIF('数据-汇总表'!C$19:C$33,A7,'数据-汇总表'!K$19:K$33),SUMIF('数据-汇总表'!C$19:C$33,A7,'数据-汇总表'!N$19:N$33))</f>
        <v>0</v>
      </c>
      <c r="T7" s="1086">
        <f t="shared" ref="T7:T13" si="5">ROUND($L$14*S7/10000,0)</f>
        <v>0</v>
      </c>
      <c r="U7" s="1544">
        <v>0.8</v>
      </c>
      <c r="V7" s="67">
        <v>1.4999999999999999E-2</v>
      </c>
      <c r="W7" s="67">
        <v>0.1</v>
      </c>
      <c r="X7" s="973"/>
      <c r="Y7" s="68">
        <v>1</v>
      </c>
      <c r="Z7" s="69"/>
      <c r="AA7" s="63"/>
      <c r="AB7" s="63"/>
      <c r="AC7" s="973"/>
      <c r="AD7" s="70"/>
      <c r="AE7" s="974">
        <f t="shared" ref="AE7:AE13" ca="1" si="6">IF(AN7="",0,SUMIF(INDIRECT("'"&amp;AN7&amp;"'"&amp;"!E:E"),$AE$5,INDIRECT("'"&amp;AN7&amp;"'"&amp;"!F:F")))</f>
        <v>-1.1200000000000001</v>
      </c>
      <c r="AF7" s="74"/>
      <c r="AG7" s="129">
        <f t="shared" ref="AG7:AG13" si="7">IF(AF7="",0,AE7-AF7)</f>
        <v>0</v>
      </c>
      <c r="AH7" s="74"/>
      <c r="AI7" s="73">
        <v>365</v>
      </c>
      <c r="AJ7" s="74"/>
      <c r="AK7" s="75">
        <v>0.01</v>
      </c>
      <c r="AL7" s="75">
        <v>1E-3</v>
      </c>
      <c r="AM7" s="75">
        <v>0.01</v>
      </c>
      <c r="AN7" s="3160" t="s">
        <v>4054</v>
      </c>
      <c r="AO7" s="50">
        <f t="shared" ref="AO7:AO13" ca="1" si="8">SUMIF(INDIRECT("'"&amp;AN7&amp;"'"&amp;"!A:A"),"总价",INDIRECT("'"&amp;AN7&amp;"'"&amp;"!B:B"))</f>
        <v>0</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c r="D8" s="799">
        <f>SUMIF(项目基本情况!C$12:I$12,C8,项目基本情况!C$14:I$14)</f>
        <v>0</v>
      </c>
      <c r="E8" s="798">
        <f>IF(B8="","",SUMIF(项目基本情况!C$12:I$12,C8,项目基本情况!C$13:I$13))</f>
        <v>0</v>
      </c>
      <c r="F8" s="61">
        <f>SUMIF(项目基本情况!C$12:I$12,C8,项目基本情况!C$15:I$15)</f>
        <v>0</v>
      </c>
      <c r="G8" s="62">
        <f t="shared" si="2"/>
        <v>0</v>
      </c>
      <c r="H8" s="3154"/>
      <c r="I8" s="3154"/>
      <c r="J8" s="63"/>
      <c r="K8" s="964">
        <f>SUMIF('数据-汇总表'!C$19:C$33,A8,'数据-汇总表'!E$19:E$33)</f>
        <v>0</v>
      </c>
      <c r="L8" s="691"/>
      <c r="M8" s="64">
        <f>ROUND(K8*L8/10000,0)</f>
        <v>0</v>
      </c>
      <c r="N8" s="689"/>
      <c r="O8" s="64">
        <f t="shared" si="3"/>
        <v>0</v>
      </c>
      <c r="P8" s="65">
        <f t="shared" si="4"/>
        <v>0</v>
      </c>
      <c r="Q8" s="3159"/>
      <c r="R8" s="66">
        <f ca="1">SUMIF('数据-汇总表'!C$19:C$33,A8,'数据-汇总表'!R$19:R$27)</f>
        <v>0</v>
      </c>
      <c r="S8" s="49">
        <f>IF('数据-汇总表'!$I$17="按面积比例",SUMIF('数据-汇总表'!C$19:C$33,A8,'数据-汇总表'!K$19:K$33),SUMIF('数据-汇总表'!C$19:C$33,A8,'数据-汇总表'!N$19:N$33))</f>
        <v>0</v>
      </c>
      <c r="T8" s="1086">
        <f t="shared" si="5"/>
        <v>0</v>
      </c>
      <c r="U8" s="1544">
        <v>400</v>
      </c>
      <c r="V8" s="67">
        <v>0.02</v>
      </c>
      <c r="W8" s="67">
        <v>0.1</v>
      </c>
      <c r="X8" s="973"/>
      <c r="Y8" s="68">
        <v>1</v>
      </c>
      <c r="Z8" s="69"/>
      <c r="AA8" s="63"/>
      <c r="AB8" s="63"/>
      <c r="AC8" s="973"/>
      <c r="AD8" s="70"/>
      <c r="AE8" s="974">
        <f t="shared" ca="1" si="6"/>
        <v>-1.1200000000000001</v>
      </c>
      <c r="AF8" s="74"/>
      <c r="AG8" s="129">
        <f t="shared" si="7"/>
        <v>0</v>
      </c>
      <c r="AH8" s="74">
        <v>698</v>
      </c>
      <c r="AI8" s="73">
        <v>12</v>
      </c>
      <c r="AJ8" s="74"/>
      <c r="AK8" s="75">
        <v>0.01</v>
      </c>
      <c r="AL8" s="75">
        <v>1E-3</v>
      </c>
      <c r="AM8" s="75">
        <v>0.01</v>
      </c>
      <c r="AN8" s="3160" t="s">
        <v>4061</v>
      </c>
      <c r="AO8" s="50">
        <f t="shared" ca="1" si="8"/>
        <v>-273</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机械车位</v>
      </c>
      <c r="B9" s="1581" t="str">
        <f t="shared" si="1"/>
        <v>经营性</v>
      </c>
      <c r="C9" s="1582"/>
      <c r="D9" s="799">
        <f>SUMIF(项目基本情况!C$12:I$12,C9,项目基本情况!C$14:I$14)</f>
        <v>0</v>
      </c>
      <c r="E9" s="798">
        <f>IF(B9="","",SUMIF(项目基本情况!C$12:I$12,C9,项目基本情况!C$13:I$13))</f>
        <v>0</v>
      </c>
      <c r="F9" s="61">
        <f>SUMIF(项目基本情况!C$12:I$12,C9,项目基本情况!C$15:I$15)</f>
        <v>0</v>
      </c>
      <c r="G9" s="62">
        <f t="shared" si="2"/>
        <v>0</v>
      </c>
      <c r="H9" s="3154"/>
      <c r="I9" s="3154"/>
      <c r="J9" s="63"/>
      <c r="K9" s="964">
        <f>SUMIF('数据-汇总表'!C$19:C$33,A9,'数据-汇总表'!E$19:E$33)</f>
        <v>0</v>
      </c>
      <c r="L9" s="79"/>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6">
        <f t="shared" si="5"/>
        <v>0</v>
      </c>
      <c r="U9" s="3116">
        <f>U8</f>
        <v>400</v>
      </c>
      <c r="V9" s="67">
        <f>V8</f>
        <v>0.02</v>
      </c>
      <c r="W9" s="67">
        <f>W8</f>
        <v>0.1</v>
      </c>
      <c r="X9" s="973"/>
      <c r="Y9" s="68">
        <f>Y8</f>
        <v>1</v>
      </c>
      <c r="Z9" s="69"/>
      <c r="AA9" s="63"/>
      <c r="AB9" s="63"/>
      <c r="AC9" s="973"/>
      <c r="AD9" s="70"/>
      <c r="AE9" s="974">
        <f t="shared" ca="1" si="6"/>
        <v>-1.1200000000000001</v>
      </c>
      <c r="AF9" s="74"/>
      <c r="AG9" s="129">
        <f t="shared" si="7"/>
        <v>0</v>
      </c>
      <c r="AH9" s="71">
        <v>13</v>
      </c>
      <c r="AI9" s="73">
        <v>12</v>
      </c>
      <c r="AJ9" s="74"/>
      <c r="AK9" s="75">
        <v>0.01</v>
      </c>
      <c r="AL9" s="75">
        <v>1E-3</v>
      </c>
      <c r="AM9" s="75">
        <v>0.01</v>
      </c>
      <c r="AN9" s="1583" t="s">
        <v>4063</v>
      </c>
      <c r="AO9" s="50">
        <f t="shared" ca="1" si="8"/>
        <v>-5</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c r="A10" s="1580">
        <f>'数据-汇总表'!C23</f>
        <v>0</v>
      </c>
      <c r="B10" s="1581" t="str">
        <f t="shared" si="1"/>
        <v/>
      </c>
      <c r="C10" s="1582"/>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4">
        <f>SUMIF('数据-汇总表'!C$19:C$33,A10,'数据-汇总表'!E$19:E$33)</f>
        <v>0</v>
      </c>
      <c r="L10" s="79"/>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6">
        <f t="shared" si="5"/>
        <v>0</v>
      </c>
      <c r="U10" s="3116"/>
      <c r="V10" s="67"/>
      <c r="W10" s="67"/>
      <c r="X10" s="973"/>
      <c r="Y10" s="68"/>
      <c r="Z10" s="69"/>
      <c r="AA10" s="63"/>
      <c r="AB10" s="63"/>
      <c r="AC10" s="973"/>
      <c r="AD10" s="70"/>
      <c r="AE10" s="974">
        <f t="shared" ca="1" si="6"/>
        <v>0</v>
      </c>
      <c r="AF10" s="74"/>
      <c r="AG10" s="129">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c r="A11" s="1580">
        <f>'数据-汇总表'!C24</f>
        <v>0</v>
      </c>
      <c r="B11" s="1581" t="str">
        <f t="shared" si="1"/>
        <v/>
      </c>
      <c r="C11" s="1582"/>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4">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6">
        <f t="shared" si="5"/>
        <v>0</v>
      </c>
      <c r="U11" s="3116"/>
      <c r="V11" s="63"/>
      <c r="W11" s="63"/>
      <c r="X11" s="973"/>
      <c r="Y11" s="68"/>
      <c r="Z11" s="81"/>
      <c r="AA11" s="63"/>
      <c r="AB11" s="63"/>
      <c r="AC11" s="973"/>
      <c r="AD11" s="70"/>
      <c r="AE11" s="974">
        <f t="shared" ca="1" si="6"/>
        <v>0</v>
      </c>
      <c r="AF11" s="74"/>
      <c r="AG11" s="129">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c r="A12" s="1580">
        <f>'数据-汇总表'!C25</f>
        <v>0</v>
      </c>
      <c r="B12" s="1581" t="str">
        <f t="shared" si="1"/>
        <v/>
      </c>
      <c r="C12" s="1582"/>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6">
        <f t="shared" si="5"/>
        <v>0</v>
      </c>
      <c r="U12" s="3116"/>
      <c r="V12" s="63"/>
      <c r="W12" s="63"/>
      <c r="X12" s="973"/>
      <c r="Y12" s="68"/>
      <c r="Z12" s="81"/>
      <c r="AA12" s="63"/>
      <c r="AB12" s="63"/>
      <c r="AC12" s="973"/>
      <c r="AD12" s="70"/>
      <c r="AE12" s="974">
        <f t="shared" ca="1" si="6"/>
        <v>0</v>
      </c>
      <c r="AF12" s="74"/>
      <c r="AG12" s="129">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c r="A13" s="1580">
        <f>'数据-汇总表'!C26</f>
        <v>0</v>
      </c>
      <c r="B13" s="1581" t="str">
        <f t="shared" si="1"/>
        <v/>
      </c>
      <c r="C13" s="1582"/>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6">
        <f t="shared" si="5"/>
        <v>0</v>
      </c>
      <c r="U13" s="3117"/>
      <c r="V13" s="67"/>
      <c r="W13" s="67"/>
      <c r="X13" s="973"/>
      <c r="Y13" s="68"/>
      <c r="Z13" s="69"/>
      <c r="AA13" s="63"/>
      <c r="AB13" s="63"/>
      <c r="AC13" s="973"/>
      <c r="AD13" s="70"/>
      <c r="AE13" s="974">
        <f t="shared" ca="1" si="6"/>
        <v>0</v>
      </c>
      <c r="AF13" s="74"/>
      <c r="AG13" s="129">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c r="A14" s="1585" t="s">
        <v>1205</v>
      </c>
      <c r="B14" s="1581" t="s">
        <v>1206</v>
      </c>
      <c r="C14" s="1586" t="s">
        <v>1205</v>
      </c>
      <c r="D14" s="799"/>
      <c r="E14" s="798"/>
      <c r="F14" s="61"/>
      <c r="G14" s="62"/>
      <c r="H14" s="963"/>
      <c r="I14" s="963"/>
      <c r="J14" s="963"/>
      <c r="K14" s="964">
        <f>SUMIF('数据-汇总表'!C$19:C$33,A14,'数据-汇总表'!E$19:E$33)</f>
        <v>0</v>
      </c>
      <c r="L14" s="79">
        <f>L8</f>
        <v>0</v>
      </c>
      <c r="M14" s="64">
        <f t="shared" si="0"/>
        <v>0</v>
      </c>
      <c r="N14" s="80">
        <f>N9</f>
        <v>0</v>
      </c>
      <c r="O14" s="64">
        <f t="shared" si="3"/>
        <v>0</v>
      </c>
      <c r="P14" s="65">
        <f t="shared" si="4"/>
        <v>0</v>
      </c>
      <c r="Q14" s="967"/>
      <c r="R14" s="66"/>
      <c r="S14" s="49"/>
      <c r="T14" s="1086"/>
      <c r="U14" s="636"/>
      <c r="V14" s="969"/>
      <c r="W14" s="969"/>
      <c r="X14" s="970"/>
      <c r="Y14" s="971"/>
      <c r="Z14" s="54"/>
      <c r="AA14" s="972"/>
      <c r="AB14" s="972"/>
      <c r="AC14" s="973"/>
      <c r="AD14" s="970"/>
      <c r="AE14" s="974"/>
      <c r="AF14" s="50"/>
      <c r="AG14" s="129"/>
      <c r="AH14" s="974"/>
      <c r="AI14" s="1260"/>
      <c r="AJ14" s="50"/>
      <c r="AK14" s="975"/>
      <c r="AL14" s="976"/>
      <c r="AM14" s="977"/>
      <c r="AN14" s="2439"/>
      <c r="AO14" s="2430"/>
      <c r="AP14" s="2430"/>
      <c r="AQ14" s="2430"/>
      <c r="AR14" s="2430"/>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1207</v>
      </c>
      <c r="B15" s="1581" t="s">
        <v>1206</v>
      </c>
      <c r="C15" s="1586" t="s">
        <v>1208</v>
      </c>
      <c r="D15" s="799"/>
      <c r="E15" s="798"/>
      <c r="F15" s="61"/>
      <c r="G15" s="62"/>
      <c r="H15" s="963"/>
      <c r="I15" s="963"/>
      <c r="J15" s="963"/>
      <c r="K15" s="964">
        <f>SUMIF('数据-汇总表'!C$19:C$33,A15,'数据-汇总表'!E$19:E$33)</f>
        <v>0</v>
      </c>
      <c r="L15" s="965"/>
      <c r="M15" s="64"/>
      <c r="N15" s="966"/>
      <c r="O15" s="64"/>
      <c r="P15" s="65"/>
      <c r="Q15" s="967"/>
      <c r="R15" s="66"/>
      <c r="S15" s="49"/>
      <c r="T15" s="1086"/>
      <c r="U15" s="636"/>
      <c r="V15" s="969"/>
      <c r="W15" s="969"/>
      <c r="X15" s="970"/>
      <c r="Y15" s="971"/>
      <c r="Z15" s="54"/>
      <c r="AA15" s="972"/>
      <c r="AB15" s="972"/>
      <c r="AC15" s="973"/>
      <c r="AD15" s="970"/>
      <c r="AE15" s="974"/>
      <c r="AF15" s="50"/>
      <c r="AG15" s="129"/>
      <c r="AH15" s="974"/>
      <c r="AI15" s="1260"/>
      <c r="AJ15" s="50"/>
      <c r="AK15" s="975"/>
      <c r="AL15" s="976"/>
      <c r="AM15" s="977"/>
      <c r="AN15" s="2439"/>
      <c r="AO15" s="2430"/>
      <c r="AP15" s="2430"/>
      <c r="AQ15" s="2430"/>
      <c r="AR15" s="2430"/>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1209</v>
      </c>
      <c r="B16" s="82"/>
      <c r="C16" s="777"/>
      <c r="D16" s="1588"/>
      <c r="E16" s="82"/>
      <c r="F16" s="82"/>
      <c r="G16" s="83">
        <f>ROUND(SUMPRODUCT(G6:G13,K6:K13)/SUMPRODUCT((G6:G13&gt;0)*(K6:K13)),3)</f>
        <v>0.996</v>
      </c>
      <c r="H16" s="84">
        <f>ROUND(SUMPRODUCT(H6:H13,K6:K13)/SUMPRODUCT((H6:H13&gt;0)*(K6:K13)),3)</f>
        <v>0.04</v>
      </c>
      <c r="I16" s="85"/>
      <c r="J16" s="85"/>
      <c r="K16" s="86">
        <f>SUM(K6:K15)</f>
        <v>64756.12</v>
      </c>
      <c r="L16" s="87">
        <f>ROUND(M16*10000/SUM(K6:K14),0)</f>
        <v>4700</v>
      </c>
      <c r="M16" s="87">
        <f>SUM(M6:M14)</f>
        <v>30435</v>
      </c>
      <c r="N16" s="88">
        <f>ROUND(SUMPRODUCT(M6:M14,N6:N14)/M16,3)</f>
        <v>0.55000000000000004</v>
      </c>
      <c r="O16" s="87">
        <f>SUM(O6:O14)</f>
        <v>16739</v>
      </c>
      <c r="P16" s="87">
        <f>SUM(P6:P14)</f>
        <v>13696</v>
      </c>
      <c r="Q16" s="89">
        <f>ROUND(SUMPRODUCT(Q6:Q13,K6:K13)/SUMPRODUCT((Q6:Q13&gt;0)*(K6:K13)),2)</f>
        <v>0.15</v>
      </c>
      <c r="R16" s="968">
        <f ca="1">SUM(R6:R13)</f>
        <v>15478.33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0" t="s">
        <v>1211</v>
      </c>
      <c r="B19" s="97">
        <v>0</v>
      </c>
      <c r="C19" s="2551" t="s">
        <v>2298</v>
      </c>
      <c r="D19" s="2442"/>
      <c r="E19" s="2430"/>
      <c r="F19" s="2430"/>
      <c r="G19" s="2430"/>
      <c r="H19" s="2430"/>
      <c r="I19" s="2430"/>
      <c r="J19" s="2430"/>
      <c r="K19" s="2440"/>
      <c r="L19" s="2440"/>
      <c r="M19" s="2439"/>
      <c r="N19" s="2439"/>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25">
      <c r="A20" s="1591" t="s">
        <v>1212</v>
      </c>
      <c r="B20" s="98">
        <v>2.5</v>
      </c>
      <c r="C20" s="2552" t="s">
        <v>2296</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2" t="s">
        <v>1213</v>
      </c>
      <c r="B21" s="98">
        <f>ROUND(B20*N16,2)</f>
        <v>1.38</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1" t="s">
        <v>1214</v>
      </c>
      <c r="B22" s="99">
        <f>B19+B20</f>
        <v>2.5</v>
      </c>
      <c r="C22" s="2430"/>
      <c r="D22" s="2442"/>
      <c r="E22" s="2430"/>
      <c r="F22" s="2430"/>
      <c r="G22" s="2430"/>
      <c r="H22" s="2430"/>
      <c r="I22" s="2430"/>
      <c r="J22" s="2430"/>
      <c r="K22" s="2440"/>
      <c r="L22" s="2440"/>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2" t="s">
        <v>1215</v>
      </c>
      <c r="B23" s="99">
        <f>B19+B21</f>
        <v>1.38</v>
      </c>
      <c r="C23" s="2430"/>
      <c r="D23" s="2442"/>
      <c r="E23" s="2430"/>
      <c r="F23" s="2430"/>
      <c r="G23" s="2430"/>
      <c r="H23" s="2430"/>
      <c r="I23" s="2430"/>
      <c r="J23" s="2430"/>
      <c r="K23" s="2440"/>
      <c r="L23" s="2440"/>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3" t="s">
        <v>1216</v>
      </c>
      <c r="B24" s="100">
        <f>B20-B21</f>
        <v>1.1200000000000001</v>
      </c>
      <c r="C24" s="2430"/>
      <c r="D24" s="2442"/>
      <c r="E24" s="2430"/>
      <c r="F24" s="2430"/>
      <c r="G24" s="2430"/>
      <c r="H24" s="2430"/>
      <c r="I24" s="2430"/>
      <c r="J24" s="2430"/>
      <c r="K24" s="2440"/>
      <c r="L24" s="2440"/>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3"/>
      <c r="B25" s="1536"/>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6" t="s">
        <v>1217</v>
      </c>
      <c r="B26" s="1594"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5" t="s">
        <v>1220</v>
      </c>
      <c r="B27" s="101">
        <v>150</v>
      </c>
      <c r="C27" s="2553" t="s">
        <v>2300</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6" t="s">
        <v>1221</v>
      </c>
      <c r="B28" s="103">
        <v>190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597" t="s">
        <v>1222</v>
      </c>
      <c r="B29" s="105">
        <v>0</v>
      </c>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598" t="s">
        <v>1223</v>
      </c>
      <c r="B30" s="637">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6"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599" t="s">
        <v>1225</v>
      </c>
      <c r="B32" s="638">
        <v>0</v>
      </c>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5" t="s">
        <v>1226</v>
      </c>
      <c r="B33" s="639">
        <v>0.03</v>
      </c>
      <c r="C33" s="2555" t="s">
        <v>3373</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6" t="s">
        <v>1227</v>
      </c>
      <c r="B34" s="106">
        <v>0.05</v>
      </c>
      <c r="C34" s="2555" t="s">
        <v>2290</v>
      </c>
      <c r="D34" s="2450" t="s">
        <v>2297</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6" t="s">
        <v>1228</v>
      </c>
      <c r="B35" s="103">
        <v>200</v>
      </c>
      <c r="C35" s="2555" t="s">
        <v>2291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7" t="s">
        <v>1229</v>
      </c>
      <c r="B36" s="3172">
        <v>0.02</v>
      </c>
      <c r="C36" s="2555" t="s">
        <v>3374</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598" t="s">
        <v>1230</v>
      </c>
      <c r="B37" s="107">
        <v>0.02</v>
      </c>
      <c r="C37" s="2555" t="s">
        <v>2292</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6" t="s">
        <v>1231</v>
      </c>
      <c r="B38" s="3173">
        <v>0.03</v>
      </c>
      <c r="C38" s="2555" t="s">
        <v>2292</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599"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2307</v>
      </c>
      <c r="B40" s="1009">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5"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0"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0"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1" t="s">
        <v>1236</v>
      </c>
      <c r="B44" s="111">
        <v>0.05</v>
      </c>
      <c r="C44" s="2555" t="s">
        <v>2301</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1" t="s">
        <v>1237</v>
      </c>
      <c r="B45" s="109">
        <v>0.03</v>
      </c>
      <c r="C45" s="2554" t="s">
        <v>2293</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1" t="s">
        <v>1238</v>
      </c>
      <c r="B46" s="109">
        <v>0.02</v>
      </c>
      <c r="C46" s="2554" t="s">
        <v>2294</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2" t="s">
        <v>1239</v>
      </c>
      <c r="B47" s="112"/>
      <c r="C47" s="2557" t="s">
        <v>2302</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3" t="s">
        <v>1240</v>
      </c>
      <c r="B48" s="113">
        <v>0.03</v>
      </c>
      <c r="C48" s="2554" t="s">
        <v>2293</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9" t="s">
        <v>1241</v>
      </c>
      <c r="B49" s="109">
        <v>5.0000000000000001E-4</v>
      </c>
      <c r="C49" s="2554" t="s">
        <v>2295</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4"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7"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4"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6" t="s">
        <v>1245</v>
      </c>
      <c r="B53" s="1605" t="s">
        <v>29</v>
      </c>
      <c r="C53" s="2431" t="s">
        <v>1246</v>
      </c>
      <c r="D53" s="2556" t="s">
        <v>2299</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6"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6"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6"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6"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6"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6"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6"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6"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6"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7"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3"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3"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3"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3"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3"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3" customFormat="1">
      <c r="A69" s="1608"/>
      <c r="D69" s="1609"/>
      <c r="K69" s="686"/>
      <c r="L69" s="686"/>
    </row>
    <row r="70" spans="1:44" s="683" customFormat="1">
      <c r="A70" s="1608"/>
      <c r="D70" s="1609"/>
      <c r="K70" s="686"/>
      <c r="L70" s="686"/>
    </row>
    <row r="71" spans="1:44" s="683" customFormat="1">
      <c r="A71" s="1608"/>
      <c r="D71" s="1609"/>
      <c r="K71" s="686"/>
      <c r="L71" s="686"/>
    </row>
    <row r="72" spans="1:44" s="683" customFormat="1">
      <c r="A72" s="1608"/>
      <c r="D72" s="1609"/>
      <c r="K72" s="686"/>
      <c r="L72" s="686"/>
    </row>
    <row r="73" spans="1:44" s="683" customFormat="1">
      <c r="A73" s="1608"/>
      <c r="D73" s="1609"/>
      <c r="K73" s="686"/>
      <c r="L73" s="686"/>
    </row>
    <row r="74" spans="1:44" s="683" customFormat="1">
      <c r="A74" s="1608"/>
      <c r="D74" s="1609"/>
      <c r="K74" s="686"/>
      <c r="L74" s="686"/>
    </row>
    <row r="75" spans="1:44" s="683" customFormat="1">
      <c r="A75" s="1608"/>
      <c r="D75" s="1609"/>
      <c r="K75" s="686"/>
      <c r="L75" s="686"/>
    </row>
    <row r="76" spans="1:44" s="683" customFormat="1">
      <c r="A76" s="1608"/>
      <c r="D76" s="1609"/>
      <c r="K76" s="686"/>
      <c r="L76" s="686"/>
    </row>
    <row r="77" spans="1:44" s="683" customFormat="1">
      <c r="A77" s="1608"/>
      <c r="D77" s="1609"/>
      <c r="K77" s="686"/>
      <c r="L77" s="686"/>
    </row>
    <row r="78" spans="1:44" s="683" customFormat="1">
      <c r="A78" s="1608"/>
      <c r="D78" s="1609"/>
      <c r="K78" s="686"/>
      <c r="L78" s="686"/>
    </row>
    <row r="79" spans="1:44" s="683" customFormat="1">
      <c r="A79" s="1608"/>
      <c r="D79" s="1609"/>
      <c r="K79" s="686"/>
      <c r="L79" s="686"/>
    </row>
    <row r="80" spans="1:44" s="683" customFormat="1">
      <c r="A80" s="1608"/>
      <c r="D80" s="1609"/>
      <c r="K80" s="686"/>
      <c r="L80" s="686"/>
    </row>
    <row r="81" spans="1:12" s="683" customFormat="1">
      <c r="A81" s="1608"/>
      <c r="D81" s="1609"/>
      <c r="K81" s="686"/>
      <c r="L81" s="686"/>
    </row>
    <row r="82" spans="1:12" s="683" customFormat="1">
      <c r="A82" s="1608"/>
      <c r="D82" s="1609"/>
      <c r="K82" s="686"/>
      <c r="L82" s="686"/>
    </row>
    <row r="83" spans="1:12" s="683" customFormat="1">
      <c r="A83" s="1608"/>
      <c r="D83" s="1609"/>
      <c r="K83" s="686"/>
      <c r="L83" s="686"/>
    </row>
    <row r="84" spans="1:12" s="683" customFormat="1">
      <c r="A84" s="1608"/>
      <c r="D84" s="1609"/>
      <c r="K84" s="686"/>
      <c r="L84" s="686"/>
    </row>
    <row r="85" spans="1:12" s="683" customFormat="1">
      <c r="A85" s="1608"/>
      <c r="D85" s="1609"/>
      <c r="K85" s="686"/>
      <c r="L85" s="686"/>
    </row>
    <row r="86" spans="1:12" s="683" customFormat="1">
      <c r="A86" s="1608"/>
      <c r="D86" s="1609"/>
      <c r="K86" s="686"/>
      <c r="L86" s="686"/>
    </row>
    <row r="87" spans="1:12" s="683" customFormat="1">
      <c r="A87" s="1608"/>
      <c r="D87" s="1609"/>
      <c r="K87" s="686"/>
      <c r="L87" s="686"/>
    </row>
    <row r="88" spans="1:12" s="683" customFormat="1">
      <c r="A88" s="1608"/>
      <c r="D88" s="1609"/>
      <c r="K88" s="686"/>
      <c r="L88" s="686"/>
    </row>
    <row r="89" spans="1:12" s="683" customFormat="1">
      <c r="A89" s="1608"/>
      <c r="D89" s="1609"/>
      <c r="K89" s="686"/>
      <c r="L89" s="686"/>
    </row>
    <row r="90" spans="1:12" s="683" customFormat="1">
      <c r="A90" s="1608"/>
      <c r="D90" s="1609"/>
      <c r="K90" s="686"/>
      <c r="L90" s="686"/>
    </row>
    <row r="91" spans="1:12" s="683" customFormat="1">
      <c r="A91" s="1608"/>
      <c r="D91" s="1609"/>
      <c r="K91" s="686"/>
      <c r="L91" s="686"/>
    </row>
    <row r="92" spans="1:12" s="683" customFormat="1">
      <c r="A92" s="1608"/>
      <c r="D92" s="1609"/>
      <c r="K92" s="686"/>
      <c r="L92" s="686"/>
    </row>
    <row r="93" spans="1:12" s="683" customFormat="1">
      <c r="A93" s="1608"/>
      <c r="D93" s="1609"/>
      <c r="K93" s="686"/>
      <c r="L93" s="686"/>
    </row>
    <row r="94" spans="1:12" s="683" customFormat="1">
      <c r="A94" s="1608"/>
      <c r="D94" s="1609"/>
      <c r="K94" s="686"/>
      <c r="L94" s="686"/>
    </row>
    <row r="95" spans="1:12" s="683" customFormat="1">
      <c r="A95" s="1608"/>
      <c r="D95" s="1609"/>
      <c r="K95" s="686"/>
      <c r="L95" s="686"/>
    </row>
    <row r="96" spans="1:12" s="683" customFormat="1">
      <c r="A96" s="1608"/>
      <c r="D96" s="1609"/>
      <c r="K96" s="686"/>
      <c r="L96" s="686"/>
    </row>
    <row r="97" spans="1:12" s="683" customFormat="1">
      <c r="A97" s="1608"/>
      <c r="D97" s="1609"/>
      <c r="K97" s="686"/>
      <c r="L97" s="686"/>
    </row>
    <row r="98" spans="1:12" s="683" customFormat="1">
      <c r="A98" s="1608"/>
      <c r="D98" s="1609"/>
      <c r="K98" s="686"/>
      <c r="L98" s="686"/>
    </row>
    <row r="99" spans="1:12" s="683" customFormat="1">
      <c r="A99" s="1608"/>
      <c r="D99" s="1609"/>
      <c r="K99" s="686"/>
      <c r="L99" s="686"/>
    </row>
    <row r="100" spans="1:12" s="683" customFormat="1">
      <c r="A100" s="1608"/>
      <c r="D100" s="1609"/>
      <c r="K100" s="686"/>
      <c r="L100" s="686"/>
    </row>
    <row r="101" spans="1:12" s="683" customFormat="1">
      <c r="A101" s="1608"/>
      <c r="D101" s="1609"/>
      <c r="K101" s="686"/>
      <c r="L101" s="686"/>
    </row>
    <row r="102" spans="1:12" s="683" customFormat="1">
      <c r="A102" s="1608"/>
      <c r="D102" s="1609"/>
      <c r="K102" s="686"/>
      <c r="L102" s="686"/>
    </row>
    <row r="103" spans="1:12" s="683" customFormat="1">
      <c r="A103" s="1608"/>
      <c r="D103" s="1609"/>
      <c r="K103" s="686"/>
      <c r="L103" s="686"/>
    </row>
    <row r="104" spans="1:12" s="683" customFormat="1">
      <c r="A104" s="1608"/>
      <c r="D104" s="1609"/>
      <c r="K104" s="686"/>
      <c r="L104" s="686"/>
    </row>
    <row r="105" spans="1:12" s="683" customFormat="1">
      <c r="A105" s="1608"/>
      <c r="D105" s="1609"/>
      <c r="K105" s="686"/>
      <c r="L105" s="686"/>
    </row>
    <row r="106" spans="1:12" s="683" customFormat="1">
      <c r="A106" s="1608"/>
      <c r="D106" s="1609"/>
      <c r="K106" s="686"/>
      <c r="L106" s="686"/>
    </row>
    <row r="107" spans="1:12" s="683" customFormat="1">
      <c r="A107" s="1608"/>
      <c r="D107" s="1609"/>
      <c r="K107" s="686"/>
      <c r="L107" s="686"/>
    </row>
    <row r="108" spans="1:12" s="683" customFormat="1">
      <c r="A108" s="1608"/>
      <c r="D108" s="1609"/>
      <c r="K108" s="686"/>
      <c r="L108" s="686"/>
    </row>
    <row r="109" spans="1:12" s="683" customFormat="1">
      <c r="A109" s="1608"/>
      <c r="D109" s="1609"/>
      <c r="K109" s="686"/>
      <c r="L109" s="686"/>
    </row>
    <row r="110" spans="1:12" s="683" customFormat="1">
      <c r="A110" s="1608"/>
      <c r="D110" s="1609"/>
      <c r="K110" s="686"/>
      <c r="L110" s="686"/>
    </row>
    <row r="111" spans="1:12" s="683" customFormat="1">
      <c r="A111" s="1608"/>
      <c r="D111" s="1609"/>
      <c r="K111" s="686"/>
      <c r="L111" s="686"/>
    </row>
    <row r="112" spans="1:12" s="683" customFormat="1">
      <c r="A112" s="1608"/>
      <c r="D112" s="1609"/>
      <c r="K112" s="686"/>
      <c r="L112" s="686"/>
    </row>
    <row r="113" spans="1:12" s="683" customFormat="1">
      <c r="A113" s="1608"/>
      <c r="D113" s="1609"/>
      <c r="K113" s="686"/>
      <c r="L113" s="686"/>
    </row>
    <row r="114" spans="1:12" s="683" customFormat="1">
      <c r="A114" s="1608"/>
      <c r="D114" s="1609"/>
      <c r="K114" s="686"/>
      <c r="L114" s="686"/>
    </row>
    <row r="115" spans="1:12" s="683" customFormat="1">
      <c r="A115" s="1608"/>
      <c r="D115" s="1609"/>
      <c r="K115" s="686"/>
      <c r="L115" s="686"/>
    </row>
    <row r="116" spans="1:12" s="683" customFormat="1">
      <c r="A116" s="1608"/>
      <c r="D116" s="1609"/>
      <c r="K116" s="686"/>
      <c r="L116" s="686"/>
    </row>
    <row r="117" spans="1:12" s="683" customFormat="1">
      <c r="A117" s="1608"/>
      <c r="D117" s="1609"/>
      <c r="K117" s="686"/>
      <c r="L117" s="686"/>
    </row>
    <row r="118" spans="1:12" s="683" customFormat="1">
      <c r="A118" s="1608"/>
      <c r="D118" s="1609"/>
      <c r="K118" s="686"/>
      <c r="L118" s="686"/>
    </row>
    <row r="119" spans="1:12" s="683" customFormat="1">
      <c r="A119" s="1608"/>
      <c r="D119" s="1609"/>
      <c r="K119" s="686"/>
      <c r="L119" s="686"/>
    </row>
    <row r="120" spans="1:12" s="683" customFormat="1">
      <c r="A120" s="1608"/>
      <c r="D120" s="1609"/>
      <c r="K120" s="686"/>
      <c r="L120" s="686"/>
    </row>
    <row r="121" spans="1:12" s="683" customFormat="1">
      <c r="A121" s="1608"/>
      <c r="D121" s="1609"/>
      <c r="K121" s="686"/>
      <c r="L121" s="686"/>
    </row>
    <row r="122" spans="1:12" s="683" customFormat="1">
      <c r="A122" s="1608"/>
      <c r="D122" s="1609"/>
      <c r="K122" s="686"/>
      <c r="L122" s="686"/>
    </row>
    <row r="123" spans="1:12" s="683" customFormat="1">
      <c r="A123" s="1608"/>
      <c r="D123" s="1609"/>
      <c r="K123" s="686"/>
      <c r="L123" s="686"/>
    </row>
    <row r="124" spans="1:12" s="683" customFormat="1">
      <c r="A124" s="1608"/>
      <c r="D124" s="1609"/>
      <c r="K124" s="686"/>
      <c r="L124" s="686"/>
    </row>
    <row r="125" spans="1:12" s="683" customFormat="1">
      <c r="A125" s="1608"/>
      <c r="D125" s="1609"/>
      <c r="K125" s="686"/>
      <c r="L125" s="686"/>
    </row>
    <row r="126" spans="1:12" s="683" customFormat="1">
      <c r="A126" s="1608"/>
      <c r="D126" s="1609"/>
      <c r="K126" s="686"/>
      <c r="L126" s="686"/>
    </row>
    <row r="127" spans="1:12" s="683" customFormat="1">
      <c r="A127" s="1608"/>
      <c r="D127" s="1609"/>
      <c r="K127" s="686"/>
      <c r="L127" s="686"/>
    </row>
    <row r="128" spans="1:12" s="683" customFormat="1">
      <c r="A128" s="1608"/>
      <c r="D128" s="1609"/>
      <c r="K128" s="686"/>
      <c r="L128" s="686"/>
    </row>
    <row r="129" spans="1:12" s="683" customFormat="1">
      <c r="A129" s="1608"/>
      <c r="D129" s="1609"/>
      <c r="K129" s="686"/>
      <c r="L129" s="686"/>
    </row>
    <row r="130" spans="1:12" s="683" customFormat="1">
      <c r="A130" s="1608"/>
      <c r="D130" s="1609"/>
      <c r="K130" s="686"/>
      <c r="L130" s="686"/>
    </row>
    <row r="131" spans="1:12" s="683" customFormat="1">
      <c r="A131" s="1608"/>
      <c r="D131" s="1609"/>
      <c r="K131" s="686"/>
      <c r="L131" s="686"/>
    </row>
    <row r="132" spans="1:12" s="683" customFormat="1">
      <c r="A132" s="1608"/>
      <c r="D132" s="1609"/>
      <c r="K132" s="686"/>
      <c r="L132" s="686"/>
    </row>
    <row r="133" spans="1:12" s="683" customFormat="1">
      <c r="A133" s="1608"/>
      <c r="D133" s="1609"/>
      <c r="K133" s="686"/>
      <c r="L133" s="686"/>
    </row>
    <row r="134" spans="1:12" s="121" customFormat="1">
      <c r="A134" s="1610"/>
      <c r="D134" s="1611"/>
      <c r="K134" s="24"/>
      <c r="L134" s="24"/>
    </row>
    <row r="135" spans="1:12" s="121" customFormat="1">
      <c r="A135" s="1610"/>
      <c r="D135" s="1611"/>
      <c r="K135" s="24"/>
      <c r="L135" s="24"/>
    </row>
    <row r="136" spans="1:12" s="121" customFormat="1">
      <c r="A136" s="1610"/>
      <c r="D136" s="1611"/>
      <c r="K136" s="24"/>
      <c r="L136" s="24"/>
    </row>
    <row r="137" spans="1:12" s="121" customFormat="1">
      <c r="A137" s="1610"/>
      <c r="D137" s="1611"/>
      <c r="K137" s="24"/>
      <c r="L137" s="24"/>
    </row>
    <row r="138" spans="1:12" s="121" customFormat="1">
      <c r="A138" s="1610"/>
      <c r="D138" s="1611"/>
      <c r="K138" s="24"/>
      <c r="L138" s="24"/>
    </row>
    <row r="139" spans="1:12" s="121" customFormat="1">
      <c r="A139" s="1610"/>
      <c r="D139" s="1611"/>
      <c r="K139" s="24"/>
      <c r="L139" s="24"/>
    </row>
    <row r="140" spans="1:12" s="121" customFormat="1">
      <c r="A140" s="1610"/>
      <c r="D140" s="1611"/>
      <c r="K140" s="24"/>
      <c r="L140" s="24"/>
    </row>
    <row r="141" spans="1:12" s="121" customFormat="1">
      <c r="A141" s="1610"/>
      <c r="D141" s="1611"/>
      <c r="K141" s="24"/>
      <c r="L141" s="24"/>
    </row>
    <row r="142" spans="1:12" s="121" customFormat="1">
      <c r="A142" s="1610"/>
      <c r="D142" s="1611"/>
      <c r="K142" s="24"/>
      <c r="L142" s="24"/>
    </row>
    <row r="143" spans="1:12" s="121" customFormat="1">
      <c r="A143" s="1610"/>
      <c r="D143" s="1611"/>
      <c r="K143" s="24"/>
      <c r="L143" s="24"/>
    </row>
    <row r="144" spans="1:12" s="121" customFormat="1">
      <c r="A144" s="1610"/>
      <c r="D144" s="1611"/>
      <c r="K144" s="24"/>
      <c r="L144" s="24"/>
    </row>
    <row r="145" spans="1:12" s="121" customFormat="1">
      <c r="A145" s="1610"/>
      <c r="D145" s="1611"/>
      <c r="K145" s="24"/>
      <c r="L145" s="24"/>
    </row>
    <row r="146" spans="1:12" s="121" customFormat="1">
      <c r="A146" s="1610"/>
      <c r="D146" s="1611"/>
      <c r="K146" s="24"/>
      <c r="L146" s="24"/>
    </row>
    <row r="147" spans="1:12" s="121" customFormat="1">
      <c r="A147" s="1610"/>
      <c r="D147" s="1611"/>
      <c r="K147" s="24"/>
      <c r="L147" s="24"/>
    </row>
    <row r="148" spans="1:12" s="121" customFormat="1">
      <c r="A148" s="1610"/>
      <c r="D148" s="1611"/>
      <c r="K148" s="24"/>
      <c r="L148" s="24"/>
    </row>
    <row r="149" spans="1:12" s="121" customFormat="1">
      <c r="A149" s="1610"/>
      <c r="D149" s="1611"/>
      <c r="K149" s="24"/>
      <c r="L149" s="24"/>
    </row>
    <row r="150" spans="1:12" s="121" customFormat="1">
      <c r="A150" s="1610"/>
      <c r="D150" s="1611"/>
      <c r="K150" s="24"/>
      <c r="L150" s="24"/>
    </row>
    <row r="151" spans="1:12" s="121" customFormat="1">
      <c r="A151" s="1610"/>
      <c r="D151" s="1611"/>
      <c r="K151" s="24"/>
      <c r="L151" s="24"/>
    </row>
    <row r="152" spans="1:12" s="121" customFormat="1">
      <c r="A152" s="1610"/>
      <c r="D152" s="1611"/>
      <c r="K152" s="24"/>
      <c r="L152" s="24"/>
    </row>
    <row r="153" spans="1:12" s="121" customFormat="1">
      <c r="A153" s="1610"/>
      <c r="D153" s="1611"/>
      <c r="K153" s="24"/>
      <c r="L153" s="24"/>
    </row>
    <row r="154" spans="1:12" s="121" customFormat="1">
      <c r="A154" s="1610"/>
      <c r="D154" s="1611"/>
      <c r="K154" s="24"/>
      <c r="L154" s="24"/>
    </row>
    <row r="155" spans="1:12" s="121" customFormat="1">
      <c r="A155" s="1610"/>
      <c r="D155" s="1611"/>
      <c r="K155" s="24"/>
      <c r="L155" s="24"/>
    </row>
    <row r="156" spans="1:12" s="121" customFormat="1">
      <c r="A156" s="1610"/>
      <c r="D156" s="1611"/>
      <c r="K156" s="24"/>
      <c r="L156" s="24"/>
    </row>
    <row r="157" spans="1:12" s="121" customFormat="1">
      <c r="A157" s="1610"/>
      <c r="D157" s="1611"/>
      <c r="K157" s="24"/>
      <c r="L157" s="24"/>
    </row>
    <row r="158" spans="1:12" s="121" customFormat="1">
      <c r="A158" s="1610"/>
      <c r="D158" s="1611"/>
      <c r="K158" s="24"/>
      <c r="L158" s="24"/>
    </row>
    <row r="159" spans="1:12" s="121" customFormat="1">
      <c r="A159" s="1610"/>
      <c r="D159" s="1611"/>
      <c r="K159" s="24"/>
      <c r="L159" s="24"/>
    </row>
    <row r="160" spans="1:12" s="121" customFormat="1">
      <c r="A160" s="1610"/>
      <c r="D160" s="1611"/>
      <c r="K160" s="24"/>
      <c r="L160" s="24"/>
    </row>
    <row r="161" spans="1:12" s="121" customFormat="1">
      <c r="A161" s="1610"/>
      <c r="D161" s="1611"/>
      <c r="K161" s="24"/>
      <c r="L161" s="24"/>
    </row>
    <row r="162" spans="1:12" s="121" customFormat="1">
      <c r="A162" s="1610"/>
      <c r="D162" s="1611"/>
      <c r="K162" s="24"/>
      <c r="L162" s="24"/>
    </row>
    <row r="163" spans="1:12" s="121" customFormat="1">
      <c r="A163" s="1610"/>
      <c r="D163" s="1611"/>
      <c r="K163" s="24"/>
      <c r="L163" s="24"/>
    </row>
    <row r="164" spans="1:12" s="121" customFormat="1">
      <c r="A164" s="1610"/>
      <c r="D164" s="1611"/>
      <c r="K164" s="24"/>
      <c r="L164" s="24"/>
    </row>
    <row r="165" spans="1:12" s="121" customFormat="1">
      <c r="A165" s="1610"/>
      <c r="D165" s="1611"/>
      <c r="K165" s="24"/>
      <c r="L165" s="24"/>
    </row>
    <row r="166" spans="1:12" s="121" customFormat="1">
      <c r="A166" s="1610"/>
      <c r="D166" s="1611"/>
      <c r="K166" s="24"/>
      <c r="L166" s="24"/>
    </row>
    <row r="167" spans="1:12" s="121" customFormat="1">
      <c r="A167" s="1610"/>
      <c r="D167" s="1611"/>
      <c r="K167" s="24"/>
      <c r="L167" s="24"/>
    </row>
    <row r="168" spans="1:12" s="121" customFormat="1">
      <c r="A168" s="1610"/>
      <c r="D168" s="1611"/>
      <c r="K168" s="24"/>
      <c r="L168" s="24"/>
    </row>
    <row r="169" spans="1:12" s="121" customFormat="1">
      <c r="A169" s="1610"/>
      <c r="D169" s="1611"/>
      <c r="K169" s="24"/>
      <c r="L169" s="24"/>
    </row>
    <row r="170" spans="1:12" s="121" customFormat="1">
      <c r="A170" s="1610"/>
      <c r="D170" s="1611"/>
      <c r="K170" s="24"/>
      <c r="L170" s="24"/>
    </row>
    <row r="171" spans="1:12" s="121" customFormat="1">
      <c r="A171" s="1610"/>
      <c r="D171" s="1611"/>
      <c r="K171" s="24"/>
      <c r="L171" s="24"/>
    </row>
    <row r="172" spans="1:12" s="121" customFormat="1">
      <c r="A172" s="1610"/>
      <c r="D172" s="1611"/>
      <c r="K172" s="24"/>
      <c r="L172" s="24"/>
    </row>
    <row r="173" spans="1:12" s="121" customFormat="1">
      <c r="A173" s="1610"/>
      <c r="D173" s="1611"/>
      <c r="K173" s="24"/>
      <c r="L173" s="24"/>
    </row>
    <row r="174" spans="1:12" s="121" customFormat="1">
      <c r="A174" s="1610"/>
      <c r="D174" s="1611"/>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516"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5" customWidth="1"/>
    <col min="19" max="29" width="9" style="745"/>
    <col min="30" max="16384" width="9" style="1516"/>
  </cols>
  <sheetData>
    <row r="1" spans="1:29" s="2251" customFormat="1" ht="18.75" thickBot="1">
      <c r="A1" s="3260" t="s">
        <v>2281</v>
      </c>
      <c r="B1" s="3261"/>
      <c r="C1" s="3261"/>
      <c r="D1" s="3261"/>
      <c r="E1" s="3261"/>
      <c r="F1" s="3261"/>
      <c r="G1" s="3261"/>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2277</v>
      </c>
      <c r="D2" s="1589"/>
      <c r="E2" s="2252"/>
      <c r="F2" s="2255"/>
      <c r="G2" s="2254" t="s">
        <v>2278</v>
      </c>
      <c r="H2" s="745"/>
      <c r="I2" s="745"/>
      <c r="J2" s="745"/>
      <c r="K2" s="745"/>
      <c r="L2" s="745"/>
      <c r="M2" s="745"/>
      <c r="N2" s="745"/>
      <c r="O2" s="745"/>
      <c r="P2" s="745"/>
      <c r="Q2" s="745"/>
    </row>
    <row r="3" spans="1:29" ht="48">
      <c r="A3" s="2239" t="s">
        <v>2279</v>
      </c>
      <c r="B3" s="2256" t="s">
        <v>2251</v>
      </c>
      <c r="C3" s="2257" t="s">
        <v>3432</v>
      </c>
      <c r="D3" s="2258"/>
      <c r="E3" s="2240" t="s">
        <v>2279</v>
      </c>
      <c r="F3" s="2259" t="s">
        <v>2252</v>
      </c>
      <c r="G3" s="2260" t="s">
        <v>2280</v>
      </c>
      <c r="H3" s="745"/>
      <c r="I3" s="745"/>
      <c r="J3" s="745"/>
      <c r="K3" s="745"/>
      <c r="L3" s="745"/>
      <c r="M3" s="745"/>
      <c r="N3" s="745"/>
      <c r="O3" s="745"/>
      <c r="P3" s="745"/>
      <c r="Q3" s="745"/>
    </row>
    <row r="4" spans="1:29" ht="36">
      <c r="A4" s="2240"/>
      <c r="B4" s="314" t="s">
        <v>2253</v>
      </c>
      <c r="C4" s="2261"/>
      <c r="D4" s="2258"/>
      <c r="E4" s="2262"/>
      <c r="F4" s="1275" t="s">
        <v>2254</v>
      </c>
      <c r="G4" s="2263" t="s">
        <v>2255</v>
      </c>
      <c r="H4" s="745"/>
      <c r="I4" s="745"/>
      <c r="J4" s="745"/>
      <c r="K4" s="745"/>
      <c r="L4" s="745"/>
      <c r="M4" s="745"/>
      <c r="N4" s="745"/>
      <c r="O4" s="745"/>
      <c r="P4" s="745"/>
      <c r="Q4" s="745"/>
    </row>
    <row r="5" spans="1:29" ht="24">
      <c r="A5" s="2240"/>
      <c r="B5" s="314" t="s">
        <v>2256</v>
      </c>
      <c r="C5" s="2261"/>
      <c r="D5" s="2258"/>
      <c r="E5" s="2262"/>
      <c r="F5" s="314" t="s">
        <v>2257</v>
      </c>
      <c r="G5" s="2263" t="s">
        <v>2258</v>
      </c>
      <c r="H5" s="745"/>
      <c r="I5" s="745"/>
      <c r="J5" s="745"/>
      <c r="K5" s="745"/>
      <c r="L5" s="745"/>
      <c r="M5" s="745"/>
      <c r="N5" s="745"/>
      <c r="O5" s="745"/>
      <c r="P5" s="745"/>
      <c r="Q5" s="745"/>
    </row>
    <row r="6" spans="1:29" ht="36">
      <c r="A6" s="2240"/>
      <c r="B6" s="314" t="s">
        <v>2259</v>
      </c>
      <c r="C6" s="3143" t="s">
        <v>3433</v>
      </c>
      <c r="D6" s="2258"/>
      <c r="E6" s="2262"/>
      <c r="F6" s="314" t="s">
        <v>2260</v>
      </c>
      <c r="G6" s="2263" t="s">
        <v>2261</v>
      </c>
      <c r="H6" s="745"/>
      <c r="I6" s="745"/>
      <c r="J6" s="745"/>
      <c r="K6" s="745"/>
      <c r="L6" s="745"/>
      <c r="M6" s="745"/>
      <c r="N6" s="745"/>
      <c r="O6" s="745"/>
      <c r="P6" s="745"/>
      <c r="Q6" s="745"/>
    </row>
    <row r="7" spans="1:29" ht="24.75" thickBot="1">
      <c r="A7" s="2240"/>
      <c r="B7" s="314" t="s">
        <v>2257</v>
      </c>
      <c r="C7" s="3143" t="s">
        <v>3434</v>
      </c>
      <c r="D7" s="2237"/>
      <c r="E7" s="2264"/>
      <c r="F7" s="2265" t="s">
        <v>2262</v>
      </c>
      <c r="G7" s="2266" t="s">
        <v>2263</v>
      </c>
      <c r="H7" s="745"/>
      <c r="I7" s="745"/>
      <c r="J7" s="745"/>
      <c r="K7" s="745"/>
      <c r="L7" s="745"/>
      <c r="M7" s="745"/>
      <c r="N7" s="745"/>
      <c r="O7" s="745"/>
      <c r="P7" s="745"/>
      <c r="Q7" s="745"/>
    </row>
    <row r="8" spans="1:29">
      <c r="A8" s="2240"/>
      <c r="B8" s="314" t="s">
        <v>2260</v>
      </c>
      <c r="C8" s="2263" t="s">
        <v>3435</v>
      </c>
      <c r="D8" s="2237"/>
      <c r="E8" s="2237"/>
      <c r="F8" s="120"/>
      <c r="G8" s="120"/>
      <c r="H8" s="745"/>
      <c r="I8" s="745"/>
      <c r="J8" s="745"/>
      <c r="K8" s="745"/>
      <c r="L8" s="745"/>
      <c r="M8" s="745"/>
      <c r="N8" s="745"/>
      <c r="O8" s="745"/>
      <c r="P8" s="745"/>
      <c r="Q8" s="745"/>
    </row>
    <row r="9" spans="1:29" ht="24">
      <c r="A9" s="2240"/>
      <c r="B9" s="314" t="s">
        <v>2264</v>
      </c>
      <c r="C9" s="2261" t="s">
        <v>3436</v>
      </c>
      <c r="D9" s="2258"/>
      <c r="E9" s="2237"/>
      <c r="F9" s="120"/>
      <c r="G9" s="120"/>
      <c r="H9" s="745"/>
      <c r="I9" s="745"/>
      <c r="J9" s="745"/>
      <c r="K9" s="745"/>
      <c r="L9" s="745"/>
      <c r="M9" s="745"/>
      <c r="N9" s="745"/>
      <c r="O9" s="745"/>
      <c r="P9" s="745"/>
      <c r="Q9" s="745"/>
    </row>
    <row r="10" spans="1:29" ht="15" thickBot="1">
      <c r="A10" s="2241"/>
      <c r="B10" s="2267" t="s">
        <v>2265</v>
      </c>
      <c r="C10" s="3144" t="s">
        <v>3437</v>
      </c>
      <c r="D10" s="2258"/>
      <c r="E10" s="2258"/>
      <c r="F10" s="120"/>
      <c r="G10" s="120"/>
      <c r="J10" s="2269"/>
      <c r="M10" s="2269"/>
      <c r="P10" s="2269"/>
      <c r="R10" s="2268"/>
    </row>
    <row r="11" spans="1:29">
      <c r="A11" s="2270"/>
      <c r="B11" s="2237"/>
      <c r="C11" s="2258"/>
      <c r="D11" s="2258"/>
      <c r="E11" s="2258"/>
      <c r="F11" s="2237"/>
      <c r="G11" s="2237"/>
      <c r="J11" s="2269"/>
      <c r="M11" s="2269"/>
      <c r="P11" s="2269"/>
      <c r="R11" s="2268"/>
    </row>
    <row r="12" spans="1:29" s="2251" customFormat="1" ht="18">
      <c r="A12" s="2270"/>
      <c r="B12" s="2237"/>
      <c r="C12" s="2258"/>
      <c r="D12" s="2271"/>
      <c r="E12" s="2258"/>
      <c r="F12" s="2237"/>
      <c r="G12" s="2237"/>
      <c r="H12" s="2272"/>
      <c r="I12" s="2272"/>
      <c r="J12" s="2272"/>
      <c r="K12" s="2272"/>
      <c r="L12" s="2273"/>
      <c r="M12" s="2272"/>
      <c r="N12" s="2274"/>
      <c r="O12" s="2274"/>
      <c r="P12" s="2274"/>
      <c r="Q12" s="2274"/>
      <c r="R12" s="2250"/>
      <c r="S12" s="2250"/>
      <c r="T12" s="2250"/>
      <c r="U12" s="2250"/>
      <c r="V12" s="2250"/>
      <c r="W12" s="2250"/>
      <c r="X12" s="2250"/>
      <c r="Y12" s="2250"/>
      <c r="Z12" s="2250"/>
      <c r="AA12" s="2250"/>
      <c r="AB12" s="2250"/>
      <c r="AC12" s="2250"/>
    </row>
    <row r="13" spans="1:29" ht="15.75" thickBot="1">
      <c r="A13" s="2275" t="s">
        <v>2282</v>
      </c>
      <c r="B13" s="2271"/>
      <c r="C13" s="2271"/>
      <c r="D13" s="2270"/>
      <c r="E13" s="2271"/>
      <c r="F13" s="2271"/>
      <c r="G13" s="2271"/>
    </row>
    <row r="14" spans="1:29" ht="15" thickBot="1">
      <c r="A14" s="2276"/>
      <c r="B14" s="2276"/>
      <c r="C14" s="2277" t="s">
        <v>2266</v>
      </c>
      <c r="D14" s="2258"/>
      <c r="E14" s="2278"/>
      <c r="F14" s="2278"/>
      <c r="G14" s="2254" t="s">
        <v>2267</v>
      </c>
    </row>
    <row r="15" spans="1:29" ht="51">
      <c r="A15" s="2242" t="s">
        <v>2268</v>
      </c>
      <c r="B15" s="2279" t="s">
        <v>2251</v>
      </c>
      <c r="C15" s="2280" t="str">
        <f>C3</f>
        <v>估价对象周边居住用地比例、居住小区规模和社区发展完善程度，综合评价居住社区成熟度一般</v>
      </c>
      <c r="D15" s="2258"/>
      <c r="E15" s="2243" t="s">
        <v>2269</v>
      </c>
      <c r="F15" s="2279" t="s">
        <v>2270</v>
      </c>
      <c r="G15" s="2281" t="str">
        <f>G3</f>
        <v>估价对象位于XX开发区，园区建设成熟度XX，产业集聚程度XX</v>
      </c>
    </row>
    <row r="16" spans="1:29" ht="38.25">
      <c r="A16" s="2244"/>
      <c r="B16" s="2282" t="s">
        <v>2253</v>
      </c>
      <c r="C16" s="2283">
        <f>C4</f>
        <v>0</v>
      </c>
      <c r="D16" s="2258"/>
      <c r="E16" s="2245"/>
      <c r="F16" s="2284" t="s">
        <v>2254</v>
      </c>
      <c r="G16" s="2285" t="str">
        <f>G4</f>
        <v>估价对象周边道路状况、公共交通通达情况、停车便捷程度，综合评价交通便捷度较好</v>
      </c>
    </row>
    <row r="17" spans="1:17">
      <c r="A17" s="2244"/>
      <c r="B17" s="2282" t="s">
        <v>2256</v>
      </c>
      <c r="C17" s="2283">
        <f>C5</f>
        <v>0</v>
      </c>
      <c r="D17" s="2237"/>
      <c r="E17" s="2245"/>
      <c r="F17" s="2284" t="s">
        <v>2271</v>
      </c>
      <c r="G17" s="2286"/>
    </row>
    <row r="18" spans="1:17" ht="38.25">
      <c r="A18" s="2244"/>
      <c r="B18" s="2284" t="s">
        <v>2259</v>
      </c>
      <c r="C18" s="2285" t="str">
        <f>C6</f>
        <v>估价对象周边道路状况、公共交通通达情况、停车便捷程度，综合评价交通便捷度一般</v>
      </c>
      <c r="D18" s="2237"/>
      <c r="E18" s="2245"/>
      <c r="F18" s="2284" t="s">
        <v>2262</v>
      </c>
      <c r="G18" s="2285" t="str">
        <f>G7</f>
        <v>该园区内是否有污染型企业，绿化情况，卫生条件，整体环境状况判断</v>
      </c>
    </row>
    <row r="19" spans="1:17" ht="25.5">
      <c r="A19" s="2244"/>
      <c r="B19" s="2284" t="s">
        <v>2272</v>
      </c>
      <c r="C19" s="3145" t="s">
        <v>3440</v>
      </c>
      <c r="D19" s="2258"/>
      <c r="E19" s="2245"/>
      <c r="F19" s="314" t="s">
        <v>2257</v>
      </c>
      <c r="G19" s="2285" t="str">
        <f>G5</f>
        <v>估价对象所在区域公共配套设施齐备情况</v>
      </c>
    </row>
    <row r="20" spans="1:17" ht="25.5">
      <c r="A20" s="2244"/>
      <c r="B20" s="2284" t="s">
        <v>2273</v>
      </c>
      <c r="C20" s="2283" t="str">
        <f>C9</f>
        <v>区域自然环境：；人文环境；综合评价环境状况一般</v>
      </c>
      <c r="D20" s="2237"/>
      <c r="E20" s="2245"/>
      <c r="F20" s="314" t="s">
        <v>2260</v>
      </c>
      <c r="G20" s="2285" t="str">
        <f>G6</f>
        <v>估价对象所在区域基础设施水平</v>
      </c>
    </row>
    <row r="21" spans="1:17" ht="25.5">
      <c r="A21" s="2244"/>
      <c r="B21" s="314" t="s">
        <v>2257</v>
      </c>
      <c r="C21" s="2285" t="str">
        <f>C7</f>
        <v>估价对象所在区域公共配套设施齐备情况一般</v>
      </c>
      <c r="D21" s="2258"/>
      <c r="E21" s="2245"/>
      <c r="F21" s="2284" t="s">
        <v>2274</v>
      </c>
      <c r="G21" s="2287"/>
    </row>
    <row r="22" spans="1:17" ht="13.5" customHeight="1">
      <c r="A22" s="2244"/>
      <c r="B22" s="314" t="s">
        <v>2260</v>
      </c>
      <c r="C22" s="2285" t="str">
        <f>C8</f>
        <v>估价对象所在区域基础设施水平</v>
      </c>
      <c r="D22" s="2258"/>
      <c r="E22" s="2245"/>
      <c r="F22" s="2284" t="s">
        <v>2265</v>
      </c>
      <c r="G22" s="2286"/>
    </row>
    <row r="23" spans="1:17" s="745" customFormat="1" ht="15" thickBot="1">
      <c r="A23" s="2244"/>
      <c r="B23" s="2284" t="s">
        <v>2274</v>
      </c>
      <c r="C23" s="2287" t="s">
        <v>3438</v>
      </c>
      <c r="D23" s="1608"/>
      <c r="E23" s="2246"/>
      <c r="F23" s="2288" t="s">
        <v>2275</v>
      </c>
      <c r="G23" s="2289"/>
      <c r="H23" s="2268"/>
      <c r="I23" s="2268"/>
      <c r="J23" s="2268"/>
      <c r="K23" s="2268"/>
      <c r="L23" s="2268"/>
      <c r="M23" s="2268"/>
      <c r="N23" s="2268"/>
      <c r="O23" s="2268"/>
      <c r="P23" s="2268"/>
      <c r="Q23" s="2268"/>
    </row>
    <row r="24" spans="1:17" s="745" customFormat="1" ht="15" thickBot="1">
      <c r="A24" s="2247"/>
      <c r="B24" s="2288" t="s">
        <v>2276</v>
      </c>
      <c r="C24" s="2290" t="str">
        <f>C10</f>
        <v>次干道</v>
      </c>
      <c r="D24" s="1608"/>
      <c r="E24" s="2237"/>
      <c r="F24" s="2237"/>
      <c r="G24" s="2237"/>
      <c r="H24" s="2268"/>
      <c r="I24" s="2268"/>
      <c r="J24" s="2268"/>
      <c r="K24" s="2268"/>
      <c r="L24" s="2268"/>
      <c r="M24" s="2268"/>
      <c r="N24" s="2268"/>
      <c r="O24" s="2268"/>
      <c r="P24" s="2268"/>
      <c r="Q24" s="2268"/>
    </row>
    <row r="25" spans="1:17" s="745" customFormat="1">
      <c r="B25" s="2268"/>
      <c r="C25" s="2268"/>
      <c r="D25" s="2268"/>
      <c r="H25" s="2268"/>
      <c r="I25" s="2268"/>
      <c r="J25" s="2268"/>
      <c r="K25" s="2268"/>
      <c r="L25" s="2268"/>
      <c r="M25" s="2268"/>
      <c r="N25" s="2268"/>
      <c r="O25" s="2268"/>
      <c r="P25" s="2268"/>
      <c r="Q25" s="2268"/>
    </row>
    <row r="26" spans="1:17" s="745" customFormat="1">
      <c r="B26" s="2268"/>
      <c r="C26" s="2268"/>
      <c r="D26" s="2268"/>
      <c r="H26" s="2268"/>
      <c r="I26" s="2268"/>
      <c r="J26" s="2268"/>
      <c r="K26" s="2268"/>
      <c r="L26" s="2268"/>
      <c r="M26" s="2268"/>
      <c r="N26" s="2268"/>
      <c r="O26" s="2268"/>
      <c r="P26" s="2268"/>
      <c r="Q26" s="2268"/>
    </row>
    <row r="27" spans="1:17" s="745" customFormat="1">
      <c r="B27" s="2268"/>
      <c r="C27" s="2268"/>
      <c r="D27" s="2268"/>
      <c r="H27" s="2268"/>
      <c r="I27" s="2268"/>
      <c r="J27" s="2268"/>
      <c r="K27" s="2268"/>
      <c r="L27" s="2268"/>
      <c r="M27" s="2268"/>
      <c r="N27" s="2268"/>
      <c r="O27" s="2268"/>
      <c r="P27" s="2268"/>
      <c r="Q27" s="2268"/>
    </row>
    <row r="28" spans="1:17" s="745" customFormat="1">
      <c r="B28" s="2268"/>
      <c r="C28" s="2268"/>
      <c r="D28" s="2268"/>
      <c r="H28" s="2268"/>
      <c r="I28" s="2268"/>
      <c r="J28" s="2268"/>
      <c r="K28" s="2268"/>
      <c r="L28" s="2268"/>
      <c r="M28" s="2268"/>
      <c r="N28" s="2268"/>
      <c r="O28" s="2268"/>
      <c r="P28" s="2268"/>
      <c r="Q28" s="2268"/>
    </row>
    <row r="29" spans="1:17" s="745" customFormat="1">
      <c r="B29" s="2268"/>
      <c r="C29" s="2268"/>
      <c r="D29" s="2268"/>
      <c r="H29" s="2268"/>
      <c r="I29" s="2268"/>
      <c r="J29" s="2268"/>
      <c r="K29" s="2268"/>
      <c r="L29" s="2268"/>
      <c r="M29" s="2268"/>
      <c r="N29" s="2268"/>
      <c r="O29" s="2268"/>
      <c r="P29" s="2268"/>
      <c r="Q29" s="2268"/>
    </row>
    <row r="30" spans="1:17" s="745" customFormat="1">
      <c r="B30" s="2268"/>
      <c r="C30" s="2268"/>
      <c r="D30" s="2268"/>
      <c r="H30" s="2268"/>
      <c r="I30" s="2268"/>
      <c r="J30" s="2268"/>
      <c r="K30" s="2268"/>
      <c r="L30" s="2268"/>
      <c r="M30" s="2268"/>
      <c r="N30" s="2268"/>
      <c r="O30" s="2268"/>
      <c r="P30" s="2268"/>
      <c r="Q30" s="2268"/>
    </row>
    <row r="31" spans="1:17" s="745" customFormat="1">
      <c r="B31" s="2268"/>
      <c r="C31" s="2268"/>
      <c r="D31" s="2268"/>
      <c r="H31" s="2268"/>
      <c r="I31" s="2268"/>
      <c r="J31" s="2268"/>
      <c r="K31" s="2268"/>
      <c r="L31" s="2268"/>
      <c r="M31" s="2268"/>
      <c r="N31" s="2268"/>
      <c r="O31" s="2268"/>
      <c r="P31" s="2268"/>
      <c r="Q31" s="2268"/>
    </row>
    <row r="32" spans="1:17" s="745" customFormat="1">
      <c r="B32" s="2268"/>
      <c r="C32" s="2268"/>
      <c r="D32" s="2268"/>
      <c r="H32" s="2268"/>
      <c r="I32" s="2268"/>
      <c r="J32" s="2268"/>
      <c r="K32" s="2268"/>
      <c r="L32" s="2268"/>
      <c r="M32" s="2268"/>
      <c r="N32" s="2268"/>
      <c r="O32" s="2268"/>
      <c r="P32" s="2268"/>
      <c r="Q32" s="2268"/>
    </row>
    <row r="33" spans="2:17" s="745" customFormat="1">
      <c r="B33" s="2268"/>
      <c r="C33" s="2268"/>
      <c r="D33" s="2268"/>
      <c r="H33" s="2268"/>
      <c r="I33" s="2268"/>
      <c r="J33" s="2268"/>
      <c r="K33" s="2268"/>
      <c r="L33" s="2268"/>
      <c r="M33" s="2268"/>
      <c r="N33" s="2268"/>
      <c r="O33" s="2268"/>
      <c r="P33" s="2268"/>
      <c r="Q33" s="2268"/>
    </row>
    <row r="34" spans="2:17" s="745" customFormat="1">
      <c r="B34" s="2268"/>
      <c r="C34" s="2268"/>
      <c r="D34" s="2268"/>
      <c r="H34" s="2268"/>
      <c r="I34" s="2268"/>
      <c r="J34" s="2268"/>
      <c r="K34" s="2268"/>
      <c r="L34" s="2268"/>
      <c r="M34" s="2268"/>
      <c r="N34" s="2268"/>
      <c r="O34" s="2268"/>
      <c r="P34" s="2268"/>
      <c r="Q34" s="2268"/>
    </row>
    <row r="35" spans="2:17" s="745" customFormat="1">
      <c r="B35" s="2268"/>
      <c r="C35" s="2268"/>
      <c r="D35" s="2268"/>
      <c r="H35" s="2268"/>
      <c r="I35" s="2268"/>
      <c r="J35" s="2268"/>
      <c r="K35" s="2268"/>
      <c r="L35" s="2268"/>
      <c r="M35" s="2268"/>
      <c r="N35" s="2268"/>
      <c r="O35" s="2268"/>
      <c r="P35" s="2268"/>
      <c r="Q35" s="2268"/>
    </row>
    <row r="36" spans="2:17" s="745" customFormat="1">
      <c r="B36" s="2268"/>
      <c r="C36" s="2268"/>
      <c r="D36" s="2268"/>
      <c r="H36" s="2268"/>
      <c r="I36" s="2268"/>
      <c r="J36" s="2268"/>
      <c r="K36" s="2268"/>
      <c r="L36" s="2268"/>
      <c r="M36" s="2268"/>
      <c r="N36" s="2268"/>
      <c r="O36" s="2268"/>
      <c r="P36" s="2268"/>
      <c r="Q36" s="2268"/>
    </row>
    <row r="37" spans="2:17" s="745" customFormat="1">
      <c r="B37" s="2268"/>
      <c r="C37" s="2268"/>
      <c r="D37" s="2268"/>
      <c r="H37" s="2268"/>
      <c r="I37" s="2268"/>
      <c r="J37" s="2268"/>
      <c r="K37" s="2268"/>
      <c r="L37" s="2268"/>
      <c r="M37" s="2268"/>
      <c r="N37" s="2268"/>
      <c r="O37" s="2268"/>
      <c r="P37" s="2268"/>
      <c r="Q37" s="2268"/>
    </row>
    <row r="38" spans="2:17" s="745" customFormat="1">
      <c r="B38" s="2268"/>
      <c r="C38" s="2268"/>
      <c r="D38" s="2268"/>
      <c r="E38" s="2268"/>
      <c r="F38" s="2268"/>
      <c r="G38" s="2268"/>
      <c r="H38" s="2268"/>
      <c r="I38" s="2268"/>
      <c r="J38" s="2268"/>
      <c r="K38" s="2268"/>
      <c r="L38" s="2268"/>
      <c r="M38" s="2268"/>
      <c r="N38" s="2268"/>
      <c r="O38" s="2268"/>
      <c r="P38" s="2268"/>
      <c r="Q38" s="2268"/>
    </row>
    <row r="39" spans="2:17" s="745" customFormat="1">
      <c r="B39" s="2268"/>
      <c r="C39" s="2268"/>
      <c r="D39" s="2268"/>
      <c r="E39" s="2268"/>
      <c r="F39" s="2268"/>
      <c r="G39" s="2268"/>
      <c r="H39" s="2268"/>
      <c r="I39" s="2268"/>
      <c r="J39" s="2268"/>
      <c r="K39" s="2268"/>
      <c r="L39" s="2268"/>
      <c r="M39" s="2268"/>
      <c r="N39" s="2268"/>
      <c r="O39" s="2268"/>
      <c r="P39" s="2268"/>
      <c r="Q39" s="2268"/>
    </row>
    <row r="40" spans="2:17" s="745" customFormat="1">
      <c r="B40" s="2268"/>
      <c r="C40" s="2268"/>
      <c r="D40" s="2268"/>
      <c r="E40" s="2268"/>
      <c r="F40" s="2268"/>
      <c r="G40" s="2268"/>
      <c r="H40" s="2268"/>
      <c r="I40" s="2268"/>
      <c r="J40" s="2268"/>
      <c r="K40" s="2268"/>
      <c r="L40" s="2268"/>
      <c r="M40" s="2268"/>
      <c r="N40" s="2268"/>
      <c r="O40" s="2268"/>
      <c r="P40" s="2268"/>
      <c r="Q40" s="2268"/>
    </row>
    <row r="41" spans="2:17" s="745" customFormat="1">
      <c r="B41" s="2268"/>
      <c r="C41" s="2268"/>
      <c r="D41" s="2268"/>
      <c r="E41" s="2268"/>
      <c r="F41" s="2268"/>
      <c r="G41" s="2268"/>
      <c r="H41" s="2268"/>
      <c r="I41" s="2268"/>
      <c r="J41" s="2268"/>
      <c r="K41" s="2268"/>
      <c r="L41" s="2268"/>
      <c r="M41" s="2268"/>
      <c r="N41" s="2268"/>
      <c r="O41" s="2268"/>
      <c r="P41" s="2268"/>
      <c r="Q41" s="2268"/>
    </row>
    <row r="42" spans="2:17" s="745" customFormat="1">
      <c r="B42" s="2268"/>
      <c r="C42" s="2268"/>
      <c r="D42" s="2268"/>
      <c r="E42" s="2268"/>
      <c r="F42" s="2268"/>
      <c r="G42" s="2268"/>
      <c r="H42" s="2268"/>
      <c r="I42" s="2268"/>
      <c r="J42" s="2268"/>
      <c r="K42" s="2268"/>
      <c r="L42" s="2268"/>
      <c r="M42" s="2268"/>
      <c r="N42" s="2268"/>
      <c r="O42" s="2268"/>
      <c r="P42" s="2268"/>
      <c r="Q42" s="2268"/>
    </row>
    <row r="43" spans="2:17" s="745" customFormat="1">
      <c r="B43" s="2268"/>
      <c r="C43" s="2268"/>
      <c r="D43" s="2268"/>
      <c r="E43" s="2268"/>
      <c r="F43" s="2268"/>
      <c r="G43" s="2268"/>
      <c r="H43" s="2268"/>
      <c r="I43" s="2268"/>
      <c r="J43" s="2268"/>
      <c r="K43" s="2268"/>
      <c r="L43" s="2268"/>
      <c r="M43" s="2268"/>
      <c r="N43" s="2268"/>
      <c r="O43" s="2268"/>
      <c r="P43" s="2268"/>
      <c r="Q43" s="2268"/>
    </row>
    <row r="44" spans="2:17" s="745" customFormat="1">
      <c r="B44" s="2268"/>
      <c r="C44" s="2268"/>
      <c r="D44" s="2268"/>
      <c r="E44" s="2268"/>
      <c r="F44" s="2268"/>
      <c r="G44" s="2268"/>
      <c r="H44" s="2268"/>
      <c r="I44" s="2268"/>
      <c r="J44" s="2268"/>
      <c r="K44" s="2268"/>
      <c r="L44" s="2268"/>
      <c r="M44" s="2268"/>
      <c r="N44" s="2268"/>
      <c r="O44" s="2268"/>
      <c r="P44" s="2268"/>
      <c r="Q44" s="2268"/>
    </row>
    <row r="45" spans="2:17" s="745" customFormat="1">
      <c r="B45" s="2268"/>
      <c r="C45" s="2268"/>
      <c r="D45" s="2268"/>
      <c r="E45" s="2268"/>
      <c r="F45" s="2268"/>
      <c r="G45" s="2268"/>
      <c r="H45" s="2268"/>
      <c r="I45" s="2268"/>
      <c r="J45" s="2268"/>
      <c r="K45" s="2268"/>
      <c r="L45" s="2268"/>
      <c r="M45" s="2268"/>
      <c r="N45" s="2268"/>
      <c r="O45" s="2268"/>
      <c r="P45" s="2268"/>
      <c r="Q45" s="2268"/>
    </row>
    <row r="46" spans="2:17" s="745" customFormat="1">
      <c r="B46" s="2268"/>
      <c r="C46" s="2268"/>
      <c r="D46" s="2268"/>
      <c r="E46" s="2268"/>
      <c r="F46" s="2268"/>
      <c r="G46" s="2268"/>
      <c r="H46" s="2268"/>
      <c r="I46" s="2268"/>
      <c r="J46" s="2268"/>
      <c r="K46" s="2268"/>
      <c r="L46" s="2268"/>
      <c r="M46" s="2268"/>
      <c r="N46" s="2268"/>
      <c r="O46" s="2268"/>
      <c r="P46" s="2268"/>
      <c r="Q46" s="2268"/>
    </row>
    <row r="47" spans="2:17" s="745" customFormat="1">
      <c r="B47" s="2268"/>
      <c r="C47" s="2268"/>
      <c r="D47" s="2268"/>
      <c r="E47" s="2268"/>
      <c r="F47" s="2268"/>
      <c r="G47" s="2268"/>
      <c r="H47" s="2268"/>
      <c r="I47" s="2268"/>
      <c r="J47" s="2268"/>
      <c r="K47" s="2268"/>
      <c r="L47" s="2268"/>
      <c r="M47" s="2268"/>
      <c r="N47" s="2268"/>
      <c r="O47" s="2268"/>
      <c r="P47" s="2268"/>
      <c r="Q47" s="2268"/>
    </row>
    <row r="48" spans="2:17" s="745" customFormat="1">
      <c r="B48" s="2268"/>
      <c r="C48" s="2268"/>
      <c r="D48" s="2268"/>
      <c r="E48" s="2268"/>
      <c r="F48" s="2268"/>
      <c r="G48" s="2268"/>
      <c r="H48" s="2268"/>
      <c r="I48" s="2268"/>
      <c r="J48" s="2268"/>
      <c r="K48" s="2268"/>
      <c r="L48" s="2268"/>
      <c r="M48" s="2268"/>
      <c r="N48" s="2268"/>
      <c r="O48" s="2268"/>
      <c r="P48" s="2268"/>
      <c r="Q48" s="2268"/>
    </row>
    <row r="49" spans="2:17" s="745" customFormat="1">
      <c r="B49" s="2268"/>
      <c r="C49" s="2268"/>
      <c r="D49" s="2268"/>
      <c r="E49" s="2268"/>
      <c r="F49" s="2268"/>
      <c r="G49" s="2268"/>
      <c r="H49" s="2268"/>
      <c r="I49" s="2268"/>
      <c r="J49" s="2268"/>
      <c r="K49" s="2268"/>
      <c r="L49" s="2268"/>
      <c r="M49" s="2268"/>
      <c r="N49" s="2268"/>
      <c r="O49" s="2268"/>
      <c r="P49" s="2268"/>
      <c r="Q49" s="2268"/>
    </row>
    <row r="50" spans="2:17" s="745" customFormat="1">
      <c r="B50" s="2268"/>
      <c r="C50" s="2268"/>
      <c r="D50" s="2268"/>
      <c r="E50" s="2268"/>
      <c r="F50" s="2268"/>
      <c r="G50" s="2268"/>
      <c r="H50" s="2268"/>
      <c r="I50" s="2268"/>
      <c r="J50" s="2268"/>
      <c r="K50" s="2268"/>
      <c r="L50" s="2268"/>
      <c r="M50" s="2268"/>
      <c r="N50" s="2268"/>
      <c r="O50" s="2268"/>
      <c r="P50" s="2268"/>
      <c r="Q50" s="2268"/>
    </row>
    <row r="51" spans="2:17" s="745" customFormat="1">
      <c r="B51" s="2268"/>
      <c r="C51" s="2268"/>
      <c r="D51" s="2268"/>
      <c r="E51" s="2268"/>
      <c r="F51" s="2268"/>
      <c r="G51" s="2268"/>
      <c r="H51" s="2268"/>
      <c r="I51" s="2268"/>
      <c r="J51" s="2268"/>
      <c r="K51" s="2268"/>
      <c r="L51" s="2268"/>
      <c r="M51" s="2268"/>
      <c r="N51" s="2268"/>
      <c r="O51" s="2268"/>
      <c r="P51" s="2268"/>
      <c r="Q51" s="2268"/>
    </row>
    <row r="52" spans="2:17" s="745" customFormat="1">
      <c r="B52" s="2268"/>
      <c r="C52" s="2268"/>
      <c r="D52" s="2268"/>
      <c r="E52" s="2268"/>
      <c r="F52" s="2268"/>
      <c r="G52" s="2268"/>
      <c r="H52" s="2268"/>
      <c r="I52" s="2268"/>
      <c r="J52" s="2268"/>
      <c r="K52" s="2268"/>
      <c r="L52" s="2268"/>
      <c r="M52" s="2268"/>
      <c r="N52" s="2268"/>
      <c r="O52" s="2268"/>
      <c r="P52" s="2268"/>
      <c r="Q52" s="2268"/>
    </row>
    <row r="53" spans="2:17" s="745" customFormat="1">
      <c r="B53" s="2268"/>
      <c r="C53" s="2268"/>
      <c r="D53" s="2268"/>
      <c r="E53" s="2268"/>
      <c r="F53" s="2268"/>
      <c r="G53" s="2268"/>
      <c r="H53" s="2268"/>
      <c r="I53" s="2268"/>
      <c r="J53" s="2268"/>
      <c r="K53" s="2268"/>
      <c r="L53" s="2268"/>
      <c r="M53" s="2268"/>
      <c r="N53" s="2268"/>
      <c r="O53" s="2268"/>
      <c r="P53" s="2268"/>
      <c r="Q53" s="2268"/>
    </row>
    <row r="54" spans="2:17" s="745" customFormat="1">
      <c r="B54" s="2268"/>
      <c r="C54" s="2268"/>
      <c r="D54" s="2268"/>
      <c r="E54" s="2268"/>
      <c r="F54" s="2268"/>
      <c r="G54" s="2268"/>
      <c r="H54" s="2268"/>
      <c r="I54" s="2268"/>
      <c r="J54" s="2268"/>
      <c r="K54" s="2268"/>
      <c r="L54" s="2268"/>
      <c r="M54" s="2268"/>
      <c r="N54" s="2268"/>
      <c r="O54" s="2268"/>
      <c r="P54" s="2268"/>
      <c r="Q54" s="2268"/>
    </row>
    <row r="55" spans="2:17" s="745" customFormat="1">
      <c r="B55" s="2268"/>
      <c r="C55" s="2268"/>
      <c r="D55" s="2268"/>
      <c r="E55" s="2268"/>
      <c r="F55" s="2268"/>
      <c r="G55" s="2268"/>
      <c r="H55" s="2268"/>
      <c r="I55" s="2268"/>
      <c r="J55" s="2268"/>
      <c r="K55" s="2268"/>
      <c r="L55" s="2268"/>
      <c r="M55" s="2268"/>
      <c r="N55" s="2268"/>
      <c r="O55" s="2268"/>
      <c r="P55" s="2268"/>
      <c r="Q55" s="2268"/>
    </row>
    <row r="56" spans="2:17" s="745" customFormat="1">
      <c r="B56" s="2268"/>
      <c r="C56" s="2268"/>
      <c r="D56" s="2268"/>
      <c r="E56" s="2268"/>
      <c r="F56" s="2268"/>
      <c r="G56" s="2268"/>
      <c r="H56" s="2268"/>
      <c r="I56" s="2268"/>
      <c r="J56" s="2268"/>
      <c r="K56" s="2268"/>
      <c r="L56" s="2268"/>
      <c r="M56" s="2268"/>
      <c r="N56" s="2268"/>
      <c r="O56" s="2268"/>
      <c r="P56" s="2268"/>
      <c r="Q56" s="2268"/>
    </row>
    <row r="57" spans="2:17" s="745" customFormat="1">
      <c r="B57" s="2268"/>
      <c r="C57" s="2268"/>
      <c r="D57" s="2268"/>
      <c r="E57" s="2268"/>
      <c r="F57" s="2268"/>
      <c r="G57" s="2268"/>
      <c r="H57" s="2268"/>
      <c r="I57" s="2268"/>
      <c r="J57" s="2268"/>
      <c r="K57" s="2268"/>
      <c r="L57" s="2268"/>
      <c r="M57" s="2268"/>
      <c r="N57" s="2268"/>
      <c r="O57" s="2268"/>
      <c r="P57" s="2268"/>
      <c r="Q57" s="2268"/>
    </row>
    <row r="58" spans="2:17" s="745" customFormat="1">
      <c r="B58" s="2268"/>
      <c r="C58" s="2268"/>
      <c r="D58" s="2268"/>
      <c r="E58" s="2268"/>
      <c r="F58" s="2268"/>
      <c r="G58" s="2268"/>
      <c r="H58" s="2268"/>
      <c r="I58" s="2268"/>
      <c r="J58" s="2268"/>
      <c r="K58" s="2268"/>
      <c r="L58" s="2268"/>
      <c r="M58" s="2268"/>
      <c r="N58" s="2268"/>
      <c r="O58" s="2268"/>
      <c r="P58" s="2268"/>
      <c r="Q58" s="2268"/>
    </row>
    <row r="59" spans="2:17" s="745" customFormat="1">
      <c r="B59" s="2268"/>
      <c r="C59" s="2268"/>
      <c r="D59" s="2268"/>
      <c r="E59" s="2268"/>
      <c r="F59" s="2268"/>
      <c r="G59" s="2268"/>
      <c r="H59" s="2268"/>
      <c r="I59" s="2268"/>
      <c r="J59" s="2268"/>
      <c r="K59" s="2268"/>
      <c r="L59" s="2268"/>
      <c r="M59" s="2268"/>
      <c r="N59" s="2268"/>
      <c r="O59" s="2268"/>
      <c r="P59" s="2268"/>
      <c r="Q59" s="2268"/>
    </row>
    <row r="60" spans="2:17" s="745" customFormat="1">
      <c r="B60" s="2268"/>
      <c r="C60" s="2268"/>
      <c r="D60" s="2268"/>
      <c r="E60" s="2268"/>
      <c r="F60" s="2268"/>
      <c r="G60" s="2268"/>
      <c r="H60" s="2268"/>
      <c r="I60" s="2268"/>
      <c r="J60" s="2268"/>
      <c r="K60" s="2268"/>
      <c r="L60" s="2268"/>
      <c r="M60" s="2268"/>
      <c r="N60" s="2268"/>
      <c r="O60" s="2268"/>
      <c r="P60" s="2268"/>
      <c r="Q60" s="2268"/>
    </row>
    <row r="61" spans="2:17" s="745" customFormat="1">
      <c r="B61" s="2268"/>
      <c r="C61" s="2268"/>
      <c r="D61" s="2268"/>
      <c r="E61" s="2268"/>
      <c r="F61" s="2268"/>
      <c r="G61" s="2268"/>
      <c r="H61" s="2268"/>
      <c r="I61" s="2268"/>
      <c r="J61" s="2268"/>
      <c r="K61" s="2268"/>
      <c r="L61" s="2268"/>
      <c r="M61" s="2268"/>
      <c r="N61" s="2268"/>
      <c r="O61" s="2268"/>
      <c r="P61" s="2268"/>
      <c r="Q61" s="2268"/>
    </row>
    <row r="62" spans="2:17" s="745" customFormat="1">
      <c r="B62" s="2268"/>
      <c r="C62" s="2268"/>
      <c r="D62" s="2268"/>
      <c r="E62" s="2268"/>
      <c r="F62" s="2268"/>
      <c r="G62" s="2268"/>
      <c r="H62" s="2268"/>
      <c r="I62" s="2268"/>
      <c r="J62" s="2268"/>
      <c r="K62" s="2268"/>
      <c r="L62" s="2268"/>
      <c r="M62" s="2268"/>
      <c r="N62" s="2268"/>
      <c r="O62" s="2268"/>
      <c r="P62" s="2268"/>
      <c r="Q62" s="2268"/>
    </row>
    <row r="63" spans="2:17" s="745" customFormat="1">
      <c r="B63" s="2268"/>
      <c r="C63" s="2268"/>
      <c r="D63" s="2268"/>
      <c r="E63" s="2268"/>
      <c r="F63" s="2268"/>
      <c r="G63" s="2268"/>
      <c r="H63" s="2268"/>
      <c r="I63" s="2268"/>
      <c r="J63" s="2268"/>
      <c r="K63" s="2268"/>
      <c r="L63" s="2268"/>
      <c r="M63" s="2268"/>
      <c r="N63" s="2268"/>
      <c r="O63" s="2268"/>
      <c r="P63" s="2268"/>
      <c r="Q63" s="2268"/>
    </row>
    <row r="64" spans="2:17" s="745" customFormat="1">
      <c r="B64" s="2268"/>
      <c r="C64" s="2268"/>
      <c r="D64" s="2268"/>
      <c r="E64" s="2268"/>
      <c r="F64" s="2268"/>
      <c r="G64" s="2268"/>
      <c r="H64" s="2268"/>
      <c r="I64" s="2268"/>
      <c r="J64" s="2268"/>
      <c r="K64" s="2268"/>
      <c r="L64" s="2268"/>
      <c r="M64" s="2268"/>
      <c r="N64" s="2268"/>
      <c r="O64" s="2268"/>
      <c r="P64" s="2268"/>
      <c r="Q64" s="2268"/>
    </row>
    <row r="65" spans="2:17" s="745" customFormat="1">
      <c r="B65" s="2268"/>
      <c r="C65" s="2268"/>
      <c r="D65" s="2268"/>
      <c r="E65" s="2268"/>
      <c r="F65" s="2268"/>
      <c r="G65" s="2268"/>
      <c r="H65" s="2268"/>
      <c r="I65" s="2268"/>
      <c r="J65" s="2268"/>
      <c r="K65" s="2268"/>
      <c r="L65" s="2268"/>
      <c r="M65" s="2268"/>
      <c r="N65" s="2268"/>
      <c r="O65" s="2268"/>
      <c r="P65" s="2268"/>
      <c r="Q65" s="2268"/>
    </row>
    <row r="66" spans="2:17" s="745" customFormat="1">
      <c r="B66" s="2268"/>
      <c r="C66" s="2268"/>
      <c r="D66" s="2268"/>
      <c r="E66" s="2268"/>
      <c r="F66" s="2268"/>
      <c r="G66" s="2268"/>
      <c r="H66" s="2268"/>
      <c r="I66" s="2268"/>
      <c r="J66" s="2268"/>
      <c r="K66" s="2268"/>
      <c r="L66" s="2268"/>
      <c r="M66" s="2268"/>
      <c r="N66" s="2268"/>
      <c r="O66" s="2268"/>
      <c r="P66" s="2268"/>
      <c r="Q66" s="2268"/>
    </row>
    <row r="67" spans="2:17" s="745" customFormat="1">
      <c r="B67" s="2268"/>
      <c r="C67" s="2268"/>
      <c r="D67" s="2268"/>
      <c r="E67" s="2268"/>
      <c r="F67" s="2268"/>
      <c r="G67" s="2268"/>
      <c r="H67" s="2268"/>
      <c r="I67" s="2268"/>
      <c r="J67" s="2268"/>
      <c r="K67" s="2268"/>
      <c r="L67" s="2268"/>
      <c r="M67" s="2268"/>
      <c r="N67" s="2268"/>
      <c r="O67" s="2268"/>
      <c r="P67" s="2268"/>
      <c r="Q67" s="2268"/>
    </row>
    <row r="68" spans="2:17" s="745" customFormat="1">
      <c r="B68" s="2268"/>
      <c r="C68" s="2268"/>
      <c r="D68" s="2268"/>
      <c r="E68" s="2268"/>
      <c r="F68" s="2268"/>
      <c r="G68" s="2268"/>
      <c r="H68" s="2268"/>
      <c r="I68" s="2268"/>
      <c r="J68" s="2268"/>
      <c r="K68" s="2268"/>
      <c r="L68" s="2268"/>
      <c r="M68" s="2268"/>
      <c r="N68" s="2268"/>
      <c r="O68" s="2268"/>
      <c r="P68" s="2268"/>
      <c r="Q68" s="2268"/>
    </row>
    <row r="69" spans="2:17" s="745" customFormat="1">
      <c r="B69" s="2268"/>
      <c r="C69" s="2268"/>
      <c r="D69" s="2268"/>
      <c r="E69" s="2268"/>
      <c r="F69" s="2268"/>
      <c r="G69" s="2268"/>
      <c r="H69" s="2268"/>
      <c r="I69" s="2268"/>
      <c r="J69" s="2268"/>
      <c r="K69" s="2268"/>
      <c r="L69" s="2268"/>
      <c r="M69" s="2268"/>
      <c r="N69" s="2268"/>
      <c r="O69" s="2268"/>
      <c r="P69" s="2268"/>
      <c r="Q69" s="2268"/>
    </row>
    <row r="70" spans="2:17" s="745" customFormat="1">
      <c r="B70" s="2268"/>
      <c r="C70" s="2268"/>
      <c r="D70" s="2268"/>
      <c r="E70" s="2268"/>
      <c r="F70" s="2268"/>
      <c r="G70" s="2268"/>
      <c r="H70" s="2268"/>
      <c r="I70" s="2268"/>
      <c r="J70" s="2268"/>
      <c r="K70" s="2268"/>
      <c r="L70" s="2268"/>
      <c r="M70" s="2268"/>
      <c r="N70" s="2268"/>
      <c r="O70" s="2268"/>
      <c r="P70" s="2268"/>
      <c r="Q70" s="2268"/>
    </row>
    <row r="71" spans="2:17" s="745" customFormat="1">
      <c r="B71" s="2268"/>
      <c r="C71" s="2268"/>
      <c r="D71" s="2268"/>
      <c r="E71" s="2268"/>
      <c r="F71" s="2268"/>
      <c r="G71" s="2268"/>
      <c r="H71" s="2268"/>
      <c r="I71" s="2268"/>
      <c r="J71" s="2268"/>
      <c r="K71" s="2268"/>
      <c r="L71" s="2268"/>
      <c r="M71" s="2268"/>
      <c r="N71" s="2268"/>
      <c r="O71" s="2268"/>
      <c r="P71" s="2268"/>
      <c r="Q71" s="2268"/>
    </row>
    <row r="72" spans="2:17" s="745" customFormat="1">
      <c r="B72" s="2268"/>
      <c r="C72" s="2268"/>
      <c r="D72" s="2268"/>
      <c r="E72" s="2268"/>
      <c r="F72" s="2268"/>
      <c r="G72" s="2268"/>
      <c r="H72" s="2268"/>
      <c r="I72" s="2268"/>
      <c r="J72" s="2268"/>
      <c r="K72" s="2268"/>
      <c r="L72" s="2268"/>
      <c r="M72" s="2268"/>
      <c r="N72" s="2268"/>
      <c r="O72" s="2268"/>
      <c r="P72" s="2268"/>
      <c r="Q72" s="2268"/>
    </row>
    <row r="73" spans="2:17" s="745" customFormat="1">
      <c r="B73" s="2268"/>
      <c r="C73" s="2268"/>
      <c r="D73" s="2268"/>
      <c r="E73" s="2268"/>
      <c r="F73" s="2268"/>
      <c r="G73" s="2268"/>
      <c r="H73" s="2268"/>
      <c r="I73" s="2268"/>
      <c r="J73" s="2268"/>
      <c r="K73" s="2268"/>
      <c r="L73" s="2268"/>
      <c r="M73" s="2268"/>
      <c r="N73" s="2268"/>
      <c r="O73" s="2268"/>
      <c r="P73" s="2268"/>
      <c r="Q73" s="2268"/>
    </row>
    <row r="74" spans="2:17" s="745" customFormat="1">
      <c r="B74" s="2268"/>
      <c r="C74" s="2268"/>
      <c r="D74" s="2268"/>
      <c r="E74" s="2268"/>
      <c r="F74" s="2268"/>
      <c r="G74" s="2268"/>
      <c r="H74" s="2268"/>
      <c r="I74" s="2268"/>
      <c r="J74" s="2268"/>
      <c r="K74" s="2268"/>
      <c r="L74" s="2268"/>
      <c r="M74" s="2268"/>
      <c r="N74" s="2268"/>
      <c r="O74" s="2268"/>
      <c r="P74" s="2268"/>
      <c r="Q74" s="2268"/>
    </row>
    <row r="75" spans="2:17" s="745" customFormat="1">
      <c r="B75" s="2268"/>
      <c r="C75" s="2268"/>
      <c r="D75" s="2268"/>
      <c r="E75" s="2268"/>
      <c r="F75" s="2268"/>
      <c r="G75" s="2268"/>
      <c r="H75" s="2268"/>
      <c r="I75" s="2268"/>
      <c r="J75" s="2268"/>
      <c r="K75" s="2268"/>
      <c r="L75" s="2268"/>
      <c r="M75" s="2268"/>
      <c r="N75" s="2268"/>
      <c r="O75" s="2268"/>
      <c r="P75" s="2268"/>
      <c r="Q75" s="2268"/>
    </row>
    <row r="76" spans="2:17" s="745" customFormat="1">
      <c r="B76" s="2268"/>
      <c r="C76" s="2268"/>
      <c r="D76" s="2268"/>
      <c r="E76" s="2268"/>
      <c r="F76" s="2268"/>
      <c r="G76" s="2268"/>
      <c r="H76" s="2268"/>
      <c r="I76" s="2268"/>
      <c r="J76" s="2268"/>
      <c r="K76" s="2268"/>
      <c r="L76" s="2268"/>
      <c r="M76" s="2268"/>
      <c r="N76" s="2268"/>
      <c r="O76" s="2268"/>
      <c r="P76" s="2268"/>
      <c r="Q76" s="2268"/>
    </row>
    <row r="77" spans="2:17" s="745" customFormat="1">
      <c r="B77" s="2268"/>
      <c r="C77" s="2268"/>
      <c r="D77" s="2268"/>
      <c r="E77" s="2268"/>
      <c r="F77" s="2268"/>
      <c r="G77" s="2268"/>
      <c r="H77" s="2268"/>
      <c r="I77" s="2268"/>
      <c r="J77" s="2268"/>
      <c r="K77" s="2268"/>
      <c r="L77" s="2268"/>
      <c r="M77" s="2268"/>
      <c r="N77" s="2268"/>
      <c r="O77" s="2268"/>
      <c r="P77" s="2268"/>
      <c r="Q77" s="2268"/>
    </row>
    <row r="78" spans="2:17" s="745" customFormat="1">
      <c r="B78" s="2268"/>
      <c r="C78" s="2268"/>
      <c r="D78" s="2268"/>
      <c r="E78" s="2268"/>
      <c r="F78" s="2268"/>
      <c r="G78" s="2268"/>
      <c r="H78" s="2268"/>
      <c r="I78" s="2268"/>
      <c r="J78" s="2268"/>
      <c r="K78" s="2268"/>
      <c r="L78" s="2268"/>
      <c r="M78" s="2268"/>
      <c r="N78" s="2268"/>
      <c r="O78" s="2268"/>
      <c r="P78" s="2268"/>
      <c r="Q78" s="2268"/>
    </row>
    <row r="79" spans="2:17" s="745" customFormat="1">
      <c r="B79" s="2268"/>
      <c r="C79" s="2268"/>
      <c r="D79" s="2268"/>
      <c r="E79" s="2268"/>
      <c r="F79" s="2268"/>
      <c r="G79" s="2268"/>
      <c r="H79" s="2268"/>
      <c r="I79" s="2268"/>
      <c r="J79" s="2268"/>
      <c r="K79" s="2268"/>
      <c r="L79" s="2268"/>
      <c r="M79" s="2268"/>
      <c r="N79" s="2268"/>
      <c r="O79" s="2268"/>
      <c r="P79" s="2268"/>
      <c r="Q79" s="2268"/>
    </row>
    <row r="80" spans="2:17" s="745" customFormat="1">
      <c r="B80" s="2268"/>
      <c r="C80" s="2268"/>
      <c r="D80" s="2268"/>
      <c r="E80" s="2268"/>
      <c r="F80" s="2268"/>
      <c r="G80" s="2268"/>
      <c r="H80" s="2268"/>
      <c r="I80" s="2268"/>
      <c r="J80" s="2268"/>
      <c r="K80" s="2268"/>
      <c r="L80" s="2268"/>
      <c r="M80" s="2268"/>
      <c r="N80" s="2268"/>
      <c r="O80" s="2268"/>
      <c r="P80" s="2268"/>
      <c r="Q80" s="2268"/>
    </row>
    <row r="81" spans="2:17" s="745" customFormat="1">
      <c r="B81" s="2268"/>
      <c r="C81" s="2268"/>
      <c r="D81" s="2268"/>
      <c r="E81" s="2268"/>
      <c r="F81" s="2268"/>
      <c r="G81" s="2268"/>
      <c r="H81" s="2268"/>
      <c r="I81" s="2268"/>
      <c r="J81" s="2268"/>
      <c r="K81" s="2268"/>
      <c r="L81" s="2268"/>
      <c r="M81" s="2268"/>
      <c r="N81" s="2268"/>
      <c r="O81" s="2268"/>
      <c r="P81" s="2268"/>
      <c r="Q81" s="2268"/>
    </row>
    <row r="82" spans="2:17" s="745" customFormat="1">
      <c r="B82" s="2268"/>
      <c r="C82" s="2268"/>
      <c r="D82" s="2268"/>
      <c r="E82" s="2268"/>
      <c r="F82" s="2268"/>
      <c r="G82" s="2268"/>
      <c r="H82" s="2268"/>
      <c r="I82" s="2268"/>
      <c r="J82" s="2268"/>
      <c r="K82" s="2268"/>
      <c r="L82" s="2268"/>
      <c r="M82" s="2268"/>
      <c r="N82" s="2268"/>
      <c r="O82" s="2268"/>
      <c r="P82" s="2268"/>
      <c r="Q82" s="2268"/>
    </row>
    <row r="83" spans="2:17" s="745" customFormat="1">
      <c r="B83" s="2268"/>
      <c r="C83" s="2268"/>
      <c r="D83" s="2268"/>
      <c r="E83" s="2268"/>
      <c r="F83" s="2268"/>
      <c r="G83" s="2268"/>
      <c r="H83" s="2268"/>
      <c r="I83" s="2268"/>
      <c r="J83" s="2268"/>
      <c r="K83" s="2268"/>
      <c r="L83" s="2268"/>
      <c r="M83" s="2268"/>
      <c r="N83" s="2268"/>
      <c r="O83" s="2268"/>
      <c r="P83" s="2268"/>
      <c r="Q83" s="2268"/>
    </row>
    <row r="84" spans="2:17" s="745" customFormat="1">
      <c r="B84" s="2268"/>
      <c r="C84" s="2268"/>
      <c r="D84" s="2268"/>
      <c r="E84" s="2268"/>
      <c r="F84" s="2268"/>
      <c r="G84" s="2268"/>
      <c r="H84" s="2268"/>
      <c r="I84" s="2268"/>
      <c r="J84" s="2268"/>
      <c r="K84" s="2268"/>
      <c r="L84" s="2268"/>
      <c r="M84" s="2268"/>
      <c r="N84" s="2268"/>
      <c r="O84" s="2268"/>
      <c r="P84" s="2268"/>
      <c r="Q84" s="2268"/>
    </row>
    <row r="85" spans="2:17" s="745" customFormat="1">
      <c r="B85" s="2268"/>
      <c r="C85" s="2268"/>
      <c r="D85" s="2268"/>
      <c r="E85" s="2268"/>
      <c r="F85" s="2268"/>
      <c r="G85" s="2268"/>
      <c r="H85" s="2268"/>
      <c r="I85" s="2268"/>
      <c r="J85" s="2268"/>
      <c r="K85" s="2268"/>
      <c r="L85" s="2268"/>
      <c r="M85" s="2268"/>
      <c r="N85" s="2268"/>
      <c r="O85" s="2268"/>
      <c r="P85" s="2268"/>
      <c r="Q85" s="2268"/>
    </row>
    <row r="86" spans="2:17" s="745" customFormat="1">
      <c r="B86" s="2268"/>
      <c r="C86" s="2268"/>
      <c r="D86" s="2268"/>
      <c r="E86" s="2268"/>
      <c r="F86" s="2268"/>
      <c r="G86" s="2268"/>
      <c r="H86" s="2268"/>
      <c r="I86" s="2268"/>
      <c r="J86" s="2268"/>
      <c r="K86" s="2268"/>
      <c r="L86" s="2268"/>
      <c r="M86" s="2268"/>
      <c r="N86" s="2268"/>
      <c r="O86" s="2268"/>
      <c r="P86" s="2268"/>
      <c r="Q86" s="2268"/>
    </row>
    <row r="87" spans="2:17" s="745" customFormat="1">
      <c r="B87" s="2268"/>
      <c r="C87" s="2268"/>
      <c r="D87" s="2268"/>
      <c r="E87" s="2268"/>
      <c r="F87" s="2268"/>
      <c r="G87" s="2268"/>
      <c r="H87" s="2268"/>
      <c r="I87" s="2268"/>
      <c r="J87" s="2268"/>
      <c r="K87" s="2268"/>
      <c r="L87" s="2268"/>
      <c r="M87" s="2268"/>
      <c r="N87" s="2268"/>
      <c r="O87" s="2268"/>
      <c r="P87" s="2268"/>
      <c r="Q87" s="2268"/>
    </row>
    <row r="88" spans="2:17" s="745" customFormat="1">
      <c r="B88" s="2268"/>
      <c r="C88" s="2268"/>
      <c r="D88" s="2268"/>
      <c r="E88" s="2268"/>
      <c r="F88" s="2268"/>
      <c r="G88" s="2268"/>
      <c r="H88" s="2268"/>
      <c r="I88" s="2268"/>
      <c r="J88" s="2268"/>
      <c r="K88" s="2268"/>
      <c r="L88" s="2268"/>
      <c r="M88" s="2268"/>
      <c r="N88" s="2268"/>
      <c r="O88" s="2268"/>
      <c r="P88" s="2268"/>
      <c r="Q88" s="2268"/>
    </row>
    <row r="89" spans="2:17" s="745" customFormat="1">
      <c r="B89" s="2268"/>
      <c r="C89" s="2268"/>
      <c r="D89" s="2268"/>
      <c r="E89" s="2268"/>
      <c r="F89" s="2268"/>
      <c r="G89" s="2268"/>
      <c r="H89" s="2268"/>
      <c r="I89" s="2268"/>
      <c r="J89" s="2268"/>
      <c r="K89" s="2268"/>
      <c r="L89" s="2268"/>
      <c r="M89" s="2268"/>
      <c r="N89" s="2268"/>
      <c r="O89" s="2268"/>
      <c r="P89" s="2268"/>
      <c r="Q89" s="2268"/>
    </row>
    <row r="90" spans="2:17" s="745" customFormat="1">
      <c r="B90" s="2268"/>
      <c r="C90" s="2268"/>
      <c r="D90" s="2268"/>
      <c r="E90" s="2268"/>
      <c r="F90" s="2268"/>
      <c r="G90" s="2268"/>
      <c r="H90" s="2268"/>
      <c r="I90" s="2268"/>
      <c r="J90" s="2268"/>
      <c r="K90" s="2268"/>
      <c r="L90" s="2268"/>
      <c r="M90" s="2268"/>
      <c r="N90" s="2268"/>
      <c r="O90" s="2268"/>
      <c r="P90" s="2268"/>
      <c r="Q90" s="2268"/>
    </row>
    <row r="91" spans="2:17" s="745" customFormat="1">
      <c r="B91" s="2268"/>
      <c r="C91" s="2268"/>
      <c r="D91" s="2268"/>
      <c r="E91" s="2268"/>
      <c r="F91" s="2268"/>
      <c r="G91" s="2268"/>
      <c r="H91" s="2268"/>
      <c r="I91" s="2268"/>
      <c r="J91" s="2268"/>
      <c r="K91" s="2268"/>
      <c r="L91" s="2268"/>
      <c r="M91" s="2268"/>
      <c r="N91" s="2268"/>
      <c r="O91" s="2268"/>
      <c r="P91" s="2268"/>
      <c r="Q91" s="2268"/>
    </row>
    <row r="92" spans="2:17" s="745" customFormat="1">
      <c r="B92" s="2268"/>
      <c r="C92" s="2268"/>
      <c r="D92" s="2268"/>
      <c r="E92" s="2268"/>
      <c r="F92" s="2268"/>
      <c r="G92" s="2268"/>
      <c r="H92" s="2268"/>
      <c r="I92" s="2268"/>
      <c r="J92" s="2268"/>
      <c r="K92" s="2268"/>
      <c r="L92" s="2268"/>
      <c r="M92" s="2268"/>
      <c r="N92" s="2268"/>
      <c r="O92" s="2268"/>
      <c r="P92" s="2268"/>
      <c r="Q92" s="2268"/>
    </row>
    <row r="93" spans="2:17" s="745" customFormat="1">
      <c r="B93" s="2268"/>
      <c r="C93" s="2268"/>
      <c r="D93" s="2268"/>
      <c r="E93" s="2268"/>
      <c r="F93" s="2268"/>
      <c r="G93" s="2268"/>
      <c r="H93" s="2268"/>
      <c r="I93" s="2268"/>
      <c r="J93" s="2268"/>
      <c r="K93" s="2268"/>
      <c r="L93" s="2268"/>
      <c r="M93" s="2268"/>
      <c r="N93" s="2268"/>
      <c r="O93" s="2268"/>
      <c r="P93" s="2268"/>
      <c r="Q93" s="2268"/>
    </row>
    <row r="94" spans="2:17" s="745" customFormat="1">
      <c r="B94" s="2268"/>
      <c r="C94" s="2268"/>
      <c r="D94" s="2268"/>
      <c r="E94" s="2268"/>
      <c r="F94" s="2268"/>
      <c r="G94" s="2268"/>
      <c r="H94" s="2268"/>
      <c r="I94" s="2268"/>
      <c r="J94" s="2268"/>
      <c r="K94" s="2268"/>
      <c r="L94" s="2268"/>
      <c r="M94" s="2268"/>
      <c r="N94" s="2268"/>
      <c r="O94" s="2268"/>
      <c r="P94" s="2268"/>
      <c r="Q94" s="2268"/>
    </row>
    <row r="95" spans="2:17" s="745" customFormat="1">
      <c r="B95" s="2268"/>
      <c r="C95" s="2268"/>
      <c r="D95" s="2268"/>
      <c r="E95" s="2268"/>
      <c r="F95" s="2268"/>
      <c r="G95" s="2268"/>
      <c r="H95" s="2268"/>
      <c r="I95" s="2268"/>
      <c r="J95" s="2268"/>
      <c r="K95" s="2268"/>
      <c r="L95" s="2268"/>
      <c r="M95" s="2268"/>
      <c r="N95" s="2268"/>
      <c r="O95" s="2268"/>
      <c r="P95" s="2268"/>
      <c r="Q95" s="2268"/>
    </row>
    <row r="96" spans="2:17" s="745" customFormat="1">
      <c r="B96" s="2268"/>
      <c r="C96" s="2268"/>
      <c r="D96" s="2268"/>
      <c r="E96" s="2268"/>
      <c r="F96" s="2268"/>
      <c r="G96" s="2268"/>
      <c r="H96" s="2268"/>
      <c r="I96" s="2268"/>
      <c r="J96" s="2268"/>
      <c r="K96" s="2268"/>
      <c r="L96" s="2268"/>
      <c r="M96" s="2268"/>
      <c r="N96" s="2268"/>
      <c r="O96" s="2268"/>
      <c r="P96" s="2268"/>
      <c r="Q96" s="2268"/>
    </row>
    <row r="97" spans="2:17" s="745" customFormat="1">
      <c r="B97" s="2268"/>
      <c r="C97" s="2268"/>
      <c r="D97" s="2268"/>
      <c r="E97" s="2268"/>
      <c r="F97" s="2268"/>
      <c r="G97" s="2268"/>
      <c r="H97" s="2268"/>
      <c r="I97" s="2268"/>
      <c r="J97" s="2268"/>
      <c r="K97" s="2268"/>
      <c r="L97" s="2268"/>
      <c r="M97" s="2268"/>
      <c r="N97" s="2268"/>
      <c r="O97" s="2268"/>
      <c r="P97" s="2268"/>
      <c r="Q97" s="2268"/>
    </row>
    <row r="98" spans="2:17" s="745" customFormat="1">
      <c r="B98" s="2268"/>
      <c r="C98" s="2268"/>
      <c r="D98" s="2268"/>
      <c r="E98" s="2268"/>
      <c r="F98" s="2268"/>
      <c r="G98" s="2268"/>
      <c r="H98" s="2268"/>
      <c r="I98" s="2268"/>
      <c r="J98" s="2268"/>
      <c r="K98" s="2268"/>
      <c r="L98" s="2268"/>
      <c r="M98" s="2268"/>
      <c r="N98" s="2268"/>
      <c r="O98" s="2268"/>
      <c r="P98" s="2268"/>
      <c r="Q98" s="2268"/>
    </row>
    <row r="99" spans="2:17" s="745" customFormat="1">
      <c r="B99" s="2268"/>
      <c r="C99" s="2268"/>
      <c r="D99" s="2268"/>
      <c r="E99" s="2268"/>
      <c r="F99" s="2268"/>
      <c r="G99" s="2268"/>
      <c r="H99" s="2268"/>
      <c r="I99" s="2268"/>
      <c r="J99" s="2268"/>
      <c r="K99" s="2268"/>
      <c r="L99" s="2268"/>
      <c r="M99" s="2268"/>
      <c r="N99" s="2268"/>
      <c r="O99" s="2268"/>
      <c r="P99" s="2268"/>
      <c r="Q99" s="2268"/>
    </row>
    <row r="100" spans="2:17" s="745" customFormat="1">
      <c r="B100" s="2268"/>
      <c r="C100" s="2268"/>
      <c r="D100" s="2268"/>
      <c r="E100" s="2268"/>
      <c r="F100" s="2268"/>
      <c r="G100" s="2268"/>
      <c r="H100" s="2268"/>
      <c r="I100" s="2268"/>
      <c r="J100" s="2268"/>
      <c r="K100" s="2268"/>
      <c r="L100" s="2268"/>
      <c r="M100" s="2268"/>
      <c r="N100" s="2268"/>
      <c r="O100" s="2268"/>
      <c r="P100" s="2268"/>
      <c r="Q100" s="2268"/>
    </row>
    <row r="101" spans="2:17" s="745" customFormat="1">
      <c r="B101" s="2268"/>
      <c r="C101" s="2268"/>
      <c r="D101" s="2268"/>
      <c r="E101" s="2268"/>
      <c r="F101" s="2268"/>
      <c r="G101" s="2268"/>
      <c r="H101" s="2268"/>
      <c r="I101" s="2268"/>
      <c r="J101" s="2268"/>
      <c r="K101" s="2268"/>
      <c r="L101" s="2268"/>
      <c r="M101" s="2268"/>
      <c r="N101" s="2268"/>
      <c r="O101" s="2268"/>
      <c r="P101" s="2268"/>
      <c r="Q101" s="2268"/>
    </row>
    <row r="102" spans="2:17" s="745" customFormat="1">
      <c r="B102" s="2268"/>
      <c r="C102" s="2268"/>
      <c r="D102" s="2268"/>
      <c r="E102" s="2268"/>
      <c r="F102" s="2268"/>
      <c r="G102" s="2268"/>
      <c r="H102" s="2268"/>
      <c r="I102" s="2268"/>
      <c r="J102" s="2268"/>
      <c r="K102" s="2268"/>
      <c r="L102" s="2268"/>
      <c r="M102" s="2268"/>
      <c r="N102" s="2268"/>
      <c r="O102" s="2268"/>
      <c r="P102" s="2268"/>
      <c r="Q102" s="2268"/>
    </row>
    <row r="103" spans="2:17" s="745" customFormat="1">
      <c r="B103" s="2268"/>
      <c r="C103" s="2268"/>
      <c r="D103" s="2268"/>
      <c r="E103" s="2268"/>
      <c r="F103" s="2268"/>
      <c r="G103" s="2268"/>
      <c r="H103" s="2268"/>
      <c r="I103" s="2268"/>
      <c r="J103" s="2268"/>
      <c r="K103" s="2268"/>
      <c r="L103" s="2268"/>
      <c r="M103" s="2268"/>
      <c r="N103" s="2268"/>
      <c r="O103" s="2268"/>
      <c r="P103" s="2268"/>
      <c r="Q103" s="2268"/>
    </row>
    <row r="104" spans="2:17" s="745" customFormat="1">
      <c r="B104" s="2268"/>
      <c r="C104" s="2268"/>
      <c r="D104" s="2268"/>
      <c r="E104" s="2268"/>
      <c r="F104" s="2268"/>
      <c r="G104" s="2268"/>
      <c r="H104" s="2268"/>
      <c r="I104" s="2268"/>
      <c r="J104" s="2268"/>
      <c r="K104" s="2268"/>
      <c r="L104" s="2268"/>
      <c r="M104" s="2268"/>
      <c r="N104" s="2268"/>
      <c r="O104" s="2268"/>
      <c r="P104" s="2268"/>
      <c r="Q104" s="2268"/>
    </row>
    <row r="105" spans="2:17" s="745" customFormat="1">
      <c r="B105" s="2268"/>
      <c r="C105" s="2268"/>
      <c r="D105" s="2268"/>
      <c r="E105" s="2268"/>
      <c r="F105" s="2268"/>
      <c r="G105" s="2268"/>
      <c r="H105" s="2268"/>
      <c r="I105" s="2268"/>
      <c r="J105" s="2268"/>
      <c r="K105" s="2268"/>
      <c r="L105" s="2268"/>
      <c r="M105" s="2268"/>
      <c r="N105" s="2268"/>
      <c r="O105" s="2268"/>
      <c r="P105" s="2268"/>
      <c r="Q105" s="2268"/>
    </row>
    <row r="106" spans="2:17" s="745" customFormat="1">
      <c r="B106" s="2268"/>
      <c r="C106" s="2268"/>
      <c r="D106" s="2268"/>
      <c r="E106" s="2268"/>
      <c r="F106" s="2268"/>
      <c r="G106" s="2268"/>
      <c r="H106" s="2268"/>
      <c r="I106" s="2268"/>
      <c r="J106" s="2268"/>
      <c r="K106" s="2268"/>
      <c r="L106" s="2268"/>
      <c r="M106" s="2268"/>
      <c r="N106" s="2268"/>
      <c r="O106" s="2268"/>
      <c r="P106" s="2268"/>
      <c r="Q106" s="2268"/>
    </row>
    <row r="107" spans="2:17" s="745" customFormat="1">
      <c r="B107" s="2268"/>
      <c r="C107" s="2268"/>
      <c r="D107" s="2268"/>
      <c r="E107" s="2268"/>
      <c r="F107" s="2268"/>
      <c r="G107" s="2268"/>
      <c r="H107" s="2268"/>
      <c r="I107" s="2268"/>
      <c r="J107" s="2268"/>
      <c r="K107" s="2268"/>
      <c r="L107" s="2268"/>
      <c r="M107" s="2268"/>
      <c r="N107" s="2268"/>
      <c r="O107" s="2268"/>
      <c r="P107" s="2268"/>
      <c r="Q107" s="2268"/>
    </row>
    <row r="108" spans="2:17" s="745" customFormat="1">
      <c r="B108" s="2268"/>
      <c r="C108" s="2268"/>
      <c r="D108" s="2268"/>
      <c r="E108" s="2268"/>
      <c r="F108" s="2268"/>
      <c r="G108" s="2268"/>
      <c r="H108" s="2268"/>
      <c r="I108" s="2268"/>
      <c r="J108" s="2268"/>
      <c r="K108" s="2268"/>
      <c r="L108" s="2268"/>
      <c r="M108" s="2268"/>
      <c r="N108" s="2268"/>
      <c r="O108" s="2268"/>
      <c r="P108" s="2268"/>
      <c r="Q108" s="2268"/>
    </row>
    <row r="109" spans="2:17" s="745" customFormat="1">
      <c r="B109" s="2268"/>
      <c r="C109" s="2268"/>
      <c r="D109" s="2268"/>
      <c r="E109" s="2268"/>
      <c r="F109" s="2268"/>
      <c r="G109" s="2268"/>
      <c r="H109" s="2268"/>
      <c r="I109" s="2268"/>
      <c r="J109" s="2268"/>
      <c r="K109" s="2268"/>
      <c r="L109" s="2268"/>
      <c r="M109" s="2268"/>
      <c r="N109" s="2268"/>
      <c r="O109" s="2268"/>
      <c r="P109" s="2268"/>
      <c r="Q109" s="2268"/>
    </row>
    <row r="110" spans="2:17" s="745" customFormat="1">
      <c r="B110" s="2268"/>
      <c r="C110" s="2268"/>
      <c r="D110" s="2268"/>
      <c r="E110" s="2268"/>
      <c r="F110" s="2268"/>
      <c r="G110" s="2268"/>
      <c r="H110" s="2268"/>
      <c r="I110" s="2268"/>
      <c r="J110" s="2268"/>
      <c r="K110" s="2268"/>
      <c r="L110" s="2268"/>
      <c r="M110" s="2268"/>
      <c r="N110" s="2268"/>
      <c r="O110" s="2268"/>
      <c r="P110" s="2268"/>
      <c r="Q110" s="2268"/>
    </row>
    <row r="111" spans="2:17" s="745" customFormat="1">
      <c r="B111" s="2268"/>
      <c r="C111" s="2268"/>
      <c r="D111" s="2268"/>
      <c r="E111" s="2268"/>
      <c r="F111" s="2268"/>
      <c r="G111" s="2268"/>
      <c r="H111" s="2268"/>
      <c r="I111" s="2268"/>
      <c r="J111" s="2268"/>
      <c r="K111" s="2268"/>
      <c r="L111" s="2268"/>
      <c r="M111" s="2268"/>
      <c r="N111" s="2268"/>
      <c r="O111" s="2268"/>
      <c r="P111" s="2268"/>
      <c r="Q111" s="2268"/>
    </row>
    <row r="112" spans="2:17" s="745" customFormat="1">
      <c r="B112" s="2268"/>
      <c r="C112" s="2268"/>
      <c r="D112" s="2268"/>
      <c r="E112" s="2268"/>
      <c r="F112" s="2268"/>
      <c r="G112" s="2268"/>
      <c r="H112" s="2268"/>
      <c r="I112" s="2268"/>
      <c r="J112" s="2268"/>
      <c r="K112" s="2268"/>
      <c r="L112" s="2268"/>
      <c r="M112" s="2268"/>
      <c r="N112" s="2268"/>
      <c r="O112" s="2268"/>
      <c r="P112" s="2268"/>
      <c r="Q112" s="2268"/>
    </row>
    <row r="113" spans="2:17" s="745" customFormat="1">
      <c r="B113" s="2268"/>
      <c r="C113" s="2268"/>
      <c r="D113" s="2268"/>
      <c r="E113" s="2268"/>
      <c r="F113" s="2268"/>
      <c r="G113" s="2268"/>
      <c r="H113" s="2268"/>
      <c r="I113" s="2268"/>
      <c r="J113" s="2268"/>
      <c r="K113" s="2268"/>
      <c r="L113" s="2268"/>
      <c r="M113" s="2268"/>
      <c r="N113" s="2268"/>
      <c r="O113" s="2268"/>
      <c r="P113" s="2268"/>
      <c r="Q113" s="2268"/>
    </row>
    <row r="114" spans="2:17" s="745" customFormat="1">
      <c r="B114" s="2268"/>
      <c r="C114" s="2268"/>
      <c r="D114" s="2268"/>
      <c r="E114" s="2268"/>
      <c r="F114" s="2268"/>
      <c r="G114" s="2268"/>
      <c r="H114" s="2268"/>
      <c r="I114" s="2268"/>
      <c r="J114" s="2268"/>
      <c r="K114" s="2268"/>
      <c r="L114" s="2268"/>
      <c r="M114" s="2268"/>
      <c r="N114" s="2268"/>
      <c r="O114" s="2268"/>
      <c r="P114" s="2268"/>
      <c r="Q114" s="2268"/>
    </row>
    <row r="115" spans="2:17" s="745" customFormat="1">
      <c r="B115" s="2268"/>
      <c r="C115" s="2268"/>
      <c r="D115" s="2268"/>
      <c r="E115" s="2268"/>
      <c r="F115" s="2268"/>
      <c r="G115" s="2268"/>
      <c r="H115" s="2268"/>
      <c r="I115" s="2268"/>
      <c r="J115" s="2268"/>
      <c r="K115" s="2268"/>
      <c r="L115" s="2268"/>
      <c r="M115" s="2268"/>
      <c r="N115" s="2268"/>
      <c r="O115" s="2268"/>
      <c r="P115" s="2268"/>
      <c r="Q115" s="2268"/>
    </row>
    <row r="116" spans="2:17" s="745" customFormat="1">
      <c r="B116" s="2268"/>
      <c r="C116" s="2268"/>
      <c r="D116" s="2268"/>
      <c r="E116" s="2268"/>
      <c r="F116" s="2268"/>
      <c r="G116" s="2268"/>
      <c r="H116" s="2268"/>
      <c r="I116" s="2268"/>
      <c r="J116" s="2268"/>
      <c r="K116" s="2268"/>
      <c r="L116" s="2268"/>
      <c r="M116" s="2268"/>
      <c r="N116" s="2268"/>
      <c r="O116" s="2268"/>
      <c r="P116" s="2268"/>
      <c r="Q116" s="2268"/>
    </row>
    <row r="117" spans="2:17" s="745" customFormat="1">
      <c r="B117" s="2268"/>
      <c r="C117" s="2268"/>
      <c r="D117" s="2268"/>
      <c r="E117" s="2268"/>
      <c r="F117" s="2268"/>
      <c r="G117" s="2268"/>
      <c r="H117" s="2268"/>
      <c r="I117" s="2268"/>
      <c r="J117" s="2268"/>
      <c r="K117" s="2268"/>
      <c r="L117" s="2268"/>
      <c r="M117" s="2268"/>
      <c r="N117" s="2268"/>
      <c r="O117" s="2268"/>
      <c r="P117" s="2268"/>
      <c r="Q117" s="2268"/>
    </row>
    <row r="118" spans="2:17" s="745" customFormat="1">
      <c r="B118" s="2268"/>
      <c r="C118" s="2268"/>
      <c r="D118" s="2268"/>
      <c r="E118" s="2268"/>
      <c r="F118" s="2268"/>
      <c r="G118" s="2268"/>
      <c r="H118" s="2268"/>
      <c r="I118" s="2268"/>
      <c r="J118" s="2268"/>
      <c r="K118" s="2268"/>
      <c r="L118" s="2268"/>
      <c r="M118" s="2268"/>
      <c r="N118" s="2268"/>
      <c r="O118" s="2268"/>
      <c r="P118" s="2268"/>
      <c r="Q118" s="2268"/>
    </row>
    <row r="119" spans="2:17" s="745" customFormat="1">
      <c r="B119" s="2268"/>
      <c r="C119" s="2268"/>
      <c r="D119" s="2268"/>
      <c r="E119" s="2268"/>
      <c r="F119" s="2268"/>
      <c r="G119" s="2268"/>
      <c r="H119" s="2268"/>
      <c r="I119" s="2268"/>
      <c r="J119" s="2268"/>
      <c r="K119" s="2268"/>
      <c r="L119" s="2268"/>
      <c r="M119" s="2268"/>
      <c r="N119" s="2268"/>
      <c r="O119" s="2268"/>
      <c r="P119" s="2268"/>
      <c r="Q119" s="2268"/>
    </row>
    <row r="120" spans="2:17" s="745" customFormat="1">
      <c r="B120" s="2268"/>
      <c r="C120" s="2268"/>
      <c r="D120" s="2268"/>
      <c r="E120" s="2268"/>
      <c r="F120" s="2268"/>
      <c r="G120" s="2268"/>
      <c r="H120" s="2268"/>
      <c r="I120" s="2268"/>
      <c r="J120" s="2268"/>
      <c r="K120" s="2268"/>
      <c r="L120" s="2268"/>
      <c r="M120" s="2268"/>
      <c r="N120" s="2268"/>
      <c r="O120" s="2268"/>
      <c r="P120" s="2268"/>
      <c r="Q120" s="2268"/>
    </row>
    <row r="121" spans="2:17" s="745" customFormat="1">
      <c r="B121" s="2268"/>
      <c r="C121" s="2268"/>
      <c r="D121" s="2268"/>
      <c r="E121" s="2268"/>
      <c r="F121" s="2268"/>
      <c r="G121" s="2268"/>
      <c r="H121" s="2268"/>
      <c r="I121" s="2268"/>
      <c r="J121" s="2268"/>
      <c r="K121" s="2268"/>
      <c r="L121" s="2268"/>
      <c r="M121" s="2268"/>
      <c r="N121" s="2268"/>
      <c r="O121" s="2268"/>
      <c r="P121" s="2268"/>
      <c r="Q121" s="2268"/>
    </row>
    <row r="122" spans="2:17" s="745" customFormat="1">
      <c r="B122" s="2268"/>
      <c r="C122" s="2268"/>
      <c r="D122" s="2268"/>
      <c r="E122" s="2268"/>
      <c r="F122" s="2268"/>
      <c r="G122" s="2268"/>
      <c r="H122" s="2268"/>
      <c r="I122" s="2268"/>
      <c r="J122" s="2268"/>
      <c r="K122" s="2268"/>
      <c r="L122" s="2268"/>
      <c r="M122" s="2268"/>
      <c r="N122" s="2268"/>
      <c r="O122" s="2268"/>
      <c r="P122" s="2268"/>
      <c r="Q122" s="2268"/>
    </row>
    <row r="123" spans="2:17" s="745" customFormat="1">
      <c r="B123" s="2268"/>
      <c r="C123" s="2268"/>
      <c r="D123" s="2268"/>
      <c r="E123" s="2268"/>
      <c r="F123" s="2268"/>
      <c r="G123" s="2268"/>
      <c r="H123" s="2268"/>
      <c r="I123" s="2268"/>
      <c r="J123" s="2268"/>
      <c r="K123" s="2268"/>
      <c r="L123" s="2268"/>
      <c r="M123" s="2268"/>
      <c r="N123" s="2268"/>
      <c r="O123" s="2268"/>
      <c r="P123" s="2268"/>
      <c r="Q123" s="2268"/>
    </row>
    <row r="124" spans="2:17" s="745" customFormat="1">
      <c r="B124" s="2268"/>
      <c r="C124" s="2268"/>
      <c r="D124" s="2268"/>
      <c r="E124" s="2268"/>
      <c r="F124" s="2268"/>
      <c r="G124" s="2268"/>
      <c r="H124" s="2268"/>
      <c r="I124" s="2268"/>
      <c r="J124" s="2268"/>
      <c r="K124" s="2268"/>
      <c r="L124" s="2268"/>
      <c r="M124" s="2268"/>
      <c r="N124" s="2268"/>
      <c r="O124" s="2268"/>
      <c r="P124" s="2268"/>
      <c r="Q124" s="2268"/>
    </row>
    <row r="125" spans="2:17" s="745" customFormat="1">
      <c r="B125" s="2268"/>
      <c r="C125" s="2268"/>
      <c r="D125" s="2268"/>
      <c r="E125" s="2268"/>
      <c r="F125" s="2268"/>
      <c r="G125" s="2268"/>
      <c r="H125" s="2268"/>
      <c r="I125" s="2268"/>
      <c r="J125" s="2268"/>
      <c r="K125" s="2268"/>
      <c r="L125" s="2268"/>
      <c r="M125" s="2268"/>
      <c r="N125" s="2268"/>
      <c r="O125" s="2268"/>
      <c r="P125" s="2268"/>
      <c r="Q125" s="2268"/>
    </row>
    <row r="126" spans="2:17" s="745" customFormat="1">
      <c r="B126" s="2268"/>
      <c r="C126" s="2268"/>
      <c r="D126" s="2268"/>
      <c r="E126" s="2268"/>
      <c r="F126" s="2268"/>
      <c r="G126" s="2268"/>
      <c r="H126" s="2268"/>
      <c r="I126" s="2268"/>
      <c r="J126" s="2268"/>
      <c r="K126" s="2268"/>
      <c r="L126" s="2268"/>
      <c r="M126" s="2268"/>
      <c r="N126" s="2268"/>
      <c r="O126" s="2268"/>
      <c r="P126" s="2268"/>
      <c r="Q126" s="2268"/>
    </row>
    <row r="127" spans="2:17" s="745" customFormat="1">
      <c r="B127" s="2268"/>
      <c r="C127" s="2268"/>
      <c r="D127" s="2268"/>
      <c r="E127" s="2268"/>
      <c r="F127" s="2268"/>
      <c r="G127" s="2268"/>
      <c r="H127" s="2268"/>
      <c r="I127" s="2268"/>
      <c r="J127" s="2268"/>
      <c r="K127" s="2268"/>
      <c r="L127" s="2268"/>
      <c r="M127" s="2268"/>
      <c r="N127" s="2268"/>
      <c r="O127" s="2268"/>
      <c r="P127" s="2268"/>
      <c r="Q127" s="2268"/>
    </row>
    <row r="128" spans="2:17" s="745" customFormat="1">
      <c r="B128" s="2268"/>
      <c r="C128" s="2268"/>
      <c r="D128" s="2268"/>
      <c r="E128" s="2268"/>
      <c r="F128" s="2268"/>
      <c r="G128" s="2268"/>
      <c r="H128" s="2268"/>
      <c r="I128" s="2268"/>
      <c r="J128" s="2268"/>
      <c r="K128" s="2268"/>
      <c r="L128" s="2268"/>
      <c r="M128" s="2268"/>
      <c r="N128" s="2268"/>
      <c r="O128" s="2268"/>
      <c r="P128" s="2268"/>
      <c r="Q128" s="2268"/>
    </row>
    <row r="129" spans="2:17" s="745" customFormat="1">
      <c r="B129" s="2268"/>
      <c r="C129" s="2268"/>
      <c r="D129" s="2268"/>
      <c r="E129" s="2268"/>
      <c r="F129" s="2268"/>
      <c r="G129" s="2268"/>
      <c r="H129" s="2268"/>
      <c r="I129" s="2268"/>
      <c r="J129" s="2268"/>
      <c r="K129" s="2268"/>
      <c r="L129" s="2268"/>
      <c r="M129" s="2268"/>
      <c r="N129" s="2268"/>
      <c r="O129" s="2268"/>
      <c r="P129" s="2268"/>
      <c r="Q129" s="2268"/>
    </row>
    <row r="130" spans="2:17" s="745" customFormat="1">
      <c r="B130" s="2268"/>
      <c r="C130" s="2268"/>
      <c r="D130" s="2268"/>
      <c r="E130" s="2268"/>
      <c r="F130" s="2268"/>
      <c r="G130" s="2268"/>
      <c r="H130" s="2268"/>
      <c r="I130" s="2268"/>
      <c r="J130" s="2268"/>
      <c r="K130" s="2268"/>
      <c r="L130" s="2268"/>
      <c r="M130" s="2268"/>
      <c r="N130" s="2268"/>
      <c r="O130" s="2268"/>
      <c r="P130" s="2268"/>
      <c r="Q130" s="2268"/>
    </row>
    <row r="131" spans="2:17" s="745" customFormat="1">
      <c r="B131" s="2268"/>
      <c r="C131" s="2268"/>
      <c r="D131" s="2268"/>
      <c r="E131" s="2268"/>
      <c r="F131" s="2268"/>
      <c r="G131" s="2268"/>
      <c r="H131" s="2268"/>
      <c r="I131" s="2268"/>
      <c r="J131" s="2268"/>
      <c r="K131" s="2268"/>
      <c r="L131" s="2268"/>
      <c r="M131" s="2268"/>
      <c r="N131" s="2268"/>
      <c r="O131" s="2268"/>
      <c r="P131" s="2268"/>
      <c r="Q131" s="2268"/>
    </row>
    <row r="132" spans="2:17" s="745" customFormat="1">
      <c r="B132" s="2268"/>
      <c r="C132" s="2268"/>
      <c r="D132" s="2268"/>
      <c r="E132" s="2268"/>
      <c r="F132" s="2268"/>
      <c r="G132" s="2268"/>
      <c r="H132" s="2268"/>
      <c r="I132" s="2268"/>
      <c r="J132" s="2268"/>
      <c r="K132" s="2268"/>
      <c r="L132" s="2268"/>
      <c r="M132" s="2268"/>
      <c r="N132" s="2268"/>
      <c r="O132" s="2268"/>
      <c r="P132" s="2268"/>
      <c r="Q132" s="2268"/>
    </row>
    <row r="133" spans="2:17" s="745" customFormat="1">
      <c r="B133" s="2268"/>
      <c r="C133" s="2268"/>
      <c r="D133" s="2268"/>
      <c r="E133" s="2268"/>
      <c r="F133" s="2268"/>
      <c r="G133" s="2268"/>
      <c r="H133" s="2268"/>
      <c r="I133" s="2268"/>
      <c r="J133" s="2268"/>
      <c r="K133" s="2268"/>
      <c r="L133" s="2268"/>
      <c r="M133" s="2268"/>
      <c r="N133" s="2268"/>
      <c r="O133" s="2268"/>
      <c r="P133" s="2268"/>
      <c r="Q133" s="2268"/>
    </row>
    <row r="134" spans="2:17" s="745" customFormat="1">
      <c r="B134" s="2268"/>
      <c r="C134" s="2268"/>
      <c r="D134" s="2268"/>
      <c r="E134" s="2268"/>
      <c r="F134" s="2268"/>
      <c r="G134" s="2268"/>
      <c r="H134" s="2268"/>
      <c r="I134" s="2268"/>
      <c r="J134" s="2268"/>
      <c r="K134" s="2268"/>
      <c r="L134" s="2268"/>
      <c r="M134" s="2268"/>
      <c r="N134" s="2268"/>
      <c r="O134" s="2268"/>
      <c r="P134" s="2268"/>
      <c r="Q134" s="2268"/>
    </row>
    <row r="135" spans="2:17" s="745" customFormat="1">
      <c r="B135" s="2268"/>
      <c r="C135" s="2268"/>
      <c r="D135" s="2268"/>
      <c r="E135" s="2268"/>
      <c r="F135" s="2268"/>
      <c r="G135" s="2268"/>
      <c r="H135" s="2268"/>
      <c r="I135" s="2268"/>
      <c r="J135" s="2268"/>
      <c r="K135" s="2268"/>
      <c r="L135" s="2268"/>
      <c r="M135" s="2268"/>
      <c r="N135" s="2268"/>
      <c r="O135" s="2268"/>
      <c r="P135" s="2268"/>
      <c r="Q135" s="2268"/>
    </row>
    <row r="136" spans="2:17" s="745" customFormat="1">
      <c r="B136" s="2268"/>
      <c r="C136" s="2268"/>
      <c r="D136" s="2268"/>
      <c r="E136" s="2268"/>
      <c r="F136" s="2268"/>
      <c r="G136" s="2268"/>
      <c r="H136" s="2268"/>
      <c r="I136" s="2268"/>
      <c r="J136" s="2268"/>
      <c r="K136" s="2268"/>
      <c r="L136" s="2268"/>
      <c r="M136" s="2268"/>
      <c r="N136" s="2268"/>
      <c r="O136" s="2268"/>
      <c r="P136" s="2268"/>
      <c r="Q136" s="2268"/>
    </row>
    <row r="137" spans="2:17" s="745" customFormat="1">
      <c r="B137" s="2268"/>
      <c r="C137" s="2268"/>
      <c r="D137" s="2268"/>
      <c r="E137" s="2268"/>
      <c r="F137" s="2268"/>
      <c r="G137" s="2268"/>
      <c r="H137" s="2268"/>
      <c r="I137" s="2268"/>
      <c r="J137" s="2268"/>
      <c r="K137" s="2268"/>
      <c r="L137" s="2268"/>
      <c r="M137" s="2268"/>
      <c r="N137" s="2268"/>
      <c r="O137" s="2268"/>
      <c r="P137" s="2268"/>
      <c r="Q137" s="2268"/>
    </row>
    <row r="138" spans="2:17" s="745" customFormat="1">
      <c r="B138" s="2268"/>
      <c r="C138" s="2268"/>
      <c r="D138" s="2268"/>
      <c r="E138" s="2268"/>
      <c r="F138" s="2268"/>
      <c r="G138" s="2268"/>
      <c r="H138" s="2268"/>
      <c r="I138" s="2268"/>
      <c r="J138" s="2268"/>
      <c r="K138" s="2268"/>
      <c r="L138" s="2268"/>
      <c r="M138" s="2268"/>
      <c r="N138" s="2268"/>
      <c r="O138" s="2268"/>
      <c r="P138" s="2268"/>
      <c r="Q138" s="2268"/>
    </row>
    <row r="139" spans="2:17" s="745" customFormat="1">
      <c r="B139" s="2268"/>
      <c r="C139" s="2268"/>
      <c r="D139" s="2268"/>
      <c r="E139" s="2268"/>
      <c r="F139" s="2268"/>
      <c r="G139" s="2268"/>
      <c r="H139" s="2268"/>
      <c r="I139" s="2268"/>
      <c r="J139" s="2268"/>
      <c r="K139" s="2268"/>
      <c r="L139" s="2268"/>
      <c r="M139" s="2268"/>
      <c r="N139" s="2268"/>
      <c r="O139" s="2268"/>
      <c r="P139" s="2268"/>
      <c r="Q139" s="2268"/>
    </row>
    <row r="140" spans="2:17" s="745" customFormat="1">
      <c r="B140" s="2268"/>
      <c r="C140" s="2268"/>
      <c r="D140" s="2268"/>
      <c r="E140" s="2268"/>
      <c r="F140" s="2268"/>
      <c r="G140" s="2268"/>
      <c r="H140" s="2268"/>
      <c r="I140" s="2268"/>
      <c r="J140" s="2268"/>
      <c r="K140" s="2268"/>
      <c r="L140" s="2268"/>
      <c r="M140" s="2268"/>
      <c r="N140" s="2268"/>
      <c r="O140" s="2268"/>
      <c r="P140" s="2268"/>
      <c r="Q140" s="2268"/>
    </row>
    <row r="141" spans="2:17" s="745" customFormat="1">
      <c r="B141" s="2268"/>
      <c r="C141" s="2268"/>
      <c r="D141" s="2268"/>
      <c r="E141" s="2268"/>
      <c r="F141" s="2268"/>
      <c r="G141" s="2268"/>
      <c r="H141" s="2268"/>
      <c r="I141" s="2268"/>
      <c r="J141" s="2268"/>
      <c r="K141" s="2268"/>
      <c r="L141" s="2268"/>
      <c r="M141" s="2268"/>
      <c r="N141" s="2268"/>
      <c r="O141" s="2268"/>
      <c r="P141" s="2268"/>
      <c r="Q141" s="2268"/>
    </row>
    <row r="142" spans="2:17" s="745" customFormat="1">
      <c r="B142" s="2268"/>
      <c r="C142" s="2268"/>
      <c r="D142" s="2268"/>
      <c r="E142" s="2268"/>
      <c r="F142" s="2268"/>
      <c r="G142" s="2268"/>
      <c r="H142" s="2268"/>
      <c r="I142" s="2268"/>
      <c r="J142" s="2268"/>
      <c r="K142" s="2268"/>
      <c r="L142" s="2268"/>
      <c r="M142" s="2268"/>
      <c r="N142" s="2268"/>
      <c r="O142" s="2268"/>
      <c r="P142" s="2268"/>
      <c r="Q142" s="2268"/>
    </row>
    <row r="143" spans="2:17" s="745" customFormat="1">
      <c r="B143" s="2268"/>
      <c r="C143" s="2268"/>
      <c r="D143" s="2268"/>
      <c r="E143" s="2268"/>
      <c r="F143" s="2268"/>
      <c r="G143" s="2268"/>
      <c r="H143" s="2268"/>
      <c r="I143" s="2268"/>
      <c r="J143" s="2268"/>
      <c r="K143" s="2268"/>
      <c r="L143" s="2268"/>
      <c r="M143" s="2268"/>
      <c r="N143" s="2268"/>
      <c r="O143" s="2268"/>
      <c r="P143" s="2268"/>
      <c r="Q143" s="2268"/>
    </row>
    <row r="144" spans="2:17" s="745" customFormat="1">
      <c r="B144" s="2268"/>
      <c r="C144" s="2268"/>
      <c r="D144" s="2268"/>
      <c r="E144" s="2268"/>
      <c r="F144" s="2268"/>
      <c r="G144" s="2268"/>
      <c r="H144" s="2268"/>
      <c r="I144" s="2268"/>
      <c r="J144" s="2268"/>
      <c r="K144" s="2268"/>
      <c r="L144" s="2268"/>
      <c r="M144" s="2268"/>
      <c r="N144" s="2268"/>
      <c r="O144" s="2268"/>
      <c r="P144" s="2268"/>
      <c r="Q144" s="2268"/>
    </row>
    <row r="145" spans="2:17" s="745" customFormat="1">
      <c r="B145" s="2268"/>
      <c r="C145" s="2268"/>
      <c r="D145" s="2268"/>
      <c r="E145" s="2268"/>
      <c r="F145" s="2268"/>
      <c r="G145" s="2268"/>
      <c r="H145" s="2268"/>
      <c r="I145" s="2268"/>
      <c r="J145" s="2268"/>
      <c r="K145" s="2268"/>
      <c r="L145" s="2268"/>
      <c r="M145" s="2268"/>
      <c r="N145" s="2268"/>
      <c r="O145" s="2268"/>
      <c r="P145" s="2268"/>
      <c r="Q145" s="2268"/>
    </row>
    <row r="146" spans="2:17" s="745" customFormat="1">
      <c r="B146" s="2268"/>
      <c r="C146" s="2268"/>
      <c r="D146" s="2268"/>
      <c r="E146" s="2268"/>
      <c r="F146" s="2268"/>
      <c r="G146" s="2268"/>
      <c r="H146" s="2268"/>
      <c r="I146" s="2268"/>
      <c r="J146" s="2268"/>
      <c r="K146" s="2268"/>
      <c r="L146" s="2268"/>
      <c r="M146" s="2268"/>
      <c r="N146" s="2268"/>
      <c r="O146" s="2268"/>
      <c r="P146" s="2268"/>
      <c r="Q146" s="2268"/>
    </row>
    <row r="147" spans="2:17" s="745" customFormat="1">
      <c r="B147" s="2268"/>
      <c r="C147" s="2268"/>
      <c r="D147" s="2268"/>
      <c r="E147" s="2268"/>
      <c r="F147" s="2268"/>
      <c r="G147" s="2268"/>
      <c r="H147" s="2268"/>
      <c r="I147" s="2268"/>
      <c r="J147" s="2268"/>
      <c r="K147" s="2268"/>
      <c r="L147" s="2268"/>
      <c r="M147" s="2268"/>
      <c r="N147" s="2268"/>
      <c r="O147" s="2268"/>
      <c r="P147" s="2268"/>
      <c r="Q147" s="2268"/>
    </row>
    <row r="148" spans="2:17" s="745" customFormat="1">
      <c r="B148" s="2268"/>
      <c r="C148" s="2268"/>
      <c r="D148" s="2268"/>
      <c r="E148" s="2268"/>
      <c r="F148" s="2268"/>
      <c r="G148" s="2268"/>
      <c r="H148" s="2268"/>
      <c r="I148" s="2268"/>
      <c r="J148" s="2268"/>
      <c r="K148" s="2268"/>
      <c r="L148" s="2268"/>
      <c r="M148" s="2268"/>
      <c r="N148" s="2268"/>
      <c r="O148" s="2268"/>
      <c r="P148" s="2268"/>
      <c r="Q148" s="2268"/>
    </row>
    <row r="149" spans="2:17" s="745" customFormat="1">
      <c r="B149" s="2268"/>
      <c r="C149" s="2268"/>
      <c r="D149" s="2268"/>
      <c r="E149" s="2268"/>
      <c r="F149" s="2268"/>
      <c r="G149" s="2268"/>
      <c r="H149" s="2268"/>
      <c r="I149" s="2268"/>
      <c r="J149" s="2268"/>
      <c r="K149" s="2268"/>
      <c r="L149" s="2268"/>
      <c r="M149" s="2268"/>
      <c r="N149" s="2268"/>
      <c r="O149" s="2268"/>
      <c r="P149" s="2268"/>
      <c r="Q149" s="2268"/>
    </row>
    <row r="150" spans="2:17" s="745" customFormat="1">
      <c r="B150" s="2268"/>
      <c r="C150" s="2268"/>
      <c r="D150" s="2268"/>
      <c r="E150" s="2268"/>
      <c r="F150" s="2268"/>
      <c r="G150" s="2268"/>
      <c r="H150" s="2268"/>
      <c r="I150" s="2268"/>
      <c r="J150" s="2268"/>
      <c r="K150" s="2268"/>
      <c r="L150" s="2268"/>
      <c r="M150" s="2268"/>
      <c r="N150" s="2268"/>
      <c r="O150" s="2268"/>
      <c r="P150" s="2268"/>
      <c r="Q150" s="2268"/>
    </row>
    <row r="151" spans="2:17" s="745" customFormat="1">
      <c r="B151" s="2268"/>
      <c r="C151" s="2268"/>
      <c r="D151" s="2268"/>
      <c r="E151" s="2268"/>
      <c r="F151" s="2268"/>
      <c r="G151" s="2268"/>
      <c r="H151" s="2268"/>
      <c r="I151" s="2268"/>
      <c r="J151" s="2268"/>
      <c r="K151" s="2268"/>
      <c r="L151" s="2268"/>
      <c r="M151" s="2268"/>
      <c r="N151" s="2268"/>
      <c r="O151" s="2268"/>
      <c r="P151" s="2268"/>
      <c r="Q151" s="2268"/>
    </row>
    <row r="152" spans="2:17" s="745" customFormat="1">
      <c r="B152" s="2268"/>
      <c r="C152" s="2268"/>
      <c r="D152" s="2268"/>
      <c r="E152" s="2268"/>
      <c r="F152" s="2268"/>
      <c r="G152" s="2268"/>
      <c r="H152" s="2268"/>
      <c r="I152" s="2268"/>
      <c r="J152" s="2268"/>
      <c r="K152" s="2268"/>
      <c r="L152" s="2268"/>
      <c r="M152" s="2268"/>
      <c r="N152" s="2268"/>
      <c r="O152" s="2268"/>
      <c r="P152" s="2268"/>
      <c r="Q152" s="2268"/>
    </row>
    <row r="153" spans="2:17" s="745" customFormat="1">
      <c r="B153" s="2268"/>
      <c r="C153" s="2268"/>
      <c r="D153" s="2268"/>
      <c r="E153" s="2268"/>
      <c r="F153" s="2268"/>
      <c r="G153" s="2268"/>
      <c r="H153" s="2268"/>
      <c r="I153" s="2268"/>
      <c r="J153" s="2268"/>
      <c r="K153" s="2268"/>
      <c r="L153" s="2268"/>
      <c r="M153" s="2268"/>
      <c r="N153" s="2268"/>
      <c r="O153" s="2268"/>
      <c r="P153" s="2268"/>
      <c r="Q153" s="2268"/>
    </row>
    <row r="154" spans="2:17" s="745" customFormat="1">
      <c r="B154" s="2268"/>
      <c r="C154" s="2268"/>
      <c r="D154" s="2268"/>
      <c r="E154" s="2268"/>
      <c r="F154" s="2268"/>
      <c r="G154" s="2268"/>
      <c r="H154" s="2268"/>
      <c r="I154" s="2268"/>
      <c r="J154" s="2268"/>
      <c r="K154" s="2268"/>
      <c r="L154" s="2268"/>
      <c r="M154" s="2268"/>
      <c r="N154" s="2268"/>
      <c r="O154" s="2268"/>
      <c r="P154" s="2268"/>
      <c r="Q154" s="2268"/>
    </row>
    <row r="155" spans="2:17" s="745" customFormat="1">
      <c r="B155" s="2268"/>
      <c r="C155" s="2268"/>
      <c r="D155" s="2268"/>
      <c r="E155" s="2268"/>
      <c r="F155" s="2268"/>
      <c r="G155" s="2268"/>
      <c r="H155" s="2268"/>
      <c r="I155" s="2268"/>
      <c r="J155" s="2268"/>
      <c r="K155" s="2268"/>
      <c r="L155" s="2268"/>
      <c r="M155" s="2268"/>
      <c r="N155" s="2268"/>
      <c r="O155" s="2268"/>
      <c r="P155" s="2268"/>
      <c r="Q155" s="2268"/>
    </row>
    <row r="156" spans="2:17" s="745" customFormat="1">
      <c r="B156" s="2268"/>
      <c r="C156" s="2268"/>
      <c r="D156" s="2268"/>
      <c r="E156" s="2268"/>
      <c r="F156" s="2268"/>
      <c r="G156" s="2268"/>
      <c r="H156" s="2268"/>
      <c r="I156" s="2268"/>
      <c r="J156" s="2268"/>
      <c r="K156" s="2268"/>
      <c r="L156" s="2268"/>
      <c r="M156" s="2268"/>
      <c r="N156" s="2268"/>
      <c r="O156" s="2268"/>
      <c r="P156" s="2268"/>
      <c r="Q156" s="2268"/>
    </row>
    <row r="157" spans="2:17" s="745" customFormat="1">
      <c r="B157" s="2268"/>
      <c r="C157" s="2268"/>
      <c r="D157" s="2268"/>
      <c r="E157" s="2268"/>
      <c r="F157" s="2268"/>
      <c r="G157" s="2268"/>
      <c r="H157" s="2268"/>
      <c r="I157" s="2268"/>
      <c r="J157" s="2268"/>
      <c r="K157" s="2268"/>
      <c r="L157" s="2268"/>
      <c r="M157" s="2268"/>
      <c r="N157" s="2268"/>
      <c r="O157" s="2268"/>
      <c r="P157" s="2268"/>
      <c r="Q157" s="2268"/>
    </row>
    <row r="158" spans="2:17" s="745" customFormat="1">
      <c r="B158" s="2268"/>
      <c r="C158" s="2268"/>
      <c r="D158" s="2268"/>
      <c r="E158" s="2268"/>
      <c r="F158" s="2268"/>
      <c r="G158" s="2268"/>
      <c r="H158" s="2268"/>
      <c r="I158" s="2268"/>
      <c r="J158" s="2268"/>
      <c r="K158" s="2268"/>
      <c r="L158" s="2268"/>
      <c r="M158" s="2268"/>
      <c r="N158" s="2268"/>
      <c r="O158" s="2268"/>
      <c r="P158" s="2268"/>
      <c r="Q158" s="2268"/>
    </row>
    <row r="159" spans="2:17" s="745" customFormat="1">
      <c r="B159" s="2268"/>
      <c r="C159" s="2268"/>
      <c r="D159" s="2268"/>
      <c r="E159" s="2268"/>
      <c r="F159" s="2268"/>
      <c r="G159" s="2268"/>
      <c r="H159" s="2268"/>
      <c r="I159" s="2268"/>
      <c r="J159" s="2268"/>
      <c r="K159" s="2268"/>
      <c r="L159" s="2268"/>
      <c r="M159" s="2268"/>
      <c r="N159" s="2268"/>
      <c r="O159" s="2268"/>
      <c r="P159" s="2268"/>
      <c r="Q159" s="2268"/>
    </row>
    <row r="160" spans="2:17" s="745" customFormat="1">
      <c r="B160" s="2268"/>
      <c r="C160" s="2268"/>
      <c r="D160" s="2268"/>
      <c r="E160" s="2268"/>
      <c r="F160" s="2268"/>
      <c r="G160" s="2268"/>
      <c r="H160" s="2268"/>
      <c r="I160" s="2268"/>
      <c r="J160" s="2268"/>
      <c r="K160" s="2268"/>
      <c r="L160" s="2268"/>
      <c r="M160" s="2268"/>
      <c r="N160" s="2268"/>
      <c r="O160" s="2268"/>
      <c r="P160" s="2268"/>
      <c r="Q160" s="2268"/>
    </row>
    <row r="161" spans="2:17" s="745" customFormat="1">
      <c r="B161" s="2268"/>
      <c r="C161" s="2268"/>
      <c r="D161" s="2268"/>
      <c r="E161" s="2268"/>
      <c r="F161" s="2268"/>
      <c r="G161" s="2268"/>
      <c r="H161" s="2268"/>
      <c r="I161" s="2268"/>
      <c r="J161" s="2268"/>
      <c r="K161" s="2268"/>
      <c r="L161" s="2268"/>
      <c r="M161" s="2268"/>
      <c r="N161" s="2268"/>
      <c r="O161" s="2268"/>
      <c r="P161" s="2268"/>
      <c r="Q161" s="2268"/>
    </row>
    <row r="162" spans="2:17" s="745" customFormat="1">
      <c r="B162" s="2268"/>
      <c r="C162" s="2268"/>
      <c r="D162" s="2268"/>
      <c r="E162" s="2268"/>
      <c r="F162" s="2268"/>
      <c r="G162" s="2268"/>
      <c r="H162" s="2268"/>
      <c r="I162" s="2268"/>
      <c r="J162" s="2268"/>
      <c r="K162" s="2268"/>
      <c r="L162" s="2268"/>
      <c r="M162" s="2268"/>
      <c r="N162" s="2268"/>
      <c r="O162" s="2268"/>
      <c r="P162" s="2268"/>
      <c r="Q162" s="2268"/>
    </row>
    <row r="163" spans="2:17" s="745" customFormat="1">
      <c r="B163" s="2268"/>
      <c r="C163" s="2268"/>
      <c r="D163" s="2268"/>
      <c r="E163" s="2268"/>
      <c r="F163" s="2268"/>
      <c r="G163" s="2268"/>
      <c r="H163" s="2268"/>
      <c r="I163" s="2268"/>
      <c r="J163" s="2268"/>
      <c r="K163" s="2268"/>
      <c r="L163" s="2268"/>
      <c r="M163" s="2268"/>
      <c r="N163" s="2268"/>
      <c r="O163" s="2268"/>
      <c r="P163" s="2268"/>
      <c r="Q163" s="2268"/>
    </row>
    <row r="164" spans="2:17" s="745" customFormat="1">
      <c r="B164" s="2268"/>
      <c r="C164" s="2268"/>
      <c r="D164" s="2268"/>
      <c r="E164" s="2268"/>
      <c r="F164" s="2268"/>
      <c r="G164" s="2268"/>
      <c r="H164" s="2268"/>
      <c r="I164" s="2268"/>
      <c r="J164" s="2268"/>
      <c r="K164" s="2268"/>
      <c r="L164" s="2268"/>
      <c r="M164" s="2268"/>
      <c r="N164" s="2268"/>
      <c r="O164" s="2268"/>
      <c r="P164" s="2268"/>
      <c r="Q164" s="2268"/>
    </row>
    <row r="165" spans="2:17" s="745" customFormat="1">
      <c r="B165" s="2268"/>
      <c r="C165" s="2268"/>
      <c r="D165" s="2268"/>
      <c r="E165" s="2268"/>
      <c r="F165" s="2268"/>
      <c r="G165" s="2268"/>
      <c r="H165" s="2268"/>
      <c r="I165" s="2268"/>
      <c r="J165" s="2268"/>
      <c r="K165" s="2268"/>
      <c r="L165" s="2268"/>
      <c r="M165" s="2268"/>
      <c r="N165" s="2268"/>
      <c r="O165" s="2268"/>
      <c r="P165" s="2268"/>
      <c r="Q165" s="2268"/>
    </row>
    <row r="166" spans="2:17" s="745" customFormat="1">
      <c r="B166" s="2268"/>
      <c r="C166" s="2268"/>
      <c r="D166" s="2268"/>
      <c r="E166" s="2268"/>
      <c r="F166" s="2268"/>
      <c r="G166" s="2268"/>
      <c r="H166" s="2268"/>
      <c r="I166" s="2268"/>
      <c r="J166" s="2268"/>
      <c r="K166" s="2268"/>
      <c r="L166" s="2268"/>
      <c r="M166" s="2268"/>
      <c r="N166" s="2268"/>
      <c r="O166" s="2268"/>
      <c r="P166" s="2268"/>
      <c r="Q166" s="2268"/>
    </row>
    <row r="167" spans="2:17" s="745" customFormat="1">
      <c r="B167" s="2268"/>
      <c r="C167" s="2268"/>
      <c r="D167" s="2268"/>
      <c r="E167" s="2268"/>
      <c r="F167" s="2268"/>
      <c r="G167" s="2268"/>
      <c r="H167" s="2268"/>
      <c r="I167" s="2268"/>
      <c r="J167" s="2268"/>
      <c r="K167" s="2268"/>
      <c r="L167" s="2268"/>
      <c r="M167" s="2268"/>
      <c r="N167" s="2268"/>
      <c r="O167" s="2268"/>
      <c r="P167" s="2268"/>
      <c r="Q167" s="2268"/>
    </row>
    <row r="168" spans="2:17" s="745" customFormat="1">
      <c r="B168" s="2268"/>
      <c r="C168" s="2268"/>
      <c r="D168" s="2268"/>
      <c r="E168" s="2268"/>
      <c r="F168" s="2268"/>
      <c r="G168" s="2268"/>
      <c r="H168" s="2268"/>
      <c r="I168" s="2268"/>
      <c r="J168" s="2268"/>
      <c r="K168" s="2268"/>
      <c r="L168" s="2268"/>
      <c r="M168" s="2268"/>
      <c r="N168" s="2268"/>
      <c r="O168" s="2268"/>
      <c r="P168" s="2268"/>
      <c r="Q168" s="2268"/>
    </row>
    <row r="169" spans="2:17" s="745" customFormat="1">
      <c r="B169" s="2268"/>
      <c r="C169" s="2268"/>
      <c r="D169" s="2268"/>
      <c r="E169" s="2268"/>
      <c r="F169" s="2268"/>
      <c r="G169" s="2268"/>
      <c r="H169" s="2268"/>
      <c r="I169" s="2268"/>
      <c r="J169" s="2268"/>
      <c r="K169" s="2268"/>
      <c r="L169" s="2268"/>
      <c r="M169" s="2268"/>
      <c r="N169" s="2268"/>
      <c r="O169" s="2268"/>
      <c r="P169" s="2268"/>
      <c r="Q169" s="2268"/>
    </row>
    <row r="170" spans="2:17" s="745" customFormat="1">
      <c r="B170" s="2268"/>
      <c r="C170" s="2268"/>
      <c r="D170" s="2268"/>
      <c r="E170" s="2268"/>
      <c r="F170" s="2268"/>
      <c r="G170" s="2268"/>
      <c r="H170" s="2268"/>
      <c r="I170" s="2268"/>
      <c r="J170" s="2268"/>
      <c r="K170" s="2268"/>
      <c r="L170" s="2268"/>
      <c r="M170" s="2268"/>
      <c r="N170" s="2268"/>
      <c r="O170" s="2268"/>
      <c r="P170" s="2268"/>
      <c r="Q170" s="2268"/>
    </row>
    <row r="171" spans="2:17" s="745" customFormat="1">
      <c r="B171" s="2268"/>
      <c r="C171" s="2268"/>
      <c r="D171" s="2268"/>
      <c r="E171" s="2268"/>
      <c r="F171" s="2268"/>
      <c r="G171" s="2268"/>
      <c r="H171" s="2268"/>
      <c r="I171" s="2268"/>
      <c r="J171" s="2268"/>
      <c r="K171" s="2268"/>
      <c r="L171" s="2268"/>
      <c r="M171" s="2268"/>
      <c r="N171" s="2268"/>
      <c r="O171" s="2268"/>
      <c r="P171" s="2268"/>
      <c r="Q171" s="2268"/>
    </row>
    <row r="172" spans="2:17" s="745" customFormat="1">
      <c r="B172" s="2268"/>
      <c r="C172" s="2268"/>
      <c r="D172" s="2268"/>
      <c r="E172" s="2268"/>
      <c r="F172" s="2268"/>
      <c r="G172" s="2268"/>
      <c r="H172" s="2268"/>
      <c r="I172" s="2268"/>
      <c r="J172" s="2268"/>
      <c r="K172" s="2268"/>
      <c r="L172" s="2268"/>
      <c r="M172" s="2268"/>
      <c r="N172" s="2268"/>
      <c r="O172" s="2268"/>
      <c r="P172" s="2268"/>
      <c r="Q172" s="2268"/>
    </row>
    <row r="173" spans="2:17" s="745" customFormat="1">
      <c r="B173" s="2268"/>
      <c r="C173" s="2268"/>
      <c r="D173" s="2268"/>
      <c r="E173" s="2268"/>
      <c r="F173" s="2268"/>
      <c r="G173" s="2268"/>
      <c r="H173" s="2268"/>
      <c r="I173" s="2268"/>
      <c r="J173" s="2268"/>
      <c r="K173" s="2268"/>
      <c r="L173" s="2268"/>
      <c r="M173" s="2268"/>
      <c r="N173" s="2268"/>
      <c r="O173" s="2268"/>
      <c r="P173" s="2268"/>
      <c r="Q173" s="2268"/>
    </row>
    <row r="174" spans="2:17" s="745" customFormat="1">
      <c r="B174" s="2268"/>
      <c r="C174" s="2268"/>
      <c r="D174" s="2268"/>
      <c r="E174" s="2268"/>
      <c r="F174" s="2268"/>
      <c r="G174" s="2268"/>
      <c r="H174" s="2268"/>
      <c r="I174" s="2268"/>
      <c r="J174" s="2268"/>
      <c r="K174" s="2268"/>
      <c r="L174" s="2268"/>
      <c r="M174" s="2268"/>
      <c r="N174" s="2268"/>
      <c r="O174" s="2268"/>
      <c r="P174" s="2268"/>
      <c r="Q174" s="2268"/>
    </row>
    <row r="175" spans="2:17" s="745" customFormat="1">
      <c r="B175" s="2268"/>
      <c r="C175" s="2268"/>
      <c r="D175" s="2268"/>
      <c r="E175" s="2268"/>
      <c r="F175" s="2268"/>
      <c r="G175" s="2268"/>
      <c r="H175" s="2268"/>
      <c r="I175" s="2268"/>
      <c r="J175" s="2268"/>
      <c r="K175" s="2268"/>
      <c r="L175" s="2268"/>
      <c r="M175" s="2268"/>
      <c r="N175" s="2268"/>
      <c r="O175" s="2268"/>
      <c r="P175" s="2268"/>
      <c r="Q175" s="2268"/>
    </row>
    <row r="176" spans="2:17" s="745" customFormat="1">
      <c r="B176" s="2268"/>
      <c r="C176" s="2268"/>
      <c r="D176" s="2268"/>
      <c r="E176" s="2268"/>
      <c r="F176" s="2268"/>
      <c r="G176" s="2268"/>
      <c r="H176" s="2268"/>
      <c r="I176" s="2268"/>
      <c r="J176" s="2268"/>
      <c r="K176" s="2268"/>
      <c r="L176" s="2268"/>
      <c r="M176" s="2268"/>
      <c r="N176" s="2268"/>
      <c r="O176" s="2268"/>
      <c r="P176" s="2268"/>
      <c r="Q176" s="2268"/>
    </row>
    <row r="177" spans="1:17" s="745" customFormat="1">
      <c r="B177" s="2268"/>
      <c r="C177" s="2268"/>
      <c r="D177" s="2268"/>
      <c r="E177" s="2268"/>
      <c r="F177" s="2268"/>
      <c r="G177" s="2268"/>
      <c r="H177" s="2268"/>
      <c r="I177" s="2268"/>
      <c r="J177" s="2268"/>
      <c r="K177" s="2268"/>
      <c r="L177" s="2268"/>
      <c r="M177" s="2268"/>
      <c r="N177" s="2268"/>
      <c r="O177" s="2268"/>
      <c r="P177" s="2268"/>
      <c r="Q177" s="2268"/>
    </row>
    <row r="178" spans="1:17" s="745" customFormat="1">
      <c r="B178" s="2268"/>
      <c r="C178" s="2268"/>
      <c r="D178" s="2268"/>
      <c r="E178" s="2268"/>
      <c r="F178" s="2268"/>
      <c r="G178" s="2268"/>
      <c r="H178" s="2268"/>
      <c r="I178" s="2268"/>
      <c r="J178" s="2268"/>
      <c r="K178" s="2268"/>
      <c r="L178" s="2268"/>
      <c r="M178" s="2268"/>
      <c r="N178" s="2268"/>
      <c r="O178" s="2268"/>
      <c r="P178" s="2268"/>
      <c r="Q178" s="2268"/>
    </row>
    <row r="179" spans="1:17" s="745" customFormat="1">
      <c r="B179" s="2268"/>
      <c r="C179" s="2268"/>
      <c r="D179" s="2268"/>
      <c r="E179" s="2268"/>
      <c r="F179" s="2268"/>
      <c r="G179" s="2268"/>
      <c r="H179" s="2268"/>
      <c r="I179" s="2268"/>
      <c r="J179" s="2268"/>
      <c r="K179" s="2268"/>
      <c r="L179" s="2268"/>
      <c r="M179" s="2268"/>
      <c r="N179" s="2268"/>
      <c r="O179" s="2268"/>
      <c r="P179" s="2268"/>
      <c r="Q179" s="2268"/>
    </row>
    <row r="180" spans="1:17" s="745" customFormat="1">
      <c r="B180" s="2268"/>
      <c r="C180" s="2268"/>
      <c r="D180" s="2268"/>
      <c r="E180" s="2268"/>
      <c r="F180" s="2268"/>
      <c r="G180" s="2268"/>
      <c r="H180" s="2268"/>
      <c r="I180" s="2268"/>
      <c r="J180" s="2268"/>
      <c r="K180" s="2268"/>
      <c r="L180" s="2268"/>
      <c r="M180" s="2268"/>
      <c r="N180" s="2268"/>
      <c r="O180" s="2268"/>
      <c r="P180" s="2268"/>
      <c r="Q180" s="2268"/>
    </row>
    <row r="181" spans="1:17" s="745" customFormat="1">
      <c r="B181" s="2268"/>
      <c r="C181" s="2268"/>
      <c r="D181" s="2268"/>
      <c r="E181" s="2268"/>
      <c r="F181" s="2268"/>
      <c r="G181" s="2268"/>
      <c r="H181" s="2268"/>
      <c r="I181" s="2268"/>
      <c r="J181" s="2268"/>
      <c r="K181" s="2268"/>
      <c r="L181" s="2268"/>
      <c r="M181" s="2268"/>
      <c r="N181" s="2268"/>
      <c r="O181" s="2268"/>
      <c r="P181" s="2268"/>
      <c r="Q181" s="2268"/>
    </row>
    <row r="182" spans="1:17" s="745" customFormat="1">
      <c r="B182" s="2268"/>
      <c r="C182" s="2268"/>
      <c r="D182" s="2268"/>
      <c r="E182" s="2268"/>
      <c r="F182" s="2268"/>
      <c r="G182" s="2268"/>
      <c r="H182" s="2268"/>
      <c r="I182" s="2268"/>
      <c r="J182" s="2268"/>
      <c r="K182" s="2268"/>
      <c r="L182" s="2268"/>
      <c r="M182" s="2268"/>
      <c r="N182" s="2268"/>
      <c r="O182" s="2268"/>
      <c r="P182" s="2268"/>
      <c r="Q182" s="2268"/>
    </row>
    <row r="183" spans="1:17" s="745" customFormat="1">
      <c r="B183" s="2268"/>
      <c r="C183" s="2268"/>
      <c r="D183" s="2268"/>
      <c r="E183" s="2268"/>
      <c r="F183" s="2268"/>
      <c r="G183" s="2268"/>
      <c r="H183" s="2268"/>
      <c r="I183" s="2268"/>
      <c r="J183" s="2268"/>
      <c r="K183" s="2268"/>
      <c r="L183" s="2268"/>
      <c r="M183" s="2268"/>
      <c r="N183" s="2268"/>
      <c r="O183" s="2268"/>
      <c r="P183" s="2268"/>
      <c r="Q183" s="2268"/>
    </row>
    <row r="184" spans="1:17" s="745" customFormat="1">
      <c r="B184" s="2268"/>
      <c r="C184" s="2268"/>
      <c r="D184" s="2268"/>
      <c r="E184" s="2268"/>
      <c r="F184" s="2268"/>
      <c r="G184" s="2268"/>
      <c r="H184" s="2268"/>
      <c r="I184" s="2268"/>
      <c r="J184" s="2268"/>
      <c r="K184" s="2268"/>
      <c r="L184" s="2268"/>
      <c r="M184" s="2268"/>
      <c r="N184" s="2268"/>
      <c r="O184" s="2268"/>
      <c r="P184" s="2268"/>
      <c r="Q184" s="2268"/>
    </row>
    <row r="185" spans="1:17" s="745" customFormat="1">
      <c r="B185" s="2268"/>
      <c r="C185" s="2268"/>
      <c r="D185" s="2268"/>
      <c r="E185" s="2268"/>
      <c r="F185" s="2268"/>
      <c r="G185" s="2268"/>
      <c r="H185" s="2268"/>
      <c r="I185" s="2268"/>
      <c r="J185" s="2268"/>
      <c r="K185" s="2268"/>
      <c r="L185" s="2268"/>
      <c r="M185" s="2268"/>
      <c r="N185" s="2268"/>
      <c r="O185" s="2268"/>
      <c r="P185" s="2268"/>
      <c r="Q185" s="2268"/>
    </row>
    <row r="186" spans="1:17">
      <c r="A186" s="745"/>
      <c r="B186" s="2268"/>
      <c r="C186" s="2268"/>
      <c r="E186" s="2268"/>
      <c r="F186" s="2268"/>
      <c r="G186" s="2268"/>
    </row>
    <row r="187" spans="1:17">
      <c r="A187" s="745"/>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K14" sqref="K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64756.12</v>
      </c>
      <c r="C1" s="2452"/>
      <c r="D1" s="2452"/>
      <c r="E1" s="2452"/>
      <c r="F1" s="2452"/>
      <c r="G1" s="2453"/>
      <c r="H1" s="2453"/>
      <c r="I1" s="2453"/>
      <c r="J1" s="2453"/>
      <c r="K1" s="2453"/>
    </row>
    <row r="2" spans="1:11" ht="16.5">
      <c r="A2" s="2291" t="s">
        <v>653</v>
      </c>
      <c r="B2" s="2291">
        <f>SUM(C14:C23)</f>
        <v>15478.33</v>
      </c>
      <c r="C2" s="2452"/>
      <c r="D2" s="2452"/>
      <c r="E2" s="2452"/>
      <c r="F2" s="2452"/>
      <c r="G2" s="2453"/>
      <c r="H2" s="2453"/>
      <c r="I2" s="2453"/>
      <c r="J2" s="2453"/>
      <c r="K2" s="2453"/>
    </row>
    <row r="3" spans="1:11" ht="16.5">
      <c r="A3" s="2291" t="s">
        <v>662</v>
      </c>
      <c r="B3" s="2293">
        <f>项目基本情况!D3</f>
        <v>45595</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108366</v>
      </c>
      <c r="C5" s="2291">
        <f ca="1">IF(B5=D14,结果表!H102,ROUND(B5*10000/$B$1,0))</f>
        <v>16734</v>
      </c>
      <c r="D5" s="2291">
        <f ca="1">ROUND(B5*10000/$B$2,0)</f>
        <v>70011</v>
      </c>
      <c r="E5" s="2452"/>
      <c r="F5" s="2453"/>
      <c r="G5" s="2453"/>
      <c r="H5" s="2453"/>
      <c r="I5" s="2453"/>
      <c r="J5" s="2453"/>
      <c r="K5" s="2453"/>
    </row>
    <row r="6" spans="1:11" ht="16.5">
      <c r="A6" s="2291" t="s">
        <v>656</v>
      </c>
      <c r="B6" s="2291">
        <f ca="1">SUM(G14:G23)</f>
        <v>108366</v>
      </c>
      <c r="C6" s="2291">
        <f ca="1">IF(B6=G14,结果表!H108,ROUND(B6*10000/$B$1,0))</f>
        <v>16734</v>
      </c>
      <c r="D6" s="2291">
        <f ca="1">ROUND(B6*10000/$B$2,0)</f>
        <v>70011</v>
      </c>
      <c r="E6" s="2452"/>
      <c r="F6" s="2453"/>
      <c r="G6" s="2453"/>
      <c r="H6" s="2453"/>
      <c r="I6" s="2453"/>
      <c r="J6" s="2453"/>
      <c r="K6" s="2453"/>
    </row>
    <row r="7" spans="1:11" ht="16.5">
      <c r="A7" s="2291" t="s">
        <v>664</v>
      </c>
      <c r="B7" s="2291">
        <f>SUM(H14:H23)</f>
        <v>0</v>
      </c>
      <c r="C7" s="2291" t="str">
        <f>IF(B7=H14,结果表!H110,ROUND(B7*10000/$B$1,0))</f>
        <v>——</v>
      </c>
      <c r="D7" s="2291">
        <f>ROUND(B7*10000/$B$2,0)</f>
        <v>0</v>
      </c>
      <c r="E7" s="2452"/>
      <c r="F7" s="2453"/>
      <c r="G7" s="2453"/>
      <c r="H7" s="2453"/>
      <c r="I7" s="2453"/>
      <c r="J7" s="2453"/>
      <c r="K7" s="2453"/>
    </row>
    <row r="8" spans="1:11" ht="16.5">
      <c r="A8" s="2291" t="s">
        <v>587</v>
      </c>
      <c r="B8" s="2291">
        <f>SUM(I14:I23)</f>
        <v>0</v>
      </c>
      <c r="C8" s="2291" t="str">
        <f>IF(B8=I14,结果表!H112,ROUND(B8*10000/$B$1,0))</f>
        <v>——</v>
      </c>
      <c r="D8" s="2291">
        <f>ROUND(B8*10000/$B$2,0)</f>
        <v>0</v>
      </c>
      <c r="E8" s="2452"/>
      <c r="F8" s="2453"/>
      <c r="G8" s="2453"/>
      <c r="H8" s="2453"/>
      <c r="I8" s="2453"/>
      <c r="J8" s="2453"/>
      <c r="K8" s="2453"/>
    </row>
    <row r="9" spans="1:11" ht="16.5">
      <c r="A9" s="2291" t="s">
        <v>655</v>
      </c>
      <c r="B9" s="1238"/>
      <c r="C9" s="2452"/>
      <c r="D9" s="2452"/>
      <c r="E9" s="2452"/>
      <c r="F9" s="2453"/>
      <c r="G9" s="2453"/>
      <c r="H9" s="2453"/>
      <c r="I9" s="2453"/>
      <c r="J9" s="2453"/>
      <c r="K9" s="2453"/>
    </row>
    <row r="10" spans="1:11" ht="16.5">
      <c r="A10" s="2291" t="s">
        <v>654</v>
      </c>
      <c r="B10" s="2291">
        <f>IF(E10="",0,ROUND(B1*(E10*365/G10)/10000,0))</f>
        <v>0</v>
      </c>
      <c r="C10" s="2291" t="s">
        <v>3353</v>
      </c>
      <c r="D10" s="2291" t="s">
        <v>3354</v>
      </c>
      <c r="E10" s="3125"/>
      <c r="F10" s="3129" t="s">
        <v>3355</v>
      </c>
      <c r="G10" s="3126"/>
      <c r="H10" s="2453"/>
      <c r="I10" s="2453"/>
      <c r="J10" s="2453"/>
      <c r="K10" s="2453"/>
    </row>
    <row r="11" spans="1:11" ht="16.5">
      <c r="A11" s="2291" t="s">
        <v>670</v>
      </c>
      <c r="B11" s="1238"/>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结果表!B118</f>
        <v>64756.12</v>
      </c>
      <c r="C14" s="2297">
        <f>结果表!C118</f>
        <v>15478.33</v>
      </c>
      <c r="D14" s="2297">
        <f ca="1">结果表!H118</f>
        <v>108366</v>
      </c>
      <c r="E14" s="2297">
        <f ca="1">ROUND(D14*10000/B14,0)</f>
        <v>16734</v>
      </c>
      <c r="F14" s="2297">
        <f ca="1">ROUND(D14*10000/C14,0)</f>
        <v>70011</v>
      </c>
      <c r="G14" s="2297">
        <f ca="1">D14</f>
        <v>108366</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38"/>
      <c r="H15" s="1238"/>
      <c r="I15" s="2298"/>
      <c r="J15" s="2453"/>
      <c r="K15" s="2453"/>
    </row>
    <row r="16" spans="1:11" ht="16.5">
      <c r="A16" s="2296" t="s">
        <v>648</v>
      </c>
      <c r="B16" s="2298"/>
      <c r="C16" s="2298"/>
      <c r="D16" s="2298"/>
      <c r="E16" s="2297" t="e">
        <f t="shared" si="0"/>
        <v>#DIV/0!</v>
      </c>
      <c r="F16" s="2297" t="e">
        <f t="shared" si="1"/>
        <v>#DIV/0!</v>
      </c>
      <c r="G16" s="1238"/>
      <c r="H16" s="1238"/>
      <c r="I16" s="2298"/>
      <c r="J16" s="2453"/>
      <c r="K16" s="2453"/>
    </row>
    <row r="17" spans="1:11" ht="16.5">
      <c r="A17" s="2296" t="s">
        <v>647</v>
      </c>
      <c r="B17" s="2298"/>
      <c r="C17" s="2298"/>
      <c r="D17" s="2298"/>
      <c r="E17" s="2297" t="e">
        <f t="shared" si="0"/>
        <v>#DIV/0!</v>
      </c>
      <c r="F17" s="2297" t="e">
        <f t="shared" si="1"/>
        <v>#DIV/0!</v>
      </c>
      <c r="G17" s="1238"/>
      <c r="H17" s="1238"/>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38" t="e">
        <f t="shared" si="0"/>
        <v>#DIV/0!</v>
      </c>
      <c r="F23" s="1238"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91" zoomScale="85" zoomScaleNormal="100" zoomScaleSheetLayoutView="85" zoomScalePageLayoutView="80" workbookViewId="0">
      <selection activeCell="G36" sqref="G36"/>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1262</v>
      </c>
      <c r="B1" s="645"/>
      <c r="C1" s="1614"/>
      <c r="D1" s="645"/>
      <c r="E1" s="645"/>
      <c r="F1" s="1615" t="s">
        <v>1263</v>
      </c>
      <c r="G1" s="1447" t="s">
        <v>4065</v>
      </c>
      <c r="H1" s="1615" t="str">
        <f>IF(G1="现房","——","估价对象范围")</f>
        <v>估价对象范围</v>
      </c>
      <c r="I1" s="1616" t="s">
        <v>4066</v>
      </c>
    </row>
    <row r="2" spans="1:12" ht="21.75" customHeight="1" thickBot="1">
      <c r="A2" s="3296" t="str">
        <f>项目基本情况!S2</f>
        <v>北京市房山区城关中心区出让国有建设用地使用权及在建建筑物房地产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18" t="s">
        <v>1265</v>
      </c>
      <c r="B4" s="1619" t="s">
        <v>1266</v>
      </c>
      <c r="C4" s="1620" t="s">
        <v>4067</v>
      </c>
      <c r="D4" s="1620" t="s">
        <v>4068</v>
      </c>
      <c r="E4" s="3302" t="s">
        <v>1267</v>
      </c>
      <c r="F4" s="3303"/>
      <c r="G4" s="3303"/>
      <c r="H4" s="3303"/>
      <c r="I4" s="330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276" t="s">
        <v>1268</v>
      </c>
      <c r="B5" s="3263">
        <v>25</v>
      </c>
      <c r="C5" s="3279"/>
      <c r="D5" s="3299"/>
      <c r="E5" s="122" t="s">
        <v>1269</v>
      </c>
      <c r="F5" s="1621"/>
      <c r="G5" s="1621"/>
      <c r="H5" s="1621"/>
      <c r="I5" s="1275"/>
    </row>
    <row r="6" spans="1:12" ht="12.75">
      <c r="A6" s="3276"/>
      <c r="B6" s="3263"/>
      <c r="C6" s="3280"/>
      <c r="D6" s="3299"/>
      <c r="E6" s="122" t="s">
        <v>1270</v>
      </c>
      <c r="F6" s="1621"/>
      <c r="G6" s="1621"/>
      <c r="H6" s="1621"/>
      <c r="I6" s="1275"/>
    </row>
    <row r="7" spans="1:12" ht="12.75">
      <c r="A7" s="3276"/>
      <c r="B7" s="3263"/>
      <c r="C7" s="3281"/>
      <c r="D7" s="3299"/>
      <c r="E7" s="122" t="s">
        <v>1271</v>
      </c>
      <c r="F7" s="1621"/>
      <c r="G7" s="1621"/>
      <c r="H7" s="1621"/>
      <c r="I7" s="1275"/>
    </row>
    <row r="8" spans="1:12" ht="12.75">
      <c r="A8" s="3276" t="s">
        <v>1272</v>
      </c>
      <c r="B8" s="3263">
        <v>15</v>
      </c>
      <c r="C8" s="3279"/>
      <c r="D8" s="3299"/>
      <c r="E8" s="122" t="s">
        <v>1273</v>
      </c>
      <c r="F8" s="1621"/>
      <c r="G8" s="1621"/>
      <c r="H8" s="1621"/>
      <c r="I8" s="1275"/>
    </row>
    <row r="9" spans="1:12" ht="12.75">
      <c r="A9" s="3276"/>
      <c r="B9" s="3263"/>
      <c r="C9" s="3281"/>
      <c r="D9" s="3299"/>
      <c r="E9" s="122" t="s">
        <v>1274</v>
      </c>
      <c r="F9" s="1621"/>
      <c r="G9" s="1621"/>
      <c r="H9" s="1621"/>
      <c r="I9" s="1275"/>
    </row>
    <row r="10" spans="1:12" ht="12.75">
      <c r="A10" s="3276" t="s">
        <v>1275</v>
      </c>
      <c r="B10" s="3263">
        <v>15</v>
      </c>
      <c r="C10" s="3279"/>
      <c r="D10" s="3299"/>
      <c r="E10" s="122" t="s">
        <v>1276</v>
      </c>
      <c r="F10" s="1621"/>
      <c r="G10" s="1621"/>
      <c r="H10" s="1621"/>
      <c r="I10" s="1275"/>
    </row>
    <row r="11" spans="1:12" ht="12.75">
      <c r="A11" s="3276"/>
      <c r="B11" s="3263"/>
      <c r="C11" s="3281"/>
      <c r="D11" s="3299"/>
      <c r="E11" s="122" t="s">
        <v>1277</v>
      </c>
      <c r="F11" s="1621"/>
      <c r="G11" s="1621"/>
      <c r="H11" s="1621"/>
      <c r="I11" s="1275"/>
    </row>
    <row r="12" spans="1:12" ht="12.75">
      <c r="A12" s="3276" t="s">
        <v>1278</v>
      </c>
      <c r="B12" s="3263">
        <v>15</v>
      </c>
      <c r="C12" s="3279"/>
      <c r="D12" s="3299"/>
      <c r="E12" s="122" t="s">
        <v>1279</v>
      </c>
      <c r="F12" s="1621"/>
      <c r="G12" s="1621"/>
      <c r="H12" s="1621"/>
      <c r="I12" s="1275"/>
    </row>
    <row r="13" spans="1:12" ht="12.75">
      <c r="A13" s="3276"/>
      <c r="B13" s="3263"/>
      <c r="C13" s="3281"/>
      <c r="D13" s="3299"/>
      <c r="E13" s="122" t="s">
        <v>1280</v>
      </c>
      <c r="F13" s="1621"/>
      <c r="G13" s="1621"/>
      <c r="H13" s="1621"/>
      <c r="I13" s="1275"/>
    </row>
    <row r="14" spans="1:12" ht="12.75">
      <c r="A14" s="3276" t="s">
        <v>1281</v>
      </c>
      <c r="B14" s="3263">
        <v>30</v>
      </c>
      <c r="C14" s="3279">
        <v>5</v>
      </c>
      <c r="D14" s="3299">
        <v>5</v>
      </c>
      <c r="E14" s="122" t="s">
        <v>1282</v>
      </c>
      <c r="F14" s="1621"/>
      <c r="G14" s="1621"/>
      <c r="H14" s="1621"/>
      <c r="I14" s="1275"/>
    </row>
    <row r="15" spans="1:12" ht="12.75">
      <c r="A15" s="3276"/>
      <c r="B15" s="3263"/>
      <c r="C15" s="3280"/>
      <c r="D15" s="3299"/>
      <c r="E15" s="122" t="s">
        <v>1283</v>
      </c>
      <c r="F15" s="1621"/>
      <c r="G15" s="1621"/>
      <c r="H15" s="1621"/>
      <c r="I15" s="1275"/>
    </row>
    <row r="16" spans="1:12" ht="12.75">
      <c r="A16" s="3276"/>
      <c r="B16" s="3263"/>
      <c r="C16" s="3281"/>
      <c r="D16" s="3299"/>
      <c r="E16" s="122" t="s">
        <v>1284</v>
      </c>
      <c r="F16" s="1621"/>
      <c r="G16" s="1621"/>
      <c r="H16" s="1621"/>
      <c r="I16" s="1275"/>
    </row>
    <row r="17" spans="1:36" ht="15">
      <c r="A17" s="1622" t="s">
        <v>1285</v>
      </c>
      <c r="B17" s="54"/>
      <c r="C17" s="123">
        <f>SUM(C5:C16)</f>
        <v>5</v>
      </c>
      <c r="D17" s="123">
        <f>SUM(D5:D16)</f>
        <v>5</v>
      </c>
      <c r="E17" s="120"/>
      <c r="F17" s="120"/>
      <c r="G17" s="120"/>
      <c r="H17" s="120"/>
      <c r="I17" s="120"/>
      <c r="K17" s="293"/>
      <c r="L17" s="293" t="s">
        <v>1286</v>
      </c>
      <c r="M17" s="293" t="s">
        <v>1287</v>
      </c>
    </row>
    <row r="18" spans="1:36" ht="31.9" customHeight="1" thickBot="1">
      <c r="A18" s="1623" t="s">
        <v>1288</v>
      </c>
      <c r="B18" s="1536"/>
      <c r="C18" s="124">
        <f>ROUND(C17/SUM(C17:D17),2)</f>
        <v>0.5</v>
      </c>
      <c r="D18" s="124">
        <f>1-C18</f>
        <v>0.5</v>
      </c>
      <c r="E18" s="3286" t="s">
        <v>2130</v>
      </c>
      <c r="F18" s="3287"/>
      <c r="G18" s="3287"/>
      <c r="H18" s="3287"/>
      <c r="I18" s="3287"/>
      <c r="K18" s="293" t="s">
        <v>1289</v>
      </c>
      <c r="L18" s="293">
        <f>IF(C1="",'数据-汇总表'!E3,SUMIF(项目类型,C1,'数据-汇总表'!E17:E26)+SUMIF(项目类型,C1,'数据-汇总表'!I17:I26))</f>
        <v>64756.12</v>
      </c>
      <c r="M18" s="293">
        <f>IF(C1="",'数据-汇总表'!E3,SUMIF(项目类型,C1,'数据-汇总表'!E17:E26))</f>
        <v>64756.12</v>
      </c>
    </row>
    <row r="19" spans="1:36" ht="15">
      <c r="A19" s="1624" t="s">
        <v>1290</v>
      </c>
      <c r="B19" s="1625" t="s">
        <v>1291</v>
      </c>
      <c r="C19" s="125">
        <f ca="1">SUMIF(INDIRECT("'"&amp;C4&amp;"'"&amp;"!A:A"),结果表!B19,INDIRECT("'"&amp;C4&amp;"'"&amp;"!B:B"))</f>
        <v>118955</v>
      </c>
      <c r="D19" s="126">
        <f ca="1">SUMIF(INDIRECT("'"&amp;D4&amp;"'"&amp;"!A:A"),结果表!B19,INDIRECT("'"&amp;D4&amp;"'"&amp;"!B:B"))</f>
        <v>97777</v>
      </c>
      <c r="E19" s="1624" t="s">
        <v>1292</v>
      </c>
      <c r="F19" s="1625" t="s">
        <v>1291</v>
      </c>
      <c r="G19" s="127">
        <f ca="1">ROUND(C19*$C$18+D19*$D$18,0)</f>
        <v>108366</v>
      </c>
      <c r="H19" s="1626" t="s">
        <v>1293</v>
      </c>
      <c r="I19" s="120"/>
      <c r="K19" s="293" t="s">
        <v>1294</v>
      </c>
      <c r="L19" s="293">
        <f>IF(C1="",'数据-汇总表'!D3,SUMIF(项目类型,C1,'数据-汇总表'!D17:D26)+SUMIF(项目类型,C1,'数据-汇总表'!H17:H27))</f>
        <v>15478.33</v>
      </c>
      <c r="M19" s="293">
        <f>IF(C1="",'数据-汇总表'!D3,SUMIF(项目类型,C1,'数据-汇总表'!D17:D26))</f>
        <v>15478.33</v>
      </c>
    </row>
    <row r="20" spans="1:36" ht="15">
      <c r="A20" s="1627"/>
      <c r="B20" s="43" t="s">
        <v>1295</v>
      </c>
      <c r="C20" s="128">
        <f ca="1">SUMIF(INDIRECT("'"&amp;C4&amp;"'"&amp;"!A:A"),结果表!B20,INDIRECT("'"&amp;C4&amp;"'"&amp;"!B:B"))</f>
        <v>18370</v>
      </c>
      <c r="D20" s="129">
        <f ca="1">SUMIF(INDIRECT("'"&amp;D4&amp;"'"&amp;"!A:A"),结果表!B20,INDIRECT("'"&amp;D4&amp;"'"&amp;"!B:B"))</f>
        <v>15099</v>
      </c>
      <c r="E20" s="1627"/>
      <c r="F20" s="43" t="s">
        <v>1295</v>
      </c>
      <c r="G20" s="130">
        <f ca="1">ROUND(C20*$C$18+D20*$D$18,0)</f>
        <v>16735</v>
      </c>
      <c r="H20" s="754" t="s">
        <v>1296</v>
      </c>
      <c r="I20" s="120"/>
    </row>
    <row r="21" spans="1:36" ht="15" customHeight="1" thickBot="1">
      <c r="A21" s="448"/>
      <c r="B21" s="93" t="s">
        <v>1297</v>
      </c>
      <c r="C21" s="677">
        <f ca="1">ROUND(C19*10000/L19,0)</f>
        <v>76853</v>
      </c>
      <c r="D21" s="678">
        <f ca="1">ROUND(D19*10000/L19,0)</f>
        <v>63170</v>
      </c>
      <c r="E21" s="448"/>
      <c r="F21" s="93" t="s">
        <v>1297</v>
      </c>
      <c r="G21" s="131">
        <f ca="1">ROUND(G19*10000/L19,0)</f>
        <v>70011</v>
      </c>
      <c r="H21" s="1628" t="s">
        <v>1296</v>
      </c>
      <c r="I21" s="120"/>
    </row>
    <row r="22" spans="1:36" ht="15" thickBot="1">
      <c r="A22" s="1558" t="s">
        <v>1298</v>
      </c>
      <c r="B22" s="1629"/>
      <c r="C22" s="1630"/>
      <c r="D22" s="679">
        <f ca="1">IF(C19&lt;D19,D19/C19-1,C19/D19-1)</f>
        <v>0.21659490473219667</v>
      </c>
      <c r="E22" s="120"/>
      <c r="F22" s="120"/>
      <c r="G22" s="120"/>
      <c r="H22" s="120"/>
      <c r="I22" s="120"/>
    </row>
    <row r="23" spans="1:36" ht="13.5" thickBot="1">
      <c r="A23" s="645"/>
      <c r="B23" s="645"/>
      <c r="C23" s="645"/>
      <c r="D23" s="645"/>
      <c r="E23" s="120"/>
      <c r="F23" s="120"/>
      <c r="G23" s="120"/>
      <c r="H23" s="120"/>
      <c r="I23" s="120"/>
    </row>
    <row r="24" spans="1:36" ht="14.25">
      <c r="A24" s="3270" t="s">
        <v>1299</v>
      </c>
      <c r="B24" s="1625" t="s">
        <v>1291</v>
      </c>
      <c r="C24" s="127">
        <f>IF(B30=0,0,D30)</f>
        <v>0</v>
      </c>
      <c r="D24" s="1631"/>
      <c r="E24" s="120"/>
      <c r="F24" s="120"/>
      <c r="G24" s="120"/>
      <c r="H24" s="120"/>
      <c r="I24" s="120"/>
    </row>
    <row r="25" spans="1:36" ht="14.25">
      <c r="A25" s="3271"/>
      <c r="B25" s="43" t="s">
        <v>1295</v>
      </c>
      <c r="C25" s="132">
        <f>IF(B30=0,0,C30)</f>
        <v>0</v>
      </c>
      <c r="D25" s="1632"/>
      <c r="E25" s="120"/>
      <c r="F25" s="120"/>
      <c r="G25" s="120"/>
      <c r="H25" s="120"/>
      <c r="I25" s="120"/>
    </row>
    <row r="26" spans="1:36" ht="13.5" customHeight="1">
      <c r="A26" s="1633" t="s">
        <v>1300</v>
      </c>
      <c r="B26" s="133" t="s">
        <v>1301</v>
      </c>
      <c r="C26" s="133" t="s">
        <v>1302</v>
      </c>
      <c r="D26" s="134" t="s">
        <v>1303</v>
      </c>
      <c r="E26" s="120"/>
      <c r="F26" s="120"/>
      <c r="G26" s="120"/>
      <c r="H26" s="120"/>
      <c r="I26" s="120"/>
    </row>
    <row r="27" spans="1:36" ht="14.25">
      <c r="A27" s="1633"/>
      <c r="B27" s="133">
        <v>0</v>
      </c>
      <c r="C27" s="133">
        <v>0</v>
      </c>
      <c r="D27" s="134">
        <f>ROUND(C27*B27/10000,0)</f>
        <v>0</v>
      </c>
      <c r="E27" s="120"/>
      <c r="F27" s="120"/>
      <c r="G27" s="120"/>
      <c r="H27" s="120"/>
      <c r="I27" s="120"/>
    </row>
    <row r="28" spans="1:36" ht="14.25">
      <c r="A28" s="1633"/>
      <c r="B28" s="133"/>
      <c r="C28" s="133"/>
      <c r="D28" s="134"/>
      <c r="E28" s="120"/>
      <c r="F28" s="120"/>
      <c r="G28" s="120"/>
      <c r="H28" s="120"/>
      <c r="I28" s="120"/>
    </row>
    <row r="29" spans="1:36" ht="14.25">
      <c r="A29" s="1633"/>
      <c r="B29" s="133"/>
      <c r="C29" s="133"/>
      <c r="D29" s="134"/>
      <c r="E29" s="120"/>
      <c r="F29" s="120"/>
      <c r="G29" s="120"/>
      <c r="H29" s="120"/>
      <c r="I29" s="120"/>
    </row>
    <row r="30" spans="1:36" ht="15" thickBot="1">
      <c r="A30" s="133" t="s">
        <v>1304</v>
      </c>
      <c r="B30" s="133"/>
      <c r="C30" s="133"/>
      <c r="D30" s="133"/>
      <c r="E30" s="2119" t="s">
        <v>2131</v>
      </c>
      <c r="F30" s="120"/>
      <c r="G30" s="120"/>
      <c r="H30" s="120"/>
      <c r="I30" s="120"/>
    </row>
    <row r="31" spans="1:36" s="2125" customFormat="1" ht="26.45" customHeight="1" thickTop="1" thickBot="1">
      <c r="A31" s="2120"/>
      <c r="B31" s="2121"/>
      <c r="C31" s="2121"/>
      <c r="D31" s="2121"/>
      <c r="E31" s="2121"/>
      <c r="F31" s="2121"/>
      <c r="G31" s="2121"/>
      <c r="H31" s="2121"/>
      <c r="I31" s="2122" t="s">
        <v>2132</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1305</v>
      </c>
      <c r="B32" s="1529"/>
      <c r="C32" s="135">
        <f ca="1">IF(D32="总价",G19-C24,G20-C25)</f>
        <v>108366</v>
      </c>
      <c r="D32" s="1635" t="s">
        <v>4080</v>
      </c>
      <c r="E32" s="120"/>
      <c r="F32" s="120"/>
      <c r="G32" s="120"/>
      <c r="H32" s="120"/>
      <c r="I32" s="120"/>
    </row>
    <row r="33" spans="1:15" ht="15">
      <c r="A33" s="734" t="s">
        <v>1306</v>
      </c>
      <c r="B33" s="122"/>
      <c r="C33" s="1636" t="s">
        <v>4081</v>
      </c>
      <c r="D33" s="1637" t="s">
        <v>4067</v>
      </c>
      <c r="E33" s="1638" t="s">
        <v>1307</v>
      </c>
      <c r="F33" s="1639" t="str">
        <f>IF(D32="楼面单价","取值（单价）","取值（总价）")</f>
        <v>取值（总价）</v>
      </c>
      <c r="G33" s="120"/>
      <c r="H33" s="120"/>
      <c r="I33" s="120"/>
    </row>
    <row r="34" spans="1:15" ht="15">
      <c r="A34" s="1640"/>
      <c r="B34" s="1641" t="s">
        <v>1308</v>
      </c>
      <c r="C34" s="139">
        <f ca="1">IF(C33="自定义",F34,C32-C35)</f>
        <v>85609</v>
      </c>
      <c r="D34" s="802">
        <f ca="1">IF(C33="自定义",ROUND(C34/C32,3),IF(C33="收益比率",SUMIF(INDIRECT("'"&amp;D33&amp;"'"&amp;"!b:b"),"土地收益比率",INDIRECT("'"&amp;D33&amp;"'"&amp;"!c:c")),SUMIF(INDIRECT("'"&amp;D33&amp;"'"&amp;"!b:b"),"土地成本比率",INDIRECT("'"&amp;D33&amp;"'"&amp;"!c:c"))))</f>
        <v>0.79</v>
      </c>
      <c r="E34" s="1642" t="s">
        <v>1309</v>
      </c>
      <c r="F34" s="1237"/>
      <c r="G34" s="120"/>
      <c r="H34" s="120"/>
      <c r="I34" s="120"/>
    </row>
    <row r="35" spans="1:15" ht="15.75" thickBot="1">
      <c r="A35" s="1643"/>
      <c r="B35" s="1644" t="s">
        <v>1310</v>
      </c>
      <c r="C35" s="1084">
        <f ca="1">IF(C33="自定义",F35,ROUND(C32*D35,0))</f>
        <v>22757</v>
      </c>
      <c r="D35" s="1085">
        <f ca="1">IF(C33="自定义",ROUND(C35/C32,3),IF(C33="收益比率",SUMIF(INDIRECT("'"&amp;D33&amp;"'"&amp;"!b:b"),"建筑物收益比率",INDIRECT("'"&amp;D33&amp;"'"&amp;"!c:c")),SUMIF(INDIRECT("'"&amp;D33&amp;"'"&amp;"!b:b"),"建筑物成本比率",INDIRECT("'"&amp;D33&amp;"'"&amp;"!c:c"))))</f>
        <v>0.21</v>
      </c>
      <c r="E35" s="1645" t="s">
        <v>1311</v>
      </c>
      <c r="F35" s="145"/>
      <c r="G35" s="120"/>
      <c r="H35" s="120"/>
      <c r="I35" s="120"/>
    </row>
    <row r="36" spans="1:15" ht="15.75" thickBot="1">
      <c r="A36" s="3290" t="s">
        <v>1312</v>
      </c>
      <c r="B36" s="1646" t="s">
        <v>1313</v>
      </c>
      <c r="C36" s="136"/>
      <c r="D36" s="1647"/>
      <c r="E36" s="1561"/>
      <c r="F36" s="1648"/>
      <c r="G36" s="120"/>
      <c r="H36" s="120"/>
      <c r="I36" s="120"/>
    </row>
    <row r="37" spans="1:15" ht="15.75" thickBot="1">
      <c r="A37" s="3291"/>
      <c r="B37" s="1549" t="s">
        <v>1314</v>
      </c>
      <c r="C37" s="138"/>
      <c r="D37" s="1065"/>
      <c r="E37" s="1065"/>
      <c r="F37" s="1648"/>
      <c r="G37" s="120"/>
      <c r="H37" s="120"/>
      <c r="I37" s="120"/>
    </row>
    <row r="38" spans="1:15" ht="15.75" thickBot="1">
      <c r="A38" s="3292"/>
      <c r="B38" s="1649" t="s">
        <v>1315</v>
      </c>
      <c r="C38" s="640"/>
      <c r="D38" s="1650" t="s">
        <v>1316</v>
      </c>
      <c r="E38" s="1065"/>
      <c r="F38" s="1648"/>
      <c r="G38" s="120"/>
      <c r="H38" s="120"/>
      <c r="I38" s="120"/>
    </row>
    <row r="39" spans="1:15" ht="15">
      <c r="A39" s="1627" t="s">
        <v>1317</v>
      </c>
      <c r="B39" s="1651" t="s">
        <v>1318</v>
      </c>
      <c r="C39" s="1652" t="s">
        <v>1319</v>
      </c>
      <c r="D39" s="1652" t="s">
        <v>1320</v>
      </c>
      <c r="E39" s="1653" t="s">
        <v>1321</v>
      </c>
      <c r="F39" s="1648"/>
      <c r="G39" s="120"/>
      <c r="H39" s="120"/>
      <c r="I39" s="120"/>
    </row>
    <row r="40" spans="1:15" ht="14.25">
      <c r="A40" s="1654" t="s">
        <v>1322</v>
      </c>
      <c r="B40" s="140"/>
      <c r="C40" s="141"/>
      <c r="D40" s="141"/>
      <c r="E40" s="142"/>
      <c r="F40" s="1648"/>
      <c r="G40" s="120"/>
      <c r="H40" s="120"/>
      <c r="I40" s="120"/>
    </row>
    <row r="41" spans="1:15" ht="14.25">
      <c r="A41" s="1654" t="s">
        <v>1323</v>
      </c>
      <c r="B41" s="140"/>
      <c r="C41" s="141"/>
      <c r="D41" s="141"/>
      <c r="E41" s="142"/>
      <c r="F41" s="1648"/>
      <c r="G41" s="120"/>
      <c r="H41" s="120"/>
      <c r="I41" s="120"/>
    </row>
    <row r="42" spans="1:15" ht="15" thickBot="1">
      <c r="A42" s="1655"/>
      <c r="B42" s="143"/>
      <c r="C42" s="144"/>
      <c r="D42" s="144"/>
      <c r="E42" s="145"/>
      <c r="F42" s="1648"/>
      <c r="G42" s="120"/>
      <c r="H42" s="120"/>
      <c r="I42" s="120"/>
    </row>
    <row r="43" spans="1:15" ht="12.75">
      <c r="A43" s="1461"/>
      <c r="B43" s="1461"/>
      <c r="C43" s="1461"/>
      <c r="D43" s="1461"/>
      <c r="E43" s="1461"/>
      <c r="F43" s="1656"/>
      <c r="G43" s="1656"/>
      <c r="H43" s="1656"/>
      <c r="I43" s="1657"/>
    </row>
    <row r="44" spans="1:15" ht="18.75">
      <c r="A44" s="1458" t="s">
        <v>1324</v>
      </c>
      <c r="B44" s="1658"/>
      <c r="C44" s="1658"/>
      <c r="D44" s="1659"/>
      <c r="E44" s="1659"/>
      <c r="F44" s="1660"/>
      <c r="G44" s="1660"/>
      <c r="H44" s="1660"/>
      <c r="I44" s="1660"/>
      <c r="J44" s="1661" t="s">
        <v>1325</v>
      </c>
      <c r="K44" s="4"/>
      <c r="L44" s="4"/>
      <c r="M44" s="4"/>
      <c r="N44" s="4"/>
      <c r="O44" s="4"/>
    </row>
    <row r="45" spans="1:15" ht="14.25" customHeight="1" thickBot="1">
      <c r="A45" s="3267" t="s">
        <v>1326</v>
      </c>
      <c r="B45" s="3268"/>
      <c r="C45" s="3269"/>
      <c r="D45" s="146">
        <f ca="1">ROUND(H101*F45,0)</f>
        <v>108366</v>
      </c>
      <c r="E45" s="147" t="s">
        <v>1327</v>
      </c>
      <c r="F45" s="148">
        <v>1</v>
      </c>
      <c r="G45" s="149" t="s">
        <v>1328</v>
      </c>
      <c r="H45" s="120"/>
      <c r="I45" s="120"/>
      <c r="J45" s="3345" t="s">
        <v>1329</v>
      </c>
      <c r="K45" s="3345"/>
      <c r="L45" s="3345"/>
      <c r="M45" s="3345"/>
      <c r="N45" s="3345"/>
      <c r="O45" s="3345"/>
    </row>
    <row r="46" spans="1:15" ht="14.25" customHeight="1">
      <c r="A46" s="3264" t="s">
        <v>1330</v>
      </c>
      <c r="B46" s="3265"/>
      <c r="C46" s="3265"/>
      <c r="D46" s="3265"/>
      <c r="E46" s="3265"/>
      <c r="F46" s="3265"/>
      <c r="G46" s="3266"/>
      <c r="H46" s="1662"/>
      <c r="I46" s="150"/>
      <c r="J46" s="2301">
        <v>1</v>
      </c>
      <c r="K46" s="3326" t="s">
        <v>1331</v>
      </c>
      <c r="L46" s="3326"/>
      <c r="M46" s="3346"/>
      <c r="N46" s="3346"/>
      <c r="O46" s="3346"/>
    </row>
    <row r="47" spans="1:15" ht="12" customHeight="1">
      <c r="A47" s="151" t="s">
        <v>1332</v>
      </c>
      <c r="B47" s="152"/>
      <c r="C47" s="153"/>
      <c r="D47" s="1018" t="s">
        <v>1333</v>
      </c>
      <c r="E47" s="293" t="s">
        <v>1334</v>
      </c>
      <c r="F47" s="154" t="s">
        <v>1335</v>
      </c>
      <c r="G47" s="2324" t="s">
        <v>1336</v>
      </c>
      <c r="H47" s="2325"/>
      <c r="I47" s="150"/>
      <c r="J47" s="2301">
        <v>2</v>
      </c>
      <c r="K47" s="3326" t="s">
        <v>1337</v>
      </c>
      <c r="L47" s="3326"/>
      <c r="M47" s="3347">
        <f>'数据-取费表'!B2</f>
        <v>45595</v>
      </c>
      <c r="N47" s="3347"/>
      <c r="O47" s="3347"/>
    </row>
    <row r="48" spans="1:15" ht="25.5">
      <c r="A48" s="3295" t="s">
        <v>1338</v>
      </c>
      <c r="B48" s="3278"/>
      <c r="C48" s="3278"/>
      <c r="D48" s="12" t="b">
        <f>IF(H48="情况1",0,IF(H48="情况2",D52,IF(H48="情况3",D53,IF(H48="情况4",D54))))</f>
        <v>0</v>
      </c>
      <c r="E48" s="1250" t="str">
        <f>IF(H48="情况4","(销售额-原购置价)×税（费）率","销售额×税（费）率")</f>
        <v>销售额×税（费）率</v>
      </c>
      <c r="F48" s="2326">
        <f>IF(H48="情况1","免征",'数据-取费表'!B41)</f>
        <v>5.5000000000000007E-2</v>
      </c>
      <c r="G48" s="2327" t="s">
        <v>1339</v>
      </c>
      <c r="H48" s="2328"/>
      <c r="I48" s="1662"/>
      <c r="J48" s="2301">
        <v>3</v>
      </c>
      <c r="K48" s="3326" t="s">
        <v>1340</v>
      </c>
      <c r="L48" s="3326"/>
      <c r="M48" s="3348">
        <f ca="1">H101</f>
        <v>108366</v>
      </c>
      <c r="N48" s="3348"/>
      <c r="O48" s="3348"/>
    </row>
    <row r="49" spans="1:35" ht="25.5" customHeight="1">
      <c r="A49" s="2144" t="s">
        <v>1341</v>
      </c>
      <c r="B49" s="3262" t="s">
        <v>1342</v>
      </c>
      <c r="C49" s="3262"/>
      <c r="D49" s="1472">
        <v>0</v>
      </c>
      <c r="E49" s="315" t="s">
        <v>1343</v>
      </c>
      <c r="F49" s="2225" t="s">
        <v>28</v>
      </c>
      <c r="G49" s="3332"/>
      <c r="H49" s="2126" t="s">
        <v>2133</v>
      </c>
      <c r="I49" s="2127"/>
      <c r="J49" s="2301">
        <v>4</v>
      </c>
      <c r="K49" s="3326" t="str">
        <f>IF(项目基本情况!E8="房地产抵押价值","房地产抵押价值","抵押担保权已注销时的房地产抵押价值")</f>
        <v>房地产抵押价值</v>
      </c>
      <c r="L49" s="3326"/>
      <c r="M49" s="3348">
        <f ca="1">IF(项目基本情况!E8="房地产抵押价值",H107,H109)</f>
        <v>108366</v>
      </c>
      <c r="N49" s="3348"/>
      <c r="O49" s="3348"/>
    </row>
    <row r="50" spans="1:35" ht="25.5" customHeight="1">
      <c r="A50" s="2329"/>
      <c r="B50" s="3262" t="s">
        <v>1344</v>
      </c>
      <c r="C50" s="3262"/>
      <c r="D50" s="2181"/>
      <c r="E50" s="322"/>
      <c r="F50" s="2225"/>
      <c r="G50" s="3333"/>
      <c r="H50" s="2128" t="s">
        <v>2134</v>
      </c>
      <c r="I50" s="2127"/>
      <c r="J50" s="3345" t="s">
        <v>1345</v>
      </c>
      <c r="K50" s="3345"/>
      <c r="L50" s="3345"/>
      <c r="M50" s="3345"/>
      <c r="N50" s="3345"/>
      <c r="O50" s="3345"/>
    </row>
    <row r="51" spans="1:35" ht="20.45" customHeight="1">
      <c r="A51" s="2330"/>
      <c r="B51" s="3262" t="s">
        <v>1346</v>
      </c>
      <c r="C51" s="3262"/>
      <c r="D51" s="1018"/>
      <c r="E51" s="318"/>
      <c r="F51" s="2225"/>
      <c r="G51" s="3334"/>
      <c r="H51" s="2128" t="s">
        <v>2135</v>
      </c>
      <c r="I51" s="2127"/>
      <c r="J51" s="2302" t="s">
        <v>1347</v>
      </c>
      <c r="K51" s="3326" t="s">
        <v>1348</v>
      </c>
      <c r="L51" s="3326"/>
      <c r="M51" s="2302" t="s">
        <v>1349</v>
      </c>
      <c r="N51" s="2302" t="s">
        <v>1350</v>
      </c>
      <c r="O51" s="2302" t="s">
        <v>1351</v>
      </c>
    </row>
    <row r="52" spans="1:35" ht="24" customHeight="1">
      <c r="A52" s="2145" t="s">
        <v>1352</v>
      </c>
      <c r="B52" s="3262" t="s">
        <v>1353</v>
      </c>
      <c r="C52" s="3262"/>
      <c r="D52" s="1018">
        <f ca="1">ROUND(D45*'数据-取费表'!B41/(1+'数据-取费表'!C42),0)</f>
        <v>5676</v>
      </c>
      <c r="E52" s="1250" t="s">
        <v>1354</v>
      </c>
      <c r="F52" s="2331">
        <f>'数据-取费表'!B41</f>
        <v>5.5000000000000007E-2</v>
      </c>
      <c r="G52" s="2332"/>
      <c r="H52" s="2322"/>
      <c r="I52" s="1663"/>
      <c r="J52" s="2301">
        <v>1</v>
      </c>
      <c r="K52" s="3327" t="s">
        <v>1355</v>
      </c>
      <c r="L52" s="3327"/>
      <c r="M52" s="2303" t="b">
        <f>D48</f>
        <v>0</v>
      </c>
      <c r="N52" s="2301" t="str">
        <f>E48</f>
        <v>销售额×税（费）率</v>
      </c>
      <c r="O52" s="2304">
        <f>F48</f>
        <v>5.5000000000000007E-2</v>
      </c>
    </row>
    <row r="53" spans="1:35" ht="12" customHeight="1">
      <c r="A53" s="2145" t="s">
        <v>1356</v>
      </c>
      <c r="B53" s="3288" t="s">
        <v>2286</v>
      </c>
      <c r="C53" s="3289"/>
      <c r="D53" s="1018">
        <f ca="1">ROUND(D45*'数据-取费表'!B41/(1+'数据-取费表'!C42),0)</f>
        <v>5676</v>
      </c>
      <c r="E53" s="1250" t="s">
        <v>1354</v>
      </c>
      <c r="F53" s="2331">
        <f>'数据-取费表'!B41</f>
        <v>5.5000000000000007E-2</v>
      </c>
      <c r="G53" s="2332"/>
      <c r="H53" s="2322"/>
      <c r="I53" s="1663"/>
      <c r="J53" s="2301">
        <v>2</v>
      </c>
      <c r="K53" s="3327" t="s">
        <v>1357</v>
      </c>
      <c r="L53" s="3327"/>
      <c r="M53" s="2303">
        <f t="shared" ref="M53:O54" ca="1" si="0">D55</f>
        <v>54</v>
      </c>
      <c r="N53" s="2301" t="str">
        <f t="shared" si="0"/>
        <v>销售额×税（费）率</v>
      </c>
      <c r="O53" s="2304" t="str">
        <f t="shared" si="0"/>
        <v>免征</v>
      </c>
    </row>
    <row r="54" spans="1:35" ht="12" customHeight="1">
      <c r="A54" s="2145" t="s">
        <v>1358</v>
      </c>
      <c r="B54" s="3288" t="s">
        <v>2287</v>
      </c>
      <c r="C54" s="3289"/>
      <c r="D54" s="1018">
        <f ca="1">C68</f>
        <v>5676</v>
      </c>
      <c r="E54" s="318" t="s">
        <v>1359</v>
      </c>
      <c r="F54" s="2331">
        <f>'数据-取费表'!B41</f>
        <v>5.5000000000000007E-2</v>
      </c>
      <c r="G54" s="2332"/>
      <c r="H54" s="2333"/>
      <c r="I54" s="1663"/>
      <c r="J54" s="2301">
        <v>3</v>
      </c>
      <c r="K54" s="3327" t="s">
        <v>1360</v>
      </c>
      <c r="L54" s="3327"/>
      <c r="M54" s="2303">
        <f t="shared" ca="1" si="0"/>
        <v>61433</v>
      </c>
      <c r="N54" s="2301" t="str">
        <f t="shared" si="0"/>
        <v>增值额×税（费）率</v>
      </c>
      <c r="O54" s="2305" t="str">
        <f t="shared" si="0"/>
        <v>免征</v>
      </c>
    </row>
    <row r="55" spans="1:35" ht="24" customHeight="1">
      <c r="A55" s="3277" t="s">
        <v>1361</v>
      </c>
      <c r="B55" s="3278"/>
      <c r="C55" s="3278"/>
      <c r="D55" s="12">
        <f ca="1">IF(H55="个人住宅",0,ROUND(D45*I55,0))</f>
        <v>54</v>
      </c>
      <c r="E55" s="1250" t="s">
        <v>1362</v>
      </c>
      <c r="F55" s="2331" t="str">
        <f>IF(H55="正常",I55,"免征")</f>
        <v>免征</v>
      </c>
      <c r="G55" s="2332"/>
      <c r="H55" s="2328"/>
      <c r="I55" s="156">
        <f>'数据-取费表'!B49</f>
        <v>5.0000000000000001E-4</v>
      </c>
      <c r="J55" s="2301">
        <f>IF(H59="非个人房产","",4)</f>
        <v>4</v>
      </c>
      <c r="K55" s="3327" t="str">
        <f>IF(H59="非个人房产","——","个人所得税")</f>
        <v>个人所得税</v>
      </c>
      <c r="L55" s="3327"/>
      <c r="M55" s="2306">
        <f ca="1">D59</f>
        <v>1032</v>
      </c>
      <c r="N55" s="1875" t="str">
        <f>E59</f>
        <v>差额计税</v>
      </c>
      <c r="O55" s="2307">
        <f>F59</f>
        <v>0.01</v>
      </c>
    </row>
    <row r="56" spans="1:35" ht="24.75">
      <c r="A56" s="3277" t="s">
        <v>1363</v>
      </c>
      <c r="B56" s="3278"/>
      <c r="C56" s="3278"/>
      <c r="D56" s="12">
        <f ca="1">IF(H56="个人住宅",D57,D58)</f>
        <v>61433</v>
      </c>
      <c r="E56" s="1250" t="s">
        <v>1364</v>
      </c>
      <c r="F56" s="2331" t="str">
        <f>IF(H56="正常",F58,"免征")</f>
        <v>免征</v>
      </c>
      <c r="G56" s="2334" t="s">
        <v>1365</v>
      </c>
      <c r="H56" s="2335"/>
      <c r="I56" s="1664"/>
      <c r="J56" s="2301" t="str">
        <f>IF(项目基本情况!K6="上海银行",IF(J55="",4,J55+1),"")</f>
        <v/>
      </c>
      <c r="K56" s="3350" t="str">
        <f>IF(项目基本情况!K6="上海银行","其他处置费用","")</f>
        <v/>
      </c>
      <c r="L56" s="3351"/>
      <c r="M56" s="2303" t="str">
        <f>IF(项目基本情况!K6="上海银行",M69,"")</f>
        <v/>
      </c>
      <c r="N56" s="3350" t="str">
        <f>IF(项目基本情况!K6="上海银行","包含处置中涉及的律师、诉讼、拍卖、评估等费用","")</f>
        <v/>
      </c>
      <c r="O56" s="3353"/>
    </row>
    <row r="57" spans="1:35" ht="12.75">
      <c r="A57" s="2145" t="s">
        <v>1341</v>
      </c>
      <c r="B57" s="3288" t="s">
        <v>1366</v>
      </c>
      <c r="C57" s="3289"/>
      <c r="D57" s="1472">
        <v>0</v>
      </c>
      <c r="E57" s="315" t="s">
        <v>1343</v>
      </c>
      <c r="F57" s="293"/>
      <c r="G57" s="2332"/>
      <c r="H57" s="2336"/>
      <c r="I57" s="1664"/>
      <c r="J57" s="3327">
        <f>IF(AND(J55="",J56=""),4,IF(项目基本情况!K6="上海银行",结果表!J56+1,结果表!J55+1))</f>
        <v>5</v>
      </c>
      <c r="K57" s="3327" t="s">
        <v>1367</v>
      </c>
      <c r="L57" s="2308" t="s">
        <v>1368</v>
      </c>
      <c r="M57" s="2309"/>
      <c r="N57" s="2310">
        <f ca="1">SUMIF(M52:M56,"&lt;9e307")</f>
        <v>62519</v>
      </c>
      <c r="O57" s="2311"/>
      <c r="P57" s="2455">
        <f ca="1">N57/M49</f>
        <v>0.5769244966133289</v>
      </c>
    </row>
    <row r="58" spans="1:35" ht="24.75">
      <c r="A58" s="2145" t="s">
        <v>1352</v>
      </c>
      <c r="B58" s="3288" t="s">
        <v>1369</v>
      </c>
      <c r="C58" s="3262"/>
      <c r="D58" s="12">
        <f ca="1">IF(H58="转让取得",C81,C97)</f>
        <v>61433</v>
      </c>
      <c r="E58" s="1250" t="s">
        <v>1364</v>
      </c>
      <c r="F58" s="293" t="s">
        <v>28</v>
      </c>
      <c r="G58" s="2332"/>
      <c r="H58" s="2335"/>
      <c r="I58" s="1664"/>
      <c r="J58" s="3327"/>
      <c r="K58" s="3327"/>
      <c r="L58" s="2308" t="s">
        <v>1370</v>
      </c>
      <c r="M58" s="2312"/>
      <c r="N58" s="2313" t="str">
        <f ca="1">NUMBERSTRING(INT(N57*10000),2)&amp;"元整"</f>
        <v>陆亿贰仟伍佰壹拾玖万元整</v>
      </c>
      <c r="O58" s="2314"/>
    </row>
    <row r="59" spans="1:35" ht="24.75" thickBot="1">
      <c r="A59" s="3330" t="s">
        <v>1371</v>
      </c>
      <c r="B59" s="3331"/>
      <c r="C59" s="3331"/>
      <c r="D59" s="2337">
        <f ca="1">IF(H59="非个人房产","——",IF(H59="个人住宅（满五唯一有凭证）",0,IF(H59="个人其他（无凭证）",ROUND(D45*F59,0),ROUND(C67*F59,0))))</f>
        <v>1032</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0"/>
      <c r="I59" s="2129" t="s">
        <v>2136</v>
      </c>
      <c r="J59" s="3328">
        <f>J57+1</f>
        <v>6</v>
      </c>
      <c r="K59" s="3327" t="s">
        <v>1372</v>
      </c>
      <c r="L59" s="2301" t="s">
        <v>1368</v>
      </c>
      <c r="M59" s="2315"/>
      <c r="N59" s="2316">
        <f ca="1">M49-N57</f>
        <v>45847</v>
      </c>
      <c r="O59" s="2317"/>
    </row>
    <row r="60" spans="1:35" ht="12" customHeight="1">
      <c r="A60" s="1665"/>
      <c r="B60" s="645"/>
      <c r="C60" s="645"/>
      <c r="D60" s="645"/>
      <c r="E60" s="1460"/>
      <c r="F60" s="1664"/>
      <c r="G60" s="1664"/>
      <c r="H60" s="150"/>
      <c r="I60" s="120"/>
      <c r="J60" s="3329"/>
      <c r="K60" s="3327"/>
      <c r="L60" s="2308" t="s">
        <v>1370</v>
      </c>
      <c r="M60" s="2312"/>
      <c r="N60" s="2313" t="str">
        <f ca="1">NUMBERSTRING(INT(N59*10000),2)&amp;"元整"</f>
        <v>肆亿伍仟捌佰肆拾柒万元整</v>
      </c>
      <c r="O60" s="2314"/>
    </row>
    <row r="61" spans="1:35" ht="13.5" thickBot="1">
      <c r="A61" s="3275" t="s">
        <v>1373</v>
      </c>
      <c r="B61" s="3275"/>
      <c r="C61" s="3275"/>
      <c r="D61" s="3275"/>
      <c r="E61" s="3275"/>
      <c r="F61" s="1664"/>
      <c r="G61" s="1664"/>
      <c r="H61" s="150"/>
      <c r="I61" s="120"/>
      <c r="J61" s="2301">
        <f>J59+1</f>
        <v>7</v>
      </c>
      <c r="K61" s="3327" t="s">
        <v>1374</v>
      </c>
      <c r="L61" s="3327"/>
      <c r="M61" s="2318"/>
      <c r="N61" s="2319">
        <f ca="1">ROUND(N59*10000/'数据-汇总表'!E3,0)</f>
        <v>7080</v>
      </c>
      <c r="O61" s="2320"/>
    </row>
    <row r="62" spans="1:35" ht="12.75">
      <c r="A62" s="3293" t="s">
        <v>1375</v>
      </c>
      <c r="B62" s="3294"/>
      <c r="C62" s="1857"/>
      <c r="D62" s="1857" t="s">
        <v>1376</v>
      </c>
      <c r="E62" s="157" t="s">
        <v>1377</v>
      </c>
      <c r="F62" s="1664"/>
      <c r="G62" s="1664"/>
      <c r="H62" s="150"/>
      <c r="I62" s="120"/>
    </row>
    <row r="63" spans="1:35" ht="12.75">
      <c r="A63" s="164" t="s">
        <v>330</v>
      </c>
      <c r="B63" s="158" t="s">
        <v>1378</v>
      </c>
      <c r="C63" s="2341">
        <f ca="1">ROUND((C64+C65)/(1+'数据-取费表'!C42),0)</f>
        <v>103206</v>
      </c>
      <c r="D63" s="158"/>
      <c r="E63" s="159"/>
      <c r="F63" s="1664"/>
      <c r="G63" s="1664"/>
      <c r="H63" s="150"/>
      <c r="I63" s="120"/>
      <c r="J63" s="3352" t="s">
        <v>1379</v>
      </c>
      <c r="K63" s="1239" t="s">
        <v>1380</v>
      </c>
      <c r="L63" s="1239">
        <f ca="1">IF(M49&gt;10000,M49*0.5%,IF(AND(M49&gt;1000,M49&lt;=10000),M49*1%,IF(AND(M49&gt;100,M49&lt;=1000),M49*3%,IF(AND(M49&gt;10,M49&lt;=100),M49*5%,M49*8%))))</f>
        <v>541.83000000000004</v>
      </c>
      <c r="M63" s="293">
        <f ca="1">ROUND(L63,1)</f>
        <v>541.79999999999995</v>
      </c>
      <c r="N63" s="2321"/>
      <c r="Z63" s="1617"/>
      <c r="AI63" s="1555"/>
    </row>
    <row r="64" spans="1:35" ht="14.25" customHeight="1">
      <c r="A64" s="160" t="s">
        <v>325</v>
      </c>
      <c r="B64" s="161" t="s">
        <v>1381</v>
      </c>
      <c r="C64" s="2342">
        <f ca="1">D45</f>
        <v>108366</v>
      </c>
      <c r="D64" s="161" t="s">
        <v>26</v>
      </c>
      <c r="E64" s="163"/>
      <c r="F64" s="1664"/>
      <c r="G64" s="1664"/>
      <c r="H64" s="150"/>
      <c r="I64" s="120"/>
      <c r="J64" s="3352"/>
      <c r="K64" s="1239" t="s">
        <v>1382</v>
      </c>
      <c r="L64" s="1239">
        <f ca="1">IF(M49&gt;2000,M49*0.5%,IF(AND(M49&gt;1000,M49&lt;=2000),M49*0.6%,IF(AND(M49&gt;500,M49&lt;=1000),M49*0.7%,IF(AND(M49&gt;200,M49&lt;=500),M49*0.8%,IF(AND(M49&gt;100,M49&lt;=200),M49*0.9%,IF(AND(M49&gt;50,M49&lt;=100),M49*1%,IF(AND(M49&gt;20,M49&lt;=50),M49*1.5%,IF(AND(M49&gt;10,M49&lt;=20),M49*2%,IF(AND(M49&gt;1,M49&lt;=10),M49*2.5%)))))))))</f>
        <v>541.83000000000004</v>
      </c>
      <c r="M64" s="293">
        <f t="shared" ref="M64:M65" ca="1" si="1">ROUND(L64,1)</f>
        <v>541.79999999999995</v>
      </c>
      <c r="N64" s="2322" t="s">
        <v>1383</v>
      </c>
      <c r="Z64" s="1617"/>
      <c r="AI64" s="1555"/>
    </row>
    <row r="65" spans="1:35" ht="14.25" customHeight="1">
      <c r="A65" s="160" t="s">
        <v>326</v>
      </c>
      <c r="B65" s="161" t="s">
        <v>1384</v>
      </c>
      <c r="C65" s="2343"/>
      <c r="D65" s="161"/>
      <c r="E65" s="163"/>
      <c r="F65" s="1664"/>
      <c r="G65" s="1664"/>
      <c r="H65" s="150"/>
      <c r="I65" s="120"/>
      <c r="J65" s="3352"/>
      <c r="K65" s="1239" t="s">
        <v>1385</v>
      </c>
      <c r="L65" s="1239">
        <f ca="1">IF(M49&gt;1000,M49*0.1%,IF(AND(M49&gt;500,M49&lt;=1000),M49*0.5%,IF(AND(M49&gt;50,M49&lt;=500),M49*1%,IF(AND(M49&gt;1,M49&lt;=50),M49*1.5%))))</f>
        <v>108.366</v>
      </c>
      <c r="M65" s="293">
        <f t="shared" ca="1" si="1"/>
        <v>108.4</v>
      </c>
      <c r="N65" s="2322" t="s">
        <v>1383</v>
      </c>
      <c r="Z65" s="1617"/>
      <c r="AI65" s="1555"/>
    </row>
    <row r="66" spans="1:35" ht="14.25" customHeight="1">
      <c r="A66" s="164" t="s">
        <v>327</v>
      </c>
      <c r="B66" s="165" t="s">
        <v>1386</v>
      </c>
      <c r="C66" s="2344"/>
      <c r="D66" s="165" t="s">
        <v>26</v>
      </c>
      <c r="E66" s="1245" t="s">
        <v>671</v>
      </c>
      <c r="F66" s="1664"/>
      <c r="G66" s="1664"/>
      <c r="H66" s="150"/>
      <c r="I66" s="120"/>
      <c r="J66" s="3352"/>
      <c r="K66" s="1239" t="s">
        <v>1387</v>
      </c>
      <c r="L66" s="1239">
        <f ca="1">M49*0.5%</f>
        <v>541.83000000000004</v>
      </c>
      <c r="M66" s="293">
        <f ca="1">IF(L66&gt;0.5,0.5,ROUND(L66,0))</f>
        <v>0.5</v>
      </c>
      <c r="N66" s="2322" t="s">
        <v>1388</v>
      </c>
      <c r="Z66" s="1617"/>
      <c r="AI66" s="1555"/>
    </row>
    <row r="67" spans="1:35" ht="14.25" customHeight="1">
      <c r="A67" s="164" t="s">
        <v>328</v>
      </c>
      <c r="B67" s="165" t="s">
        <v>1389</v>
      </c>
      <c r="C67" s="2345">
        <f ca="1">C63-C66</f>
        <v>103206</v>
      </c>
      <c r="D67" s="161" t="s">
        <v>26</v>
      </c>
      <c r="E67" s="163"/>
      <c r="F67" s="1664"/>
      <c r="G67" s="1664"/>
      <c r="H67" s="150"/>
      <c r="I67" s="120"/>
      <c r="J67" s="3352"/>
      <c r="K67" s="1239" t="s">
        <v>1390</v>
      </c>
      <c r="L67" s="1239">
        <f ca="1">IF(M49&gt;=10000,(8.25+(M49-10000)*0.01%),IF(AND(M49&gt;=8000,M49&lt;10000),(7.85+(M49-8000)*0.02%),IF(AND(M49&gt;=5000,M49&lt;8000),(6.65+(M49-5000)*0.04%),IF(AND(M49&gt;=2000,M49&lt;5000),(4.25+(PM49-2000)*0.08%),IF(AND(M49&gt;=1000,M49&lt;2000),(2.75+(M49-1000)*0.15%),IF(AND(M49&gt;=100,M49&lt;1000),(0.5+(M49-100)*0.25%),IF(AND(M49&gt;0,M49&lt;100),M49*0.5%)))))))</f>
        <v>18.086600000000001</v>
      </c>
      <c r="M67" s="293">
        <f ca="1">ROUND(L67*0.9,1)</f>
        <v>16.3</v>
      </c>
      <c r="N67" s="2321"/>
      <c r="Z67" s="1617"/>
      <c r="AI67" s="1555"/>
    </row>
    <row r="68" spans="1:35" ht="14.25" customHeight="1" thickBot="1">
      <c r="A68" s="167" t="s">
        <v>329</v>
      </c>
      <c r="B68" s="168" t="s">
        <v>1391</v>
      </c>
      <c r="C68" s="2346">
        <f ca="1">IF(C67&lt;=0,0,ROUND(C67*D68,0))</f>
        <v>5676</v>
      </c>
      <c r="D68" s="2347">
        <f>'数据-取费表'!B41</f>
        <v>5.5000000000000007E-2</v>
      </c>
      <c r="E68" s="169"/>
      <c r="F68" s="1664"/>
      <c r="G68" s="1664"/>
      <c r="H68" s="150"/>
      <c r="I68" s="120"/>
      <c r="J68" s="3352"/>
      <c r="K68" s="1239" t="s">
        <v>1392</v>
      </c>
      <c r="L68" s="1239">
        <f ca="1">IF(M49&gt;10000,M49*0.5%,IF(AND(M49&gt;5000,M49&lt;=10000),M49*1%,IF(AND(M49&gt;1000,M49&lt;=5000),M49*2%,IF(AND(M49&gt;200,M49&lt;=1000),M49*3%,M49*5%))))</f>
        <v>541.83000000000004</v>
      </c>
      <c r="M68" s="293">
        <f ca="1">ROUND(L68,1)</f>
        <v>541.79999999999995</v>
      </c>
      <c r="N68" s="2321"/>
      <c r="Z68" s="1617"/>
      <c r="AI68" s="1555"/>
    </row>
    <row r="69" spans="1:35" ht="16.5" customHeight="1">
      <c r="A69" s="1666"/>
      <c r="B69" s="1667"/>
      <c r="C69" s="1668"/>
      <c r="D69" s="1669"/>
      <c r="E69" s="1670"/>
      <c r="F69" s="1460"/>
      <c r="G69" s="1460"/>
      <c r="H69" s="1461"/>
      <c r="I69" s="645"/>
      <c r="J69" s="3352"/>
      <c r="K69" s="1239" t="s">
        <v>1393</v>
      </c>
      <c r="L69" s="1239"/>
      <c r="M69" s="293">
        <f ca="1">ROUND(SUM(M63:M68),0)</f>
        <v>1751</v>
      </c>
      <c r="N69" s="2323">
        <f ca="1">M69/M49</f>
        <v>1.6158204602919734E-2</v>
      </c>
      <c r="Z69" s="1617"/>
      <c r="AI69" s="1555"/>
    </row>
    <row r="70" spans="1:35" s="641" customFormat="1" ht="15" thickBot="1">
      <c r="A70" s="3314" t="s">
        <v>1394</v>
      </c>
      <c r="B70" s="3315"/>
      <c r="C70" s="3315"/>
      <c r="D70" s="3315"/>
      <c r="E70" s="3315"/>
      <c r="F70" s="3315"/>
      <c r="G70" s="3315"/>
      <c r="H70" s="3315"/>
      <c r="I70" s="1671"/>
      <c r="J70" s="458"/>
      <c r="K70" s="458"/>
      <c r="L70" s="458"/>
      <c r="M70" s="458"/>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293" t="s">
        <v>1375</v>
      </c>
      <c r="B71" s="3294"/>
      <c r="C71" s="1857"/>
      <c r="D71" s="1857" t="s">
        <v>1376</v>
      </c>
      <c r="E71" s="170" t="s">
        <v>1377</v>
      </c>
      <c r="F71" s="171"/>
      <c r="G71" s="171"/>
      <c r="H71" s="172"/>
      <c r="I71" s="1674"/>
      <c r="J71" s="458"/>
      <c r="K71" s="458"/>
      <c r="L71" s="458"/>
      <c r="M71" s="458"/>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4" t="s">
        <v>330</v>
      </c>
      <c r="B72" s="165" t="s">
        <v>1395</v>
      </c>
      <c r="C72" s="2345">
        <f ca="1">ROUND(D45/(1+'数据-取费表'!C42),0)</f>
        <v>103206</v>
      </c>
      <c r="D72" s="161" t="s">
        <v>26</v>
      </c>
      <c r="E72" s="1251"/>
      <c r="F72" s="1249"/>
      <c r="G72" s="1249"/>
      <c r="H72" s="173"/>
      <c r="I72" s="1674"/>
      <c r="J72" s="458"/>
      <c r="K72" s="458"/>
      <c r="L72" s="458"/>
      <c r="M72" s="458"/>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4" t="s">
        <v>327</v>
      </c>
      <c r="B73" s="154" t="s">
        <v>1396</v>
      </c>
      <c r="C73" s="2345">
        <f ca="1">C74+C78</f>
        <v>516</v>
      </c>
      <c r="D73" s="161" t="s">
        <v>26</v>
      </c>
      <c r="E73" s="1251"/>
      <c r="F73" s="1249"/>
      <c r="G73" s="1249"/>
      <c r="H73" s="173"/>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0" t="s">
        <v>325</v>
      </c>
      <c r="B74" s="161" t="s">
        <v>1397</v>
      </c>
      <c r="C74" s="161">
        <f>ROUND(IF(G77="2016年5月1日后购买",C75/(1+'数据-取费表'!C42)+C76+C77,C75+C76+C77),0)</f>
        <v>0</v>
      </c>
      <c r="D74" s="161" t="s">
        <v>26</v>
      </c>
      <c r="E74" s="1251"/>
      <c r="F74" s="1249"/>
      <c r="G74" s="1249"/>
      <c r="H74" s="173"/>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0" t="s">
        <v>331</v>
      </c>
      <c r="B75" s="161" t="s">
        <v>1398</v>
      </c>
      <c r="C75" s="2348"/>
      <c r="D75" s="161" t="s">
        <v>26</v>
      </c>
      <c r="E75" s="175" t="s">
        <v>1399</v>
      </c>
      <c r="F75" s="2349"/>
      <c r="G75" s="175" t="s">
        <v>1400</v>
      </c>
      <c r="H75" s="2350"/>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0" t="s">
        <v>332</v>
      </c>
      <c r="B76" s="176" t="s">
        <v>1401</v>
      </c>
      <c r="C76" s="161">
        <f>IF(F75="购房发票",ROUND(C75*H75*D76,0),0)</f>
        <v>0</v>
      </c>
      <c r="D76" s="2351">
        <v>0.05</v>
      </c>
      <c r="E76" s="3288" t="s">
        <v>1402</v>
      </c>
      <c r="F76" s="3262"/>
      <c r="G76" s="3262"/>
      <c r="H76" s="3313"/>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0" t="s">
        <v>326</v>
      </c>
      <c r="B78" s="161" t="s">
        <v>1405</v>
      </c>
      <c r="C78" s="2353">
        <f ca="1">ROUND(D45*D78/(1+'数据-取费表'!C42),0)</f>
        <v>516</v>
      </c>
      <c r="D78" s="2354">
        <f>'数据-取费表'!B43</f>
        <v>5.000000000000001E-3</v>
      </c>
      <c r="E78" s="3272" t="s">
        <v>1406</v>
      </c>
      <c r="F78" s="3273"/>
      <c r="G78" s="3273"/>
      <c r="H78" s="3282"/>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4" t="s">
        <v>334</v>
      </c>
      <c r="B79" s="165" t="s">
        <v>1407</v>
      </c>
      <c r="C79" s="2345">
        <f ca="1">C72-C73</f>
        <v>102690</v>
      </c>
      <c r="D79" s="161" t="s">
        <v>26</v>
      </c>
      <c r="E79" s="1251"/>
      <c r="F79" s="1249"/>
      <c r="G79" s="1249"/>
      <c r="H79" s="173"/>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4" t="s">
        <v>335</v>
      </c>
      <c r="B80" s="165" t="s">
        <v>1408</v>
      </c>
      <c r="C80" s="2355">
        <f ca="1">IF(C79&lt;=0,0,C79/C73)</f>
        <v>199.01162790697674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3"/>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7" t="s">
        <v>336</v>
      </c>
      <c r="B81" s="168" t="s">
        <v>1409</v>
      </c>
      <c r="C81" s="2356">
        <f ca="1">ROUND(IF(C79&lt;=0,0,IF(C80&gt;=200%,C79*60%-C73*35%,IF(C80&gt;=100%,C79*50%-C73*15%,IF(C80&gt;=50%,C79*40%-C73*5%,IF(C80&lt;50%,C79*30%,0))))),0)</f>
        <v>61433</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14" t="s">
        <v>1410</v>
      </c>
      <c r="B83" s="3315"/>
      <c r="C83" s="3315"/>
      <c r="D83" s="3315"/>
      <c r="E83" s="3315"/>
      <c r="F83" s="3315"/>
      <c r="G83" s="3315"/>
      <c r="H83" s="3315"/>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293" t="s">
        <v>1375</v>
      </c>
      <c r="B84" s="3294"/>
      <c r="C84" s="1857"/>
      <c r="D84" s="1857" t="s">
        <v>1376</v>
      </c>
      <c r="E84" s="170" t="s">
        <v>1377</v>
      </c>
      <c r="F84" s="171"/>
      <c r="G84" s="171"/>
      <c r="H84" s="182"/>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4" t="s">
        <v>330</v>
      </c>
      <c r="B85" s="165" t="s">
        <v>1395</v>
      </c>
      <c r="C85" s="2345">
        <f ca="1">ROUND(D45/(1+'数据-取费表'!C42),0)</f>
        <v>103206</v>
      </c>
      <c r="D85" s="161" t="s">
        <v>26</v>
      </c>
      <c r="E85" s="1251"/>
      <c r="F85" s="1249"/>
      <c r="G85" s="1249"/>
      <c r="H85" s="183"/>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4" t="s">
        <v>327</v>
      </c>
      <c r="B86" s="154" t="s">
        <v>1396</v>
      </c>
      <c r="C86" s="2345">
        <f ca="1">IF(H88="仅含出让金",C87+C90+C91+C92+C93+C94,C87+C91+C92+C93+C94)</f>
        <v>516</v>
      </c>
      <c r="D86" s="2358"/>
      <c r="E86" s="1251"/>
      <c r="F86" s="1249"/>
      <c r="G86" s="1249"/>
      <c r="H86" s="183"/>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0" t="s">
        <v>325</v>
      </c>
      <c r="B87" s="161" t="s">
        <v>1411</v>
      </c>
      <c r="C87" s="2353">
        <f>C88+C89</f>
        <v>0</v>
      </c>
      <c r="D87" s="2354"/>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0" t="s">
        <v>331</v>
      </c>
      <c r="B88" s="161" t="s">
        <v>1412</v>
      </c>
      <c r="C88" s="2359"/>
      <c r="D88" s="2354"/>
      <c r="E88" s="184" t="s">
        <v>1413</v>
      </c>
      <c r="F88" s="2140"/>
      <c r="G88" s="185" t="s">
        <v>1414</v>
      </c>
      <c r="H88" s="1678"/>
      <c r="I88" s="1675"/>
      <c r="J88" s="2299"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0" t="s">
        <v>332</v>
      </c>
      <c r="B89" s="161" t="s">
        <v>1403</v>
      </c>
      <c r="C89" s="2353">
        <f>ROUND(C88*D89,0)</f>
        <v>0</v>
      </c>
      <c r="D89" s="2354">
        <f>'数据-取费表'!B48+'数据-取费表'!B49</f>
        <v>3.0499999999999999E-2</v>
      </c>
      <c r="E89" s="184"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0" t="s">
        <v>326</v>
      </c>
      <c r="B90" s="161" t="s">
        <v>1416</v>
      </c>
      <c r="C90" s="2359"/>
      <c r="D90" s="2354"/>
      <c r="E90" s="184" t="str">
        <f>IF(H88="-","土地取得成本中已包含该笔费用"," ")</f>
        <v xml:space="preserve"> </v>
      </c>
      <c r="F90" s="2140"/>
      <c r="G90" s="3354" t="s">
        <v>2128</v>
      </c>
      <c r="H90" s="3355"/>
      <c r="I90" s="1675"/>
      <c r="J90" s="2299"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0" t="s">
        <v>1417</v>
      </c>
      <c r="B91" s="161" t="s">
        <v>1418</v>
      </c>
      <c r="C91" s="2353">
        <f>IF(H91="——",成本法!C33,I91)</f>
        <v>0</v>
      </c>
      <c r="D91" s="2354"/>
      <c r="E91" s="3272" t="s">
        <v>1419</v>
      </c>
      <c r="F91" s="3273"/>
      <c r="G91" s="3273"/>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0" t="s">
        <v>1420</v>
      </c>
      <c r="B92" s="161" t="s">
        <v>1421</v>
      </c>
      <c r="C92" s="2353">
        <f>ROUND((C87+C90+C91)*D92,0)</f>
        <v>0</v>
      </c>
      <c r="D92" s="2360"/>
      <c r="E92" s="3272" t="s">
        <v>1422</v>
      </c>
      <c r="F92" s="3273"/>
      <c r="G92" s="3273"/>
      <c r="H92" s="3282"/>
      <c r="I92" s="1675"/>
      <c r="J92" s="2300"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0" t="s">
        <v>1423</v>
      </c>
      <c r="B93" s="161" t="s">
        <v>1405</v>
      </c>
      <c r="C93" s="2353">
        <f ca="1">ROUND(D45*D93/(1+'数据-取费表'!C42),0)</f>
        <v>516</v>
      </c>
      <c r="D93" s="2354">
        <f>'数据-取费表'!B43</f>
        <v>5.000000000000001E-3</v>
      </c>
      <c r="E93" s="3272" t="s">
        <v>1406</v>
      </c>
      <c r="F93" s="3273"/>
      <c r="G93" s="3273"/>
      <c r="H93" s="3282"/>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0" t="s">
        <v>1424</v>
      </c>
      <c r="B94" s="161" t="s">
        <v>1425</v>
      </c>
      <c r="C94" s="2359">
        <f>ROUND((C87+C90+C91)*D94,0)</f>
        <v>0</v>
      </c>
      <c r="D94" s="2354">
        <v>0.2</v>
      </c>
      <c r="E94" s="3283" t="s">
        <v>1426</v>
      </c>
      <c r="F94" s="3284"/>
      <c r="G94" s="3284"/>
      <c r="H94" s="328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4" t="s">
        <v>334</v>
      </c>
      <c r="B95" s="165" t="s">
        <v>1407</v>
      </c>
      <c r="C95" s="2345">
        <f ca="1">ROUND(C85-C86,0)</f>
        <v>102690</v>
      </c>
      <c r="D95" s="161" t="s">
        <v>26</v>
      </c>
      <c r="E95" s="1251"/>
      <c r="F95" s="1249"/>
      <c r="G95" s="1249"/>
      <c r="H95" s="183"/>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4" t="s">
        <v>335</v>
      </c>
      <c r="B96" s="165" t="s">
        <v>1408</v>
      </c>
      <c r="C96" s="2355">
        <f ca="1">IF(C95&lt;=0,0,C95/C86)</f>
        <v>199.01162790697674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3"/>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7" t="s">
        <v>336</v>
      </c>
      <c r="B97" s="168" t="s">
        <v>1409</v>
      </c>
      <c r="C97" s="2356">
        <f ca="1">ROUND(IF(C95&lt;=0,0,IF(C96&gt;=200%,C95*60%-C86*35%,IF(C96&gt;=100%,C95*50%-C86*15%,IF(C96&gt;=50%,C95*40%-C86*5%,IF(C96&lt;50%,C95*30%,0))))),0)</f>
        <v>61433</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0"/>
    </row>
    <row r="99" spans="1:35" ht="21.75" customHeight="1" thickBot="1">
      <c r="A99" s="1458" t="s">
        <v>1427</v>
      </c>
      <c r="B99" s="645"/>
      <c r="C99" s="645"/>
      <c r="D99" s="645"/>
      <c r="E99" s="1460"/>
      <c r="F99" s="1460"/>
      <c r="G99" s="1460"/>
      <c r="H99" s="1461"/>
      <c r="I99" s="120"/>
    </row>
    <row r="100" spans="1:35" ht="18.75" customHeight="1">
      <c r="A100" s="3256" t="s">
        <v>1428</v>
      </c>
      <c r="B100" s="3257"/>
      <c r="C100" s="3257"/>
      <c r="D100" s="3274"/>
      <c r="E100" s="3257" t="s">
        <v>1429</v>
      </c>
      <c r="F100" s="3257"/>
      <c r="G100" s="3257"/>
      <c r="H100" s="3274"/>
      <c r="I100" s="120"/>
    </row>
    <row r="101" spans="1:35" ht="18.75" customHeight="1">
      <c r="A101" s="3335" t="s">
        <v>1430</v>
      </c>
      <c r="B101" s="3336"/>
      <c r="C101" s="2362" t="str">
        <f>C4</f>
        <v>成本法</v>
      </c>
      <c r="D101" s="2363" t="str">
        <f>D4</f>
        <v>假设开发法</v>
      </c>
      <c r="E101" s="3349" t="s">
        <v>1431</v>
      </c>
      <c r="F101" s="3306"/>
      <c r="G101" s="1681" t="s">
        <v>1432</v>
      </c>
      <c r="H101" s="2372">
        <f ca="1">H118</f>
        <v>108366</v>
      </c>
      <c r="I101" s="120"/>
    </row>
    <row r="102" spans="1:35" ht="18.75" customHeight="1">
      <c r="A102" s="3308" t="s">
        <v>1433</v>
      </c>
      <c r="B102" s="2361" t="s">
        <v>1432</v>
      </c>
      <c r="C102" s="2362">
        <f ca="1">IF(D32="楼面单价",ROUND(C19,0),C19)</f>
        <v>118955</v>
      </c>
      <c r="D102" s="2363">
        <f ca="1">IF(D32="楼面单价",ROUND(D19,0),D19)</f>
        <v>97777</v>
      </c>
      <c r="E102" s="3349"/>
      <c r="F102" s="3306"/>
      <c r="G102" s="1681" t="s">
        <v>1434</v>
      </c>
      <c r="H102" s="2332">
        <f ca="1">I118</f>
        <v>16734</v>
      </c>
      <c r="I102" s="120"/>
    </row>
    <row r="103" spans="1:35" ht="42.75" customHeight="1">
      <c r="A103" s="3308"/>
      <c r="B103" s="2361" t="s">
        <v>1434</v>
      </c>
      <c r="C103" s="2364">
        <f ca="1">C20</f>
        <v>18370</v>
      </c>
      <c r="D103" s="2365">
        <f ca="1">D20</f>
        <v>15099</v>
      </c>
      <c r="E103" s="3343" t="s">
        <v>1435</v>
      </c>
      <c r="F103" s="3344"/>
      <c r="G103" s="1682" t="s">
        <v>1436</v>
      </c>
      <c r="H103" s="2372">
        <f>IF(D36="正常操作",H104+H105+H106,H105+H106)</f>
        <v>0</v>
      </c>
      <c r="I103" s="120"/>
    </row>
    <row r="104" spans="1:35" ht="18.75" customHeight="1">
      <c r="A104" s="3308" t="s">
        <v>1437</v>
      </c>
      <c r="B104" s="2366" t="s">
        <v>1432</v>
      </c>
      <c r="C104" s="2367">
        <f ca="1">H118</f>
        <v>108366</v>
      </c>
      <c r="D104" s="2368"/>
      <c r="E104" s="1549" t="s">
        <v>1438</v>
      </c>
      <c r="F104" s="1542"/>
      <c r="G104" s="1682" t="s">
        <v>1436</v>
      </c>
      <c r="H104" s="2373">
        <f>IF(D36="同一抵押权人同一抵押物续贷",C36&amp;"（续贷，未扣减，详见特别提示）",C36)</f>
        <v>0</v>
      </c>
      <c r="I104" s="120"/>
    </row>
    <row r="105" spans="1:35" ht="18.75" customHeight="1" thickBot="1">
      <c r="A105" s="3309"/>
      <c r="B105" s="2369" t="s">
        <v>1434</v>
      </c>
      <c r="C105" s="2370">
        <f ca="1">I118</f>
        <v>16734</v>
      </c>
      <c r="D105" s="2371"/>
      <c r="E105" s="1549" t="s">
        <v>1439</v>
      </c>
      <c r="F105" s="1542"/>
      <c r="G105" s="1682" t="s">
        <v>1436</v>
      </c>
      <c r="H105" s="2374">
        <f>C37</f>
        <v>0</v>
      </c>
      <c r="I105" s="120"/>
    </row>
    <row r="106" spans="1:35" ht="18.75" customHeight="1">
      <c r="A106" s="645" t="s">
        <v>1440</v>
      </c>
      <c r="B106" s="645"/>
      <c r="C106" s="645"/>
      <c r="D106" s="645"/>
      <c r="E106" s="1683" t="s">
        <v>1441</v>
      </c>
      <c r="F106" s="1542"/>
      <c r="G106" s="1682" t="s">
        <v>1436</v>
      </c>
      <c r="H106" s="2374">
        <f>C38</f>
        <v>0</v>
      </c>
      <c r="I106" s="120"/>
    </row>
    <row r="107" spans="1:35" ht="18.75" customHeight="1">
      <c r="A107" s="120"/>
      <c r="B107" s="120"/>
      <c r="C107" s="120"/>
      <c r="D107" s="120"/>
      <c r="E107" s="3305" t="str">
        <f>IF(项目基本情况!E8="已注销","——","3.房地产抵押价值")</f>
        <v>3.房地产抵押价值</v>
      </c>
      <c r="F107" s="3306"/>
      <c r="G107" s="1681" t="s">
        <v>1432</v>
      </c>
      <c r="H107" s="2372">
        <f ca="1">IF(E107="——","——",H101-H103)</f>
        <v>108366</v>
      </c>
      <c r="I107" s="120"/>
    </row>
    <row r="108" spans="1:35" ht="18.75" customHeight="1">
      <c r="A108" s="120"/>
      <c r="B108" s="120"/>
      <c r="C108" s="120"/>
      <c r="D108" s="120"/>
      <c r="E108" s="3305"/>
      <c r="F108" s="3306"/>
      <c r="G108" s="1681" t="s">
        <v>1434</v>
      </c>
      <c r="H108" s="2332">
        <f ca="1">IF(H107=H101,H102,ROUND(H107*10000/'数据-汇总表'!E3,0))</f>
        <v>16734</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1" t="s">
        <v>1432</v>
      </c>
      <c r="H109" s="2375" t="str">
        <f>IF(E109="——","——",H101-H105-H106)</f>
        <v>——</v>
      </c>
      <c r="I109" s="120"/>
    </row>
    <row r="110" spans="1:35" ht="18.75" customHeight="1">
      <c r="A110" s="120"/>
      <c r="B110" s="120"/>
      <c r="C110" s="120"/>
      <c r="D110" s="120"/>
      <c r="E110" s="3305"/>
      <c r="F110" s="3306"/>
      <c r="G110" s="1681" t="s">
        <v>1434</v>
      </c>
      <c r="H110" s="2332"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1" t="s">
        <v>1432</v>
      </c>
      <c r="H111" s="2372" t="str">
        <f>IF(E111="——","——",N59)</f>
        <v>——</v>
      </c>
      <c r="I111" s="120"/>
    </row>
    <row r="112" spans="1:35" ht="18.75" customHeight="1" thickBot="1">
      <c r="A112" s="120"/>
      <c r="B112" s="120"/>
      <c r="C112" s="120"/>
      <c r="D112" s="120"/>
      <c r="E112" s="3338"/>
      <c r="F112" s="3339"/>
      <c r="G112" s="1684" t="s">
        <v>1434</v>
      </c>
      <c r="H112" s="2376" t="str">
        <f>IF(E111="——","——",N61)</f>
        <v>——</v>
      </c>
      <c r="I112" s="120"/>
    </row>
    <row r="113" spans="1:27" ht="18.75" customHeight="1">
      <c r="A113" s="120"/>
      <c r="B113" s="120"/>
      <c r="C113" s="120"/>
      <c r="D113" s="120"/>
      <c r="E113" s="3310" t="s">
        <v>1440</v>
      </c>
      <c r="F113" s="3310"/>
      <c r="G113" s="3310"/>
      <c r="H113" s="3310"/>
      <c r="I113" s="120"/>
    </row>
    <row r="114" spans="1:27" ht="3.75" customHeight="1">
      <c r="A114" s="645"/>
      <c r="B114" s="645"/>
      <c r="C114" s="645"/>
      <c r="D114" s="645"/>
      <c r="E114" s="1665"/>
      <c r="F114" s="1665"/>
      <c r="G114" s="1665"/>
      <c r="H114" s="1665"/>
      <c r="I114" s="645"/>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2" t="s">
        <v>1449</v>
      </c>
      <c r="E117" s="2142" t="s">
        <v>1450</v>
      </c>
      <c r="F117" s="2142" t="s">
        <v>1449</v>
      </c>
      <c r="G117" s="2142" t="s">
        <v>1451</v>
      </c>
      <c r="H117" s="2142" t="s">
        <v>1449</v>
      </c>
      <c r="I117" s="2142" t="s">
        <v>1451</v>
      </c>
    </row>
    <row r="118" spans="1:27" ht="24.75" customHeight="1">
      <c r="A118" s="2377" t="str">
        <f>项目基本情况!S2</f>
        <v>北京市房山区城关中心区出让国有建设用地使用权及在建建筑物房地产</v>
      </c>
      <c r="B118" s="2142">
        <f>M18</f>
        <v>64756.12</v>
      </c>
      <c r="C118" s="2142">
        <f>M19</f>
        <v>15478.33</v>
      </c>
      <c r="D118" s="2142">
        <f ca="1">ROUND(IF(D32="总价",C34,E118*B118/10000),0)</f>
        <v>85609</v>
      </c>
      <c r="E118" s="2142">
        <f ca="1">ROUND(IF(C33="自定义",IF(D32="楼面单价",C34,D118*10000/B118),I118-G118),0)</f>
        <v>13220</v>
      </c>
      <c r="F118" s="2142">
        <f ca="1">ROUND(IF(D32="总价",C35,G118*B118/10000),0)</f>
        <v>22757</v>
      </c>
      <c r="G118" s="2142">
        <f ca="1">ROUND(IF(D32="楼面单价",C35,F118*10000/B118),0)</f>
        <v>3514</v>
      </c>
      <c r="H118" s="2142">
        <f ca="1">ROUND(IF(D32="总价",C32,I118*B118/10000),0)</f>
        <v>108366</v>
      </c>
      <c r="I118" s="2142">
        <f ca="1">ROUND(IF(D32="楼面单价",C32,H118*10000/B118),0)</f>
        <v>16734</v>
      </c>
    </row>
    <row r="119" spans="1:27" ht="18.75" customHeight="1">
      <c r="A119" s="3276" t="s">
        <v>1452</v>
      </c>
      <c r="B119" s="3276"/>
      <c r="C119" s="3276"/>
      <c r="D119" s="3316" t="str">
        <f ca="1">NUMBERSTRING(INT(D118*10000),2)&amp;"元整"</f>
        <v>捌亿伍仟陆佰零玖万元整</v>
      </c>
      <c r="E119" s="3318"/>
      <c r="F119" s="3316" t="str">
        <f ca="1">NUMBERSTRING(INT(F118*10000),2)&amp;"元整"</f>
        <v>贰亿贰仟柒佰伍拾柒万元整</v>
      </c>
      <c r="G119" s="3318"/>
      <c r="H119" s="3316" t="str">
        <f ca="1">NUMBERSTRING(INT(H118*10000),2)&amp;"元整"</f>
        <v>壹拾亿捌仟叁佰陆拾陆万元整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16" t="s">
        <v>1452</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f ca="1">H107</f>
        <v>108366</v>
      </c>
      <c r="E122" s="3341"/>
      <c r="F122" s="3341"/>
      <c r="G122" s="3341"/>
      <c r="H122" s="3341"/>
      <c r="I122" s="3342"/>
      <c r="AA122" s="683"/>
    </row>
    <row r="123" spans="1:27" ht="18.75" customHeight="1">
      <c r="A123" s="3276" t="s">
        <v>1452</v>
      </c>
      <c r="B123" s="3276"/>
      <c r="C123" s="3276"/>
      <c r="D123" s="3316" t="str">
        <f ca="1">NUMBERSTRING(INT(D122*10000),2)&amp;"元整"</f>
        <v>壹拾亿捌仟叁佰陆拾陆万元整</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1452</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1452</v>
      </c>
      <c r="B127" s="3276"/>
      <c r="C127" s="3276"/>
      <c r="D127" s="3316" t="e">
        <f>NUMBERSTRING(INT(D126*10000),2)&amp;"元整"</f>
        <v>#VALUE!</v>
      </c>
      <c r="E127" s="3317"/>
      <c r="F127" s="3317"/>
      <c r="G127" s="3317"/>
      <c r="H127" s="3317"/>
      <c r="I127" s="3318"/>
      <c r="AA127" s="683"/>
    </row>
    <row r="128" spans="1:27" ht="21.75" customHeight="1">
      <c r="A128" s="3323" t="s">
        <v>1453</v>
      </c>
      <c r="B128" s="3323"/>
      <c r="C128" s="3323"/>
      <c r="D128" s="3323"/>
      <c r="E128" s="3323"/>
      <c r="F128" s="3323"/>
      <c r="G128" s="3323"/>
      <c r="H128" s="3323"/>
      <c r="I128" s="3323"/>
      <c r="AA128" s="683"/>
    </row>
    <row r="129" spans="1:35" ht="21.75" customHeight="1">
      <c r="A129" s="1685" t="s">
        <v>1454</v>
      </c>
      <c r="B129" s="1686"/>
      <c r="C129" s="1687" t="s">
        <v>1455</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1456</v>
      </c>
      <c r="G135" s="1700"/>
      <c r="H135" s="1700"/>
      <c r="I135" s="1701" t="s">
        <v>1457</v>
      </c>
    </row>
    <row r="136" spans="1:35" ht="21.75" customHeight="1">
      <c r="A136" s="683"/>
      <c r="B136" s="1702"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1459</v>
      </c>
    </row>
    <row r="139" spans="1:35" ht="21.75" customHeight="1">
      <c r="A139" s="683"/>
      <c r="B139" s="1702" t="s">
        <v>1460</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1459</v>
      </c>
    </row>
    <row r="142" spans="1:35" ht="21.75" customHeight="1">
      <c r="A142" s="683"/>
      <c r="B142" s="1702"/>
      <c r="C142" s="1703"/>
      <c r="D142" s="1704"/>
      <c r="E142" s="1704"/>
      <c r="F142" s="1608"/>
      <c r="G142" s="683"/>
      <c r="H142" s="683"/>
      <c r="I142" s="683"/>
    </row>
    <row r="143" spans="1:35" s="121"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174" t="str">
        <f>项目基本情况!B1</f>
        <v>北京市房山区城关中心区出让国有建设用地使用权及在建建筑物房地产抵押价值预评估</v>
      </c>
      <c r="C37" s="3174"/>
      <c r="D37" s="3174"/>
      <c r="E37" s="3174"/>
      <c r="F37" s="3174"/>
      <c r="G37" s="3174"/>
      <c r="H37" s="3174"/>
      <c r="I37" s="3174"/>
    </row>
    <row r="38" spans="1:9">
      <c r="A38" s="788"/>
      <c r="B38" s="788"/>
    </row>
    <row r="39" spans="1:9">
      <c r="A39" s="786" t="s">
        <v>371</v>
      </c>
      <c r="B39" s="786" t="s">
        <v>373</v>
      </c>
    </row>
    <row r="40" spans="1:9">
      <c r="A40" s="786"/>
      <c r="B40" s="1372">
        <f>项目基本情况!B5</f>
        <v>0</v>
      </c>
    </row>
    <row r="41" spans="1:9">
      <c r="A41" s="786"/>
      <c r="B41" s="786"/>
    </row>
    <row r="42" spans="1:9">
      <c r="A42" s="786" t="s">
        <v>371</v>
      </c>
      <c r="B42" s="786" t="s">
        <v>374</v>
      </c>
    </row>
    <row r="43" spans="1:9">
      <c r="A43" s="786"/>
      <c r="B43" s="1372" t="s">
        <v>375</v>
      </c>
    </row>
    <row r="44" spans="1:9">
      <c r="A44" s="786"/>
      <c r="B44" s="786"/>
    </row>
    <row r="45" spans="1:9">
      <c r="A45" s="786" t="s">
        <v>371</v>
      </c>
      <c r="B45" s="786" t="s">
        <v>376</v>
      </c>
    </row>
    <row r="46" spans="1:9" s="786" customFormat="1" ht="12.75">
      <c r="B46" s="1372" t="str">
        <f>项目基本情况!K4</f>
        <v>（注册号：0)、（注册号：0)</v>
      </c>
    </row>
    <row r="47" spans="1:9">
      <c r="A47" s="786"/>
      <c r="B47" s="786" t="str">
        <f>项目基本情况!K5</f>
        <v>（注册号：0)、（注册号：0)</v>
      </c>
    </row>
    <row r="48" spans="1:9">
      <c r="A48" s="786" t="s">
        <v>371</v>
      </c>
      <c r="B48" s="786"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3" zoomScaleNormal="60" zoomScaleSheetLayoutView="100" workbookViewId="0">
      <selection activeCell="E81" sqref="E81"/>
    </sheetView>
  </sheetViews>
  <sheetFormatPr defaultColWidth="9" defaultRowHeight="14.25"/>
  <cols>
    <col min="1" max="1" width="14.375" style="346" customWidth="1"/>
    <col min="2" max="2" width="15.75" style="346" customWidth="1"/>
    <col min="3" max="3" width="19"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72605</v>
      </c>
      <c r="C2" s="848"/>
      <c r="D2" s="848"/>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11212</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375" t="s">
        <v>1775</v>
      </c>
      <c r="Q4" s="3376"/>
      <c r="R4" s="3381" t="s">
        <v>1771</v>
      </c>
      <c r="S4" s="3382"/>
      <c r="T4" s="3381" t="s">
        <v>1772</v>
      </c>
      <c r="U4" s="3382"/>
      <c r="V4" s="3368" t="s">
        <v>1773</v>
      </c>
      <c r="W4" s="3368"/>
      <c r="X4" s="1259"/>
      <c r="Y4" s="3381" t="s">
        <v>1775</v>
      </c>
      <c r="Z4" s="3382"/>
      <c r="AA4" s="3369" t="s">
        <v>1771</v>
      </c>
      <c r="AB4" s="3370" t="s">
        <v>1772</v>
      </c>
      <c r="AC4" s="3369" t="s">
        <v>1773</v>
      </c>
    </row>
    <row r="5" spans="1:29" ht="57.75" customHeight="1">
      <c r="A5" s="347"/>
      <c r="B5" s="348"/>
      <c r="C5" s="3389" t="s">
        <v>1673</v>
      </c>
      <c r="D5" s="3390"/>
      <c r="E5" s="3396" t="str">
        <f>土地案例!A12</f>
        <v>北京大兴国际机场临空经济区0105街区DX16-0105-6037地块F1住宅混合公建用地</v>
      </c>
      <c r="F5" s="3397"/>
      <c r="G5" s="3389" t="str">
        <f>土地案例!A15</f>
        <v>北京大兴国际机场临空经济区0105街区DX16-0105-6038地块F1住宅混合公建用地 国有建设用地使用权挂牌出让公告</v>
      </c>
      <c r="H5" s="3390"/>
      <c r="I5" s="3389" t="str">
        <f>土地案例!A18</f>
        <v>北京市房山区阎村镇FS07-0104-0077地块R2二类居住用地</v>
      </c>
      <c r="J5" s="3390"/>
      <c r="K5" s="536"/>
      <c r="L5" s="2477"/>
      <c r="M5" s="2478"/>
      <c r="N5" s="2478"/>
      <c r="O5" s="2478"/>
      <c r="P5" s="3377"/>
      <c r="Q5" s="3378"/>
      <c r="R5" s="3383"/>
      <c r="S5" s="3384"/>
      <c r="T5" s="3383"/>
      <c r="U5" s="3384"/>
      <c r="V5" s="3368"/>
      <c r="W5" s="3368"/>
      <c r="X5" s="1259"/>
      <c r="Y5" s="3383"/>
      <c r="Z5" s="3384"/>
      <c r="AA5" s="3370"/>
      <c r="AB5" s="3370"/>
      <c r="AC5" s="3370"/>
    </row>
    <row r="6" spans="1:29" ht="15.75" thickBot="1">
      <c r="A6" s="349"/>
      <c r="B6" s="350"/>
      <c r="C6" s="3387" t="s">
        <v>1677</v>
      </c>
      <c r="D6" s="3388"/>
      <c r="E6" s="3394" t="s">
        <v>1677</v>
      </c>
      <c r="F6" s="3395"/>
      <c r="G6" s="3387" t="s">
        <v>1677</v>
      </c>
      <c r="H6" s="3388"/>
      <c r="I6" s="3387" t="s">
        <v>1677</v>
      </c>
      <c r="J6" s="3388"/>
      <c r="K6" s="536" t="s">
        <v>1678</v>
      </c>
      <c r="L6" s="2477"/>
      <c r="M6" s="2478"/>
      <c r="N6" s="2478"/>
      <c r="O6" s="2478"/>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f>土地案例!AG18</f>
        <v>45195.000497685185</v>
      </c>
      <c r="F7" s="356">
        <f>SUMIF(69:69,YEAR(E7)&amp;"-"&amp;INT((MONTH(E7)+2)/3),70:70)</f>
        <v>100</v>
      </c>
      <c r="G7" s="1814">
        <f>土地案例!AG15</f>
        <v>45266.000497685185</v>
      </c>
      <c r="H7" s="354">
        <f>SUMIF(69:69,YEAR(G7)&amp;"-"&amp;INT((MONTH(G7)+2)/3),70:70)</f>
        <v>100</v>
      </c>
      <c r="I7" s="1814">
        <f>土地案例!AG18</f>
        <v>45195.000497685185</v>
      </c>
      <c r="J7" s="354">
        <f>SUMIF(69:69,YEAR(I7)&amp;"-"&amp;INT((MONTH(I7)+2)/3),70:70)</f>
        <v>100</v>
      </c>
      <c r="K7" s="38"/>
      <c r="L7" s="2479"/>
      <c r="M7" s="2431"/>
      <c r="N7" s="2431"/>
      <c r="O7" s="2431"/>
      <c r="P7" s="3391" t="s">
        <v>1680</v>
      </c>
      <c r="Q7" s="3393"/>
      <c r="R7" s="663" t="s">
        <v>14</v>
      </c>
      <c r="S7" s="664">
        <f t="shared" ref="S7:S15" si="0">F7</f>
        <v>100</v>
      </c>
      <c r="T7" s="663" t="s">
        <v>14</v>
      </c>
      <c r="U7" s="664">
        <f t="shared" ref="U7:U15" si="1">H7</f>
        <v>100</v>
      </c>
      <c r="V7" s="663" t="s">
        <v>14</v>
      </c>
      <c r="W7" s="664">
        <f t="shared" ref="W7:W15" si="2">J7</f>
        <v>100</v>
      </c>
      <c r="X7" s="665"/>
      <c r="Y7" s="3391" t="s">
        <v>1680</v>
      </c>
      <c r="Z7" s="3392"/>
      <c r="AA7" s="50">
        <f>D7/F7</f>
        <v>1</v>
      </c>
      <c r="AB7" s="50">
        <f>D7/H7</f>
        <v>1</v>
      </c>
      <c r="AC7" s="50">
        <f>D7/J7</f>
        <v>1</v>
      </c>
    </row>
    <row r="8" spans="1:29" s="102" customFormat="1" ht="15.75" thickBot="1">
      <c r="A8" s="351" t="s">
        <v>1681</v>
      </c>
      <c r="B8" s="352"/>
      <c r="C8" s="357" t="s">
        <v>1682</v>
      </c>
      <c r="D8" s="354">
        <v>100</v>
      </c>
      <c r="E8" s="357" t="s">
        <v>4018</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1" t="s">
        <v>1683</v>
      </c>
      <c r="Q8" s="3392"/>
      <c r="R8" s="663" t="s">
        <v>14</v>
      </c>
      <c r="S8" s="664">
        <f t="shared" si="0"/>
        <v>100</v>
      </c>
      <c r="T8" s="663" t="s">
        <v>14</v>
      </c>
      <c r="U8" s="664">
        <f t="shared" si="1"/>
        <v>100</v>
      </c>
      <c r="V8" s="663" t="s">
        <v>14</v>
      </c>
      <c r="W8" s="664">
        <f t="shared" si="2"/>
        <v>100</v>
      </c>
      <c r="X8" s="665"/>
      <c r="Y8" s="3391" t="s">
        <v>1683</v>
      </c>
      <c r="Z8" s="3392"/>
      <c r="AA8" s="50">
        <f t="shared" ref="AA8:AA45" si="3">D8/F8</f>
        <v>1</v>
      </c>
      <c r="AB8" s="50">
        <f t="shared" ref="AB8:AB45" si="4">D8/H8</f>
        <v>1</v>
      </c>
      <c r="AC8" s="50">
        <f t="shared" ref="AC8:AC45" si="5">D8/J8</f>
        <v>1</v>
      </c>
    </row>
    <row r="9" spans="1:29" s="102" customFormat="1" ht="15">
      <c r="A9" s="358" t="s">
        <v>1684</v>
      </c>
      <c r="B9" s="60" t="s">
        <v>1685</v>
      </c>
      <c r="C9" s="1817" t="s">
        <v>3385</v>
      </c>
      <c r="D9" s="59">
        <v>100</v>
      </c>
      <c r="E9" s="1817" t="s">
        <v>4082</v>
      </c>
      <c r="F9" s="59">
        <f>SUMIF(74:74,E9,75:75)-SUMIF(74:74,C9,75:75)+100</f>
        <v>105</v>
      </c>
      <c r="G9" s="1817" t="s">
        <v>3385</v>
      </c>
      <c r="H9" s="59">
        <f>SUMIF(74:74,G9,75:75)-SUMIF(74:74,C9,75:75)+100</f>
        <v>100</v>
      </c>
      <c r="I9" s="1817" t="s">
        <v>3385</v>
      </c>
      <c r="J9" s="59">
        <f>SUMIF(74:74,I9,75:75)-SUMIF(74:74,C9,75:75)+100</f>
        <v>100</v>
      </c>
      <c r="K9" s="38"/>
      <c r="L9" s="2479"/>
      <c r="M9" s="2431"/>
      <c r="N9" s="2431"/>
      <c r="O9" s="2531"/>
      <c r="P9" s="3363" t="s">
        <v>1686</v>
      </c>
      <c r="Q9" s="529" t="str">
        <f t="shared" ref="Q9:Q15" si="6">B9</f>
        <v>用途</v>
      </c>
      <c r="R9" s="663" t="s">
        <v>14</v>
      </c>
      <c r="S9" s="664">
        <f t="shared" si="0"/>
        <v>105</v>
      </c>
      <c r="T9" s="663" t="s">
        <v>14</v>
      </c>
      <c r="U9" s="664">
        <f t="shared" si="1"/>
        <v>100</v>
      </c>
      <c r="V9" s="663" t="s">
        <v>14</v>
      </c>
      <c r="W9" s="664">
        <f t="shared" si="2"/>
        <v>100</v>
      </c>
      <c r="X9" s="665"/>
      <c r="Y9" s="3263" t="s">
        <v>1687</v>
      </c>
      <c r="Z9" s="50" t="str">
        <f t="shared" ref="Z9:Z15" si="7">Q9</f>
        <v>用途</v>
      </c>
      <c r="AA9" s="50">
        <f t="shared" si="3"/>
        <v>0.95238095238095233</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0"/>
      <c r="M10" s="2481"/>
      <c r="N10" s="2481"/>
      <c r="O10" s="2532"/>
      <c r="P10" s="3363"/>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v>2.8</v>
      </c>
      <c r="D11" s="118">
        <v>100</v>
      </c>
      <c r="E11" s="367">
        <v>2</v>
      </c>
      <c r="F11" s="118">
        <f>LOOKUP(E11,79:79,80:80)-LOOKUP(C11,79:79,80:80)+100</f>
        <v>102</v>
      </c>
      <c r="G11" s="368">
        <v>2</v>
      </c>
      <c r="H11" s="118">
        <f>LOOKUP(G11,79:79,80:80)-LOOKUP(C11,79:79,80:80)+100</f>
        <v>102</v>
      </c>
      <c r="I11" s="367">
        <v>1.5</v>
      </c>
      <c r="J11" s="118">
        <f>LOOKUP(I11,79:79,80:80)-LOOKUP(C11,79:79,80:80)+100</f>
        <v>104</v>
      </c>
      <c r="K11" s="592">
        <v>2</v>
      </c>
      <c r="L11" s="2482"/>
      <c r="M11" s="2478"/>
      <c r="N11" s="2478"/>
      <c r="O11" s="2533"/>
      <c r="P11" s="3363"/>
      <c r="Q11" s="529" t="str">
        <f t="shared" si="6"/>
        <v>容积率</v>
      </c>
      <c r="R11" s="663" t="s">
        <v>14</v>
      </c>
      <c r="S11" s="664">
        <f t="shared" si="0"/>
        <v>102</v>
      </c>
      <c r="T11" s="663" t="s">
        <v>14</v>
      </c>
      <c r="U11" s="664">
        <f t="shared" si="1"/>
        <v>102</v>
      </c>
      <c r="V11" s="663" t="s">
        <v>14</v>
      </c>
      <c r="W11" s="664">
        <f t="shared" si="2"/>
        <v>104</v>
      </c>
      <c r="X11" s="665"/>
      <c r="Y11" s="3263"/>
      <c r="Z11" s="50" t="str">
        <f t="shared" si="7"/>
        <v>容积率</v>
      </c>
      <c r="AA11" s="50">
        <f t="shared" si="3"/>
        <v>0.98039215686274506</v>
      </c>
      <c r="AB11" s="50">
        <f t="shared" si="4"/>
        <v>0.98039215686274506</v>
      </c>
      <c r="AC11" s="50">
        <f t="shared" si="5"/>
        <v>0.96153846153846156</v>
      </c>
    </row>
    <row r="12" spans="1:29" s="102" customFormat="1" ht="15">
      <c r="A12" s="369"/>
      <c r="B12" s="3153" t="s">
        <v>4020</v>
      </c>
      <c r="C12" s="370">
        <v>27000</v>
      </c>
      <c r="D12" s="371">
        <v>100</v>
      </c>
      <c r="E12" s="402" t="s">
        <v>4021</v>
      </c>
      <c r="F12" s="118">
        <f>SUMIF(81:81,E12,82:82)-SUMIF(81:81,C12,82:82)+100</f>
        <v>103</v>
      </c>
      <c r="G12" s="402" t="s">
        <v>4021</v>
      </c>
      <c r="H12" s="118">
        <f>SUMIF(81:81,G12,82:82)-SUMIF(81:81,C12,82:82)+100</f>
        <v>103</v>
      </c>
      <c r="I12" s="402" t="s">
        <v>4022</v>
      </c>
      <c r="J12" s="118">
        <f>SUMIF(81:81,I12,82:82)-SUMIF(81:81,C12,82:82)+100</f>
        <v>106</v>
      </c>
      <c r="K12" s="591"/>
      <c r="L12" s="2479"/>
      <c r="M12" s="2431"/>
      <c r="N12" s="2431"/>
      <c r="O12" s="2531"/>
      <c r="P12" s="3363"/>
      <c r="Q12" s="529" t="str">
        <f t="shared" si="6"/>
        <v>限价</v>
      </c>
      <c r="R12" s="663" t="s">
        <v>14</v>
      </c>
      <c r="S12" s="664">
        <f t="shared" si="0"/>
        <v>103</v>
      </c>
      <c r="T12" s="663" t="s">
        <v>14</v>
      </c>
      <c r="U12" s="664">
        <f t="shared" si="1"/>
        <v>103</v>
      </c>
      <c r="V12" s="663" t="s">
        <v>14</v>
      </c>
      <c r="W12" s="664">
        <f t="shared" si="2"/>
        <v>106</v>
      </c>
      <c r="X12" s="665"/>
      <c r="Y12" s="3263"/>
      <c r="Z12" s="50" t="str">
        <f t="shared" si="7"/>
        <v>限价</v>
      </c>
      <c r="AA12" s="50">
        <f>D12/F12</f>
        <v>0.970873786407767</v>
      </c>
      <c r="AB12" s="50">
        <f>D12/H12</f>
        <v>0.970873786407767</v>
      </c>
      <c r="AC12" s="50">
        <f>D12/J12</f>
        <v>0.94339622641509435</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3"/>
      <c r="M13" s="2478"/>
      <c r="N13" s="2478"/>
      <c r="O13" s="2533"/>
      <c r="P13" s="3363"/>
      <c r="Q13" s="529">
        <f t="shared" si="6"/>
        <v>111</v>
      </c>
      <c r="R13" s="663" t="s">
        <v>14</v>
      </c>
      <c r="S13" s="664">
        <f t="shared" si="0"/>
        <v>100</v>
      </c>
      <c r="T13" s="663" t="s">
        <v>14</v>
      </c>
      <c r="U13" s="664">
        <f t="shared" si="1"/>
        <v>100</v>
      </c>
      <c r="V13" s="663" t="s">
        <v>14</v>
      </c>
      <c r="W13" s="664">
        <f t="shared" si="2"/>
        <v>100</v>
      </c>
      <c r="X13" s="665"/>
      <c r="Y13" s="3263"/>
      <c r="Z13" s="50">
        <f t="shared" si="7"/>
        <v>111</v>
      </c>
      <c r="AA13" s="50">
        <f>D13/F13</f>
        <v>1</v>
      </c>
      <c r="AB13" s="50">
        <f>D13/H13</f>
        <v>1</v>
      </c>
      <c r="AC13" s="50">
        <f>D13/J13</f>
        <v>1</v>
      </c>
    </row>
    <row r="14" spans="1:29" ht="15.75" thickBot="1">
      <c r="A14" s="374"/>
      <c r="B14" s="1742">
        <v>111</v>
      </c>
      <c r="C14" s="375"/>
      <c r="D14" s="376">
        <v>100</v>
      </c>
      <c r="E14" s="479"/>
      <c r="F14" s="376">
        <f>SUMIF(85:85,E14,86:86)-SUMIF(85:85,C14,86:86)+100</f>
        <v>100</v>
      </c>
      <c r="G14" s="593"/>
      <c r="H14" s="376">
        <f>SUMIF(85:85,G14,86:86)-SUMIF(85:85,C14,86:86)+100</f>
        <v>100</v>
      </c>
      <c r="I14" s="593"/>
      <c r="J14" s="376">
        <f>SUMIF(85:85,I14,86:86)-SUMIF(85:85,C14,86:86)+100</f>
        <v>100</v>
      </c>
      <c r="K14" s="591"/>
      <c r="L14" s="2483"/>
      <c r="M14" s="2478"/>
      <c r="N14" s="2478"/>
      <c r="O14" s="2533"/>
      <c r="P14" s="3363"/>
      <c r="Q14" s="529">
        <f t="shared" si="6"/>
        <v>111</v>
      </c>
      <c r="R14" s="663" t="s">
        <v>14</v>
      </c>
      <c r="S14" s="664">
        <f t="shared" si="0"/>
        <v>100</v>
      </c>
      <c r="T14" s="663" t="s">
        <v>14</v>
      </c>
      <c r="U14" s="664">
        <f t="shared" si="1"/>
        <v>100</v>
      </c>
      <c r="V14" s="663" t="s">
        <v>14</v>
      </c>
      <c r="W14" s="664">
        <f t="shared" si="2"/>
        <v>100</v>
      </c>
      <c r="X14" s="665"/>
      <c r="Y14" s="3263"/>
      <c r="Z14" s="50">
        <f t="shared" si="7"/>
        <v>111</v>
      </c>
      <c r="AA14" s="50">
        <f>D14/F14</f>
        <v>1</v>
      </c>
      <c r="AB14" s="50">
        <f>D14/H14</f>
        <v>1</v>
      </c>
      <c r="AC14" s="50">
        <f>D14/J14</f>
        <v>1</v>
      </c>
    </row>
    <row r="15" spans="1:29" ht="71.25">
      <c r="A15" s="378" t="s">
        <v>1690</v>
      </c>
      <c r="B15" s="58" t="s">
        <v>1257</v>
      </c>
      <c r="C15" s="1743" t="str">
        <f>估价对象房地状况!C15</f>
        <v>估价对象周边居住用地比例、居住小区规模和社区发展完善程度，综合评价居住社区成熟度一般</v>
      </c>
      <c r="D15" s="379">
        <v>100</v>
      </c>
      <c r="E15" s="380"/>
      <c r="F15" s="379">
        <f>SUMIF(87:87,E16,88:88)-SUMIF(87:87,C16,88:88)+100</f>
        <v>98</v>
      </c>
      <c r="G15" s="380"/>
      <c r="H15" s="379">
        <f>SUMIF(87:87,G16,88:88)-SUMIF(87:87,C16,88:88)+100</f>
        <v>98</v>
      </c>
      <c r="I15" s="382"/>
      <c r="J15" s="379">
        <f>SUMIF(87:87,I16,88:88)-SUMIF(87:87,C16,88:88)+100</f>
        <v>102</v>
      </c>
      <c r="K15" s="592">
        <v>2</v>
      </c>
      <c r="L15" s="2483"/>
      <c r="M15" s="2478"/>
      <c r="N15" s="2478"/>
      <c r="O15" s="2533"/>
      <c r="P15" s="3364" t="s">
        <v>1691</v>
      </c>
      <c r="Q15" s="1257" t="str">
        <f t="shared" si="6"/>
        <v>居住社区成熟度</v>
      </c>
      <c r="R15" s="666" t="s">
        <v>14</v>
      </c>
      <c r="S15" s="667">
        <f t="shared" si="0"/>
        <v>98</v>
      </c>
      <c r="T15" s="666" t="s">
        <v>14</v>
      </c>
      <c r="U15" s="667">
        <f t="shared" si="1"/>
        <v>98</v>
      </c>
      <c r="V15" s="666" t="s">
        <v>14</v>
      </c>
      <c r="W15" s="667">
        <f t="shared" si="2"/>
        <v>102</v>
      </c>
      <c r="X15" s="1259"/>
      <c r="Y15" s="3364" t="s">
        <v>1691</v>
      </c>
      <c r="Z15" s="1258" t="str">
        <f t="shared" si="7"/>
        <v>居住社区成熟度</v>
      </c>
      <c r="AA15" s="1258">
        <f t="shared" si="3"/>
        <v>1.0204081632653061</v>
      </c>
      <c r="AB15" s="1258">
        <f t="shared" si="4"/>
        <v>1.0204081632653061</v>
      </c>
      <c r="AC15" s="1258">
        <f t="shared" si="5"/>
        <v>0.98039215686274506</v>
      </c>
    </row>
    <row r="16" spans="1:29" ht="15">
      <c r="A16" s="366"/>
      <c r="B16" s="384"/>
      <c r="C16" s="385" t="s">
        <v>4013</v>
      </c>
      <c r="D16" s="386"/>
      <c r="E16" s="1745" t="s">
        <v>4014</v>
      </c>
      <c r="F16" s="386"/>
      <c r="G16" s="1745" t="s">
        <v>4014</v>
      </c>
      <c r="H16" s="388"/>
      <c r="I16" s="1744" t="s">
        <v>3439</v>
      </c>
      <c r="J16" s="386"/>
      <c r="K16" s="591"/>
      <c r="L16" s="2483"/>
      <c r="M16" s="2478"/>
      <c r="N16" s="2478"/>
      <c r="O16" s="2533"/>
      <c r="P16" s="3365"/>
      <c r="Q16" s="1257"/>
      <c r="R16" s="666"/>
      <c r="S16" s="667"/>
      <c r="T16" s="666"/>
      <c r="U16" s="667"/>
      <c r="V16" s="666"/>
      <c r="W16" s="667"/>
      <c r="X16" s="1259"/>
      <c r="Y16" s="3365"/>
      <c r="Z16" s="1258"/>
      <c r="AA16" s="1258">
        <v>1</v>
      </c>
      <c r="AB16" s="1258">
        <v>1</v>
      </c>
      <c r="AC16" s="1258">
        <v>1</v>
      </c>
    </row>
    <row r="17" spans="1:29" ht="15">
      <c r="A17" s="366"/>
      <c r="B17" s="389" t="s">
        <v>1777</v>
      </c>
      <c r="C17" s="1798">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3"/>
      <c r="M17" s="2478"/>
      <c r="N17" s="2478"/>
      <c r="O17" s="2533"/>
      <c r="P17" s="3365"/>
      <c r="Q17" s="1257" t="str">
        <f>B17</f>
        <v>商业繁华度</v>
      </c>
      <c r="R17" s="666" t="s">
        <v>14</v>
      </c>
      <c r="S17" s="667">
        <f>F17</f>
        <v>100</v>
      </c>
      <c r="T17" s="666" t="s">
        <v>14</v>
      </c>
      <c r="U17" s="667">
        <f>H17</f>
        <v>100</v>
      </c>
      <c r="V17" s="666" t="s">
        <v>14</v>
      </c>
      <c r="W17" s="667">
        <f>J17</f>
        <v>100</v>
      </c>
      <c r="X17" s="1259"/>
      <c r="Y17" s="3365"/>
      <c r="Z17" s="1258" t="str">
        <f>Q17</f>
        <v>商业繁华度</v>
      </c>
      <c r="AA17" s="1258">
        <f t="shared" si="3"/>
        <v>1</v>
      </c>
      <c r="AB17" s="1258">
        <f t="shared" si="4"/>
        <v>1</v>
      </c>
      <c r="AC17" s="1258">
        <f t="shared" si="5"/>
        <v>1</v>
      </c>
    </row>
    <row r="18" spans="1:29" ht="15">
      <c r="A18" s="366"/>
      <c r="B18" s="394"/>
      <c r="C18" s="1748"/>
      <c r="D18" s="388"/>
      <c r="E18" s="1750"/>
      <c r="F18" s="388"/>
      <c r="G18" s="1750"/>
      <c r="H18" s="386"/>
      <c r="I18" s="1749"/>
      <c r="J18" s="386"/>
      <c r="K18" s="591"/>
      <c r="L18" s="2483"/>
      <c r="M18" s="2478"/>
      <c r="N18" s="2478"/>
      <c r="O18" s="2533"/>
      <c r="P18" s="3365"/>
      <c r="Q18" s="1257"/>
      <c r="R18" s="666"/>
      <c r="S18" s="667"/>
      <c r="T18" s="666"/>
      <c r="U18" s="667"/>
      <c r="V18" s="666"/>
      <c r="W18" s="667"/>
      <c r="X18" s="1259"/>
      <c r="Y18" s="3365"/>
      <c r="Z18" s="1258"/>
      <c r="AA18" s="1258">
        <v>1</v>
      </c>
      <c r="AB18" s="1258">
        <v>1</v>
      </c>
      <c r="AC18" s="1258">
        <v>1</v>
      </c>
    </row>
    <row r="19" spans="1:29" ht="15">
      <c r="A19" s="366"/>
      <c r="B19" s="389" t="s">
        <v>1811</v>
      </c>
      <c r="C19" s="1798">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3"/>
      <c r="M19" s="2478"/>
      <c r="N19" s="2478"/>
      <c r="O19" s="2533"/>
      <c r="P19" s="3365"/>
      <c r="Q19" s="1257" t="str">
        <f>B19</f>
        <v>办公集聚程度</v>
      </c>
      <c r="R19" s="666" t="s">
        <v>14</v>
      </c>
      <c r="S19" s="667">
        <f>F19</f>
        <v>100</v>
      </c>
      <c r="T19" s="666" t="s">
        <v>14</v>
      </c>
      <c r="U19" s="667">
        <f>H19</f>
        <v>100</v>
      </c>
      <c r="V19" s="666" t="s">
        <v>14</v>
      </c>
      <c r="W19" s="667">
        <f>J19</f>
        <v>100</v>
      </c>
      <c r="X19" s="1259"/>
      <c r="Y19" s="3365"/>
      <c r="Z19" s="1258" t="str">
        <f>Q19</f>
        <v>办公集聚程度</v>
      </c>
      <c r="AA19" s="1258">
        <f t="shared" si="3"/>
        <v>1</v>
      </c>
      <c r="AB19" s="1258">
        <f t="shared" si="4"/>
        <v>1</v>
      </c>
      <c r="AC19" s="1258">
        <f t="shared" si="5"/>
        <v>1</v>
      </c>
    </row>
    <row r="20" spans="1:29" ht="15">
      <c r="A20" s="366"/>
      <c r="B20" s="394"/>
      <c r="C20" s="385"/>
      <c r="D20" s="386"/>
      <c r="E20" s="1745"/>
      <c r="F20" s="386"/>
      <c r="G20" s="1745"/>
      <c r="H20" s="386"/>
      <c r="I20" s="1744"/>
      <c r="J20" s="386"/>
      <c r="K20" s="591"/>
      <c r="L20" s="2483"/>
      <c r="M20" s="2478"/>
      <c r="N20" s="2478"/>
      <c r="O20" s="2533"/>
      <c r="P20" s="3365"/>
      <c r="Q20" s="1257"/>
      <c r="R20" s="666"/>
      <c r="S20" s="667"/>
      <c r="T20" s="666"/>
      <c r="U20" s="667"/>
      <c r="V20" s="666"/>
      <c r="W20" s="667"/>
      <c r="X20" s="1259"/>
      <c r="Y20" s="3365"/>
      <c r="Z20" s="1258"/>
      <c r="AA20" s="1258">
        <v>1</v>
      </c>
      <c r="AB20" s="1258">
        <v>1</v>
      </c>
      <c r="AC20" s="1258">
        <v>1</v>
      </c>
    </row>
    <row r="21" spans="1:29" ht="71.25">
      <c r="A21" s="366"/>
      <c r="B21" s="389" t="s">
        <v>1833</v>
      </c>
      <c r="C21" s="1747" t="str">
        <f>估价对象房地状况!C18</f>
        <v>估价对象周边道路状况、公共交通通达情况、停车便捷程度，综合评价交通便捷度一般</v>
      </c>
      <c r="D21" s="388">
        <v>100</v>
      </c>
      <c r="E21" s="390"/>
      <c r="F21" s="393">
        <f>SUMIF(93:93,E22,94:94)-SUMIF(93:93,C22,94:94)+100</f>
        <v>98</v>
      </c>
      <c r="G21" s="390"/>
      <c r="H21" s="388">
        <f>SUMIF(93:93,G22,94:94)-SUMIF(93:93,C22,94:94)+100</f>
        <v>98</v>
      </c>
      <c r="I21" s="392"/>
      <c r="J21" s="388">
        <f>SUMIF(93:93,I22,94:94)-SUMIF(93:93,C22,94:94)+100</f>
        <v>102</v>
      </c>
      <c r="K21" s="592">
        <v>2</v>
      </c>
      <c r="L21" s="2483"/>
      <c r="M21" s="2478"/>
      <c r="N21" s="2478"/>
      <c r="O21" s="2533"/>
      <c r="P21" s="3365"/>
      <c r="Q21" s="1257" t="str">
        <f>B21</f>
        <v>交通便捷度</v>
      </c>
      <c r="R21" s="666" t="s">
        <v>14</v>
      </c>
      <c r="S21" s="667">
        <f>F21</f>
        <v>98</v>
      </c>
      <c r="T21" s="666" t="s">
        <v>14</v>
      </c>
      <c r="U21" s="667">
        <f>H21</f>
        <v>98</v>
      </c>
      <c r="V21" s="666" t="s">
        <v>14</v>
      </c>
      <c r="W21" s="667">
        <f>J21</f>
        <v>102</v>
      </c>
      <c r="X21" s="1259"/>
      <c r="Y21" s="3365"/>
      <c r="Z21" s="1258" t="str">
        <f>Q21</f>
        <v>交通便捷度</v>
      </c>
      <c r="AA21" s="1258">
        <f t="shared" si="3"/>
        <v>1.0204081632653061</v>
      </c>
      <c r="AB21" s="1258">
        <f t="shared" si="4"/>
        <v>1.0204081632653061</v>
      </c>
      <c r="AC21" s="1258">
        <f t="shared" si="5"/>
        <v>0.98039215686274506</v>
      </c>
    </row>
    <row r="22" spans="1:29" ht="15">
      <c r="A22" s="366"/>
      <c r="B22" s="585"/>
      <c r="C22" s="385" t="s">
        <v>4013</v>
      </c>
      <c r="D22" s="388"/>
      <c r="E22" s="1745" t="s">
        <v>4014</v>
      </c>
      <c r="F22" s="386"/>
      <c r="G22" s="1745" t="s">
        <v>4014</v>
      </c>
      <c r="H22" s="386"/>
      <c r="I22" s="1744" t="s">
        <v>3439</v>
      </c>
      <c r="J22" s="386"/>
      <c r="K22" s="591"/>
      <c r="L22" s="2483"/>
      <c r="M22" s="2478"/>
      <c r="N22" s="2478"/>
      <c r="O22" s="2533"/>
      <c r="P22" s="3365"/>
      <c r="Q22" s="1257"/>
      <c r="R22" s="666"/>
      <c r="S22" s="667"/>
      <c r="T22" s="666"/>
      <c r="U22" s="667"/>
      <c r="V22" s="666"/>
      <c r="W22" s="667"/>
      <c r="X22" s="1259"/>
      <c r="Y22" s="3365"/>
      <c r="Z22" s="1258"/>
      <c r="AA22" s="1258">
        <v>1</v>
      </c>
      <c r="AB22" s="1258">
        <v>1</v>
      </c>
      <c r="AC22" s="1258">
        <v>1</v>
      </c>
    </row>
    <row r="23" spans="1:29" ht="15">
      <c r="A23" s="347"/>
      <c r="B23" s="389" t="s">
        <v>1870</v>
      </c>
      <c r="C23" s="1063" t="str">
        <f>估价对象房地状况!C19</f>
        <v>较好</v>
      </c>
      <c r="D23" s="393">
        <v>100</v>
      </c>
      <c r="E23" s="390"/>
      <c r="F23" s="393">
        <f>SUMIF(95:95,E24,96:96)-SUMIF(95:95,C24,96:96)+100</f>
        <v>100</v>
      </c>
      <c r="G23" s="392"/>
      <c r="H23" s="393">
        <f>SUMIF(95:95,G24,96:96)-SUMIF(95:95,C24,96:96)+100</f>
        <v>100</v>
      </c>
      <c r="I23" s="392"/>
      <c r="J23" s="393">
        <f>SUMIF(95:95,I24,96:96)-SUMIF(95:95,C24,96:96)+100</f>
        <v>100</v>
      </c>
      <c r="K23" s="592">
        <v>2</v>
      </c>
      <c r="L23" s="2483"/>
      <c r="M23" s="2478"/>
      <c r="N23" s="2478"/>
      <c r="O23" s="2533"/>
      <c r="P23" s="3365"/>
      <c r="Q23" s="1257" t="str">
        <f t="shared" ref="Q23:Q37" si="8">B23</f>
        <v>区域土地利用方向</v>
      </c>
      <c r="R23" s="666" t="s">
        <v>14</v>
      </c>
      <c r="S23" s="667">
        <f>F23</f>
        <v>100</v>
      </c>
      <c r="T23" s="666" t="s">
        <v>14</v>
      </c>
      <c r="U23" s="667">
        <f>H23</f>
        <v>100</v>
      </c>
      <c r="V23" s="666" t="s">
        <v>14</v>
      </c>
      <c r="W23" s="667">
        <f>J23</f>
        <v>100</v>
      </c>
      <c r="X23" s="1259"/>
      <c r="Y23" s="3365"/>
      <c r="Z23" s="1258" t="str">
        <f>Q23</f>
        <v>区域土地利用方向</v>
      </c>
      <c r="AA23" s="1258">
        <f t="shared" si="3"/>
        <v>1</v>
      </c>
      <c r="AB23" s="1258">
        <f t="shared" si="4"/>
        <v>1</v>
      </c>
      <c r="AC23" s="1258">
        <f t="shared" si="5"/>
        <v>1</v>
      </c>
    </row>
    <row r="24" spans="1:29" ht="15">
      <c r="A24" s="347"/>
      <c r="B24" s="394"/>
      <c r="C24" s="541" t="s">
        <v>3439</v>
      </c>
      <c r="D24" s="386"/>
      <c r="E24" s="1745" t="s">
        <v>3439</v>
      </c>
      <c r="F24" s="386"/>
      <c r="G24" s="1745" t="s">
        <v>3439</v>
      </c>
      <c r="H24" s="386"/>
      <c r="I24" s="1744" t="s">
        <v>3439</v>
      </c>
      <c r="J24" s="386"/>
      <c r="K24" s="692"/>
      <c r="L24" s="2483"/>
      <c r="M24" s="2478"/>
      <c r="N24" s="2478"/>
      <c r="O24" s="2533"/>
      <c r="P24" s="3365"/>
      <c r="Q24" s="1257"/>
      <c r="R24" s="666"/>
      <c r="S24" s="667"/>
      <c r="T24" s="666"/>
      <c r="U24" s="667"/>
      <c r="V24" s="666"/>
      <c r="W24" s="667"/>
      <c r="X24" s="1259"/>
      <c r="Y24" s="3365"/>
      <c r="Z24" s="1258"/>
      <c r="AA24" s="1258"/>
      <c r="AB24" s="1258"/>
      <c r="AC24" s="1258"/>
    </row>
    <row r="25" spans="1:29" ht="42.75">
      <c r="A25" s="347"/>
      <c r="B25" s="585" t="s">
        <v>1871</v>
      </c>
      <c r="C25" s="1798"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v>2</v>
      </c>
      <c r="L25" s="2483"/>
      <c r="M25" s="2478"/>
      <c r="N25" s="2478"/>
      <c r="O25" s="2533"/>
      <c r="P25" s="3365"/>
      <c r="Q25" s="1257" t="str">
        <f t="shared" si="8"/>
        <v>自然及人文环境状况</v>
      </c>
      <c r="R25" s="666" t="s">
        <v>14</v>
      </c>
      <c r="S25" s="667">
        <f>F25</f>
        <v>100</v>
      </c>
      <c r="T25" s="666" t="s">
        <v>14</v>
      </c>
      <c r="U25" s="667">
        <f>H25</f>
        <v>100</v>
      </c>
      <c r="V25" s="666" t="s">
        <v>14</v>
      </c>
      <c r="W25" s="667">
        <f>J25</f>
        <v>100</v>
      </c>
      <c r="X25" s="1259"/>
      <c r="Y25" s="3365"/>
      <c r="Z25" s="1258" t="str">
        <f>Q25</f>
        <v>自然及人文环境状况</v>
      </c>
      <c r="AA25" s="1258">
        <f t="shared" si="3"/>
        <v>1</v>
      </c>
      <c r="AB25" s="1258">
        <f t="shared" si="4"/>
        <v>1</v>
      </c>
      <c r="AC25" s="1258">
        <f t="shared" si="5"/>
        <v>1</v>
      </c>
    </row>
    <row r="26" spans="1:29" ht="15">
      <c r="A26" s="347"/>
      <c r="B26" s="394"/>
      <c r="C26" s="385" t="s">
        <v>4013</v>
      </c>
      <c r="D26" s="386"/>
      <c r="E26" s="1751" t="s">
        <v>4013</v>
      </c>
      <c r="F26" s="386"/>
      <c r="G26" s="1751" t="s">
        <v>4013</v>
      </c>
      <c r="H26" s="386"/>
      <c r="I26" s="385" t="s">
        <v>4013</v>
      </c>
      <c r="J26" s="386"/>
      <c r="K26" s="591"/>
      <c r="L26" s="2483"/>
      <c r="M26" s="2478"/>
      <c r="N26" s="2478"/>
      <c r="O26" s="2533"/>
      <c r="P26" s="3365"/>
      <c r="Q26" s="1257"/>
      <c r="R26" s="666"/>
      <c r="S26" s="667"/>
      <c r="T26" s="666"/>
      <c r="U26" s="667"/>
      <c r="V26" s="666"/>
      <c r="W26" s="667"/>
      <c r="X26" s="1259"/>
      <c r="Y26" s="3365"/>
      <c r="Z26" s="1258"/>
      <c r="AA26" s="1258">
        <v>1</v>
      </c>
      <c r="AB26" s="1258">
        <v>1</v>
      </c>
      <c r="AC26" s="1258">
        <v>1</v>
      </c>
    </row>
    <row r="27" spans="1:29" s="102" customFormat="1" ht="42.75">
      <c r="A27" s="442"/>
      <c r="B27" s="585" t="s">
        <v>1778</v>
      </c>
      <c r="C27" s="1747" t="str">
        <f>估价对象房地状况!C21</f>
        <v>估价对象所在区域公共配套设施齐备情况一般</v>
      </c>
      <c r="D27" s="388">
        <v>100</v>
      </c>
      <c r="E27" s="390"/>
      <c r="F27" s="388">
        <f>SUMIF(99:99,E28,100:100)-SUMIF(99:99,C28,100:100)+100</f>
        <v>98</v>
      </c>
      <c r="G27" s="390"/>
      <c r="H27" s="388">
        <f>SUMIF(99:99,G28,100:100)-SUMIF(99:99,C28,100:100)+100</f>
        <v>98</v>
      </c>
      <c r="I27" s="392"/>
      <c r="J27" s="388">
        <f>SUMIF(99:99,I28,100:100)-SUMIF(99:99,C28,100:100)+100</f>
        <v>100</v>
      </c>
      <c r="K27" s="592">
        <v>2</v>
      </c>
      <c r="L27" s="2479"/>
      <c r="M27" s="2431"/>
      <c r="N27" s="2431"/>
      <c r="O27" s="2531"/>
      <c r="P27" s="3365"/>
      <c r="Q27" s="529" t="str">
        <f t="shared" si="8"/>
        <v>公共配套设施</v>
      </c>
      <c r="R27" s="663" t="s">
        <v>14</v>
      </c>
      <c r="S27" s="664">
        <f>F27</f>
        <v>98</v>
      </c>
      <c r="T27" s="663" t="s">
        <v>14</v>
      </c>
      <c r="U27" s="664">
        <f>H27</f>
        <v>98</v>
      </c>
      <c r="V27" s="663" t="s">
        <v>14</v>
      </c>
      <c r="W27" s="664">
        <f>J27</f>
        <v>100</v>
      </c>
      <c r="X27" s="665"/>
      <c r="Y27" s="3365"/>
      <c r="Z27" s="50" t="str">
        <f>Q27</f>
        <v>公共配套设施</v>
      </c>
      <c r="AA27" s="1258">
        <f>D27/F27</f>
        <v>1.0204081632653061</v>
      </c>
      <c r="AB27" s="1258">
        <f>D27/H27</f>
        <v>1.0204081632653061</v>
      </c>
      <c r="AC27" s="1258">
        <f>D27/J27</f>
        <v>1</v>
      </c>
    </row>
    <row r="28" spans="1:29" s="102" customFormat="1" ht="15">
      <c r="A28" s="442"/>
      <c r="B28" s="394"/>
      <c r="C28" s="1818" t="s">
        <v>4013</v>
      </c>
      <c r="D28" s="386"/>
      <c r="E28" s="1751" t="s">
        <v>4014</v>
      </c>
      <c r="F28" s="386"/>
      <c r="G28" s="1751" t="s">
        <v>4014</v>
      </c>
      <c r="H28" s="386"/>
      <c r="I28" s="385" t="s">
        <v>4013</v>
      </c>
      <c r="J28" s="386"/>
      <c r="K28" s="591"/>
      <c r="L28" s="2479"/>
      <c r="M28" s="2431"/>
      <c r="N28" s="2431"/>
      <c r="O28" s="2531"/>
      <c r="P28" s="3365"/>
      <c r="Q28" s="529"/>
      <c r="R28" s="663"/>
      <c r="S28" s="664"/>
      <c r="T28" s="663"/>
      <c r="U28" s="664"/>
      <c r="V28" s="663"/>
      <c r="W28" s="664"/>
      <c r="X28" s="665"/>
      <c r="Y28" s="3365"/>
      <c r="Z28" s="50"/>
      <c r="AA28" s="1258">
        <v>1</v>
      </c>
      <c r="AB28" s="1258">
        <v>1</v>
      </c>
      <c r="AC28" s="1258">
        <v>1</v>
      </c>
    </row>
    <row r="29" spans="1:29" s="102" customFormat="1" ht="28.5">
      <c r="A29" s="442"/>
      <c r="B29" s="585" t="s">
        <v>1779</v>
      </c>
      <c r="C29" s="1747"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9"/>
      <c r="M29" s="2431"/>
      <c r="N29" s="2431"/>
      <c r="O29" s="2531"/>
      <c r="P29" s="3365"/>
      <c r="Q29" s="529" t="str">
        <f t="shared" ref="Q29" si="9">B29</f>
        <v>基础设施水平</v>
      </c>
      <c r="R29" s="663" t="s">
        <v>14</v>
      </c>
      <c r="S29" s="664">
        <f>F29</f>
        <v>100</v>
      </c>
      <c r="T29" s="663" t="s">
        <v>14</v>
      </c>
      <c r="U29" s="664">
        <f>H29</f>
        <v>100</v>
      </c>
      <c r="V29" s="663" t="s">
        <v>14</v>
      </c>
      <c r="W29" s="664">
        <f>J29</f>
        <v>100</v>
      </c>
      <c r="X29" s="665"/>
      <c r="Y29" s="3365"/>
      <c r="Z29" s="50" t="str">
        <f>Q29</f>
        <v>基础设施水平</v>
      </c>
      <c r="AA29" s="1258">
        <f>D29/F29</f>
        <v>1</v>
      </c>
      <c r="AB29" s="1258">
        <f>D29/H29</f>
        <v>1</v>
      </c>
      <c r="AC29" s="1258">
        <f>D29/J29</f>
        <v>1</v>
      </c>
    </row>
    <row r="30" spans="1:29" s="102" customFormat="1" ht="15">
      <c r="A30" s="442"/>
      <c r="B30" s="394"/>
      <c r="C30" s="1818" t="s">
        <v>4007</v>
      </c>
      <c r="D30" s="386"/>
      <c r="E30" s="1819" t="s">
        <v>4007</v>
      </c>
      <c r="F30" s="386"/>
      <c r="G30" s="1819" t="s">
        <v>4007</v>
      </c>
      <c r="H30" s="386"/>
      <c r="I30" s="1819" t="s">
        <v>4007</v>
      </c>
      <c r="J30" s="386"/>
      <c r="K30" s="591"/>
      <c r="L30" s="2479"/>
      <c r="M30" s="2431"/>
      <c r="N30" s="2431"/>
      <c r="O30" s="2531"/>
      <c r="P30" s="3365"/>
      <c r="Q30" s="529"/>
      <c r="R30" s="663"/>
      <c r="S30" s="664"/>
      <c r="T30" s="663"/>
      <c r="U30" s="664"/>
      <c r="V30" s="663"/>
      <c r="W30" s="664"/>
      <c r="X30" s="665"/>
      <c r="Y30" s="3365"/>
      <c r="Z30" s="50"/>
      <c r="AA30" s="1258">
        <v>1</v>
      </c>
      <c r="AB30" s="1258">
        <v>1</v>
      </c>
      <c r="AC30" s="1258">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3"/>
      <c r="M31" s="2478"/>
      <c r="N31" s="2478"/>
      <c r="O31" s="2533"/>
      <c r="P31" s="3365"/>
      <c r="Q31" s="1257" t="str">
        <f t="shared" si="8"/>
        <v>临街状况</v>
      </c>
      <c r="R31" s="666" t="s">
        <v>14</v>
      </c>
      <c r="S31" s="667">
        <f t="shared" ref="S31:S45" si="10">F31</f>
        <v>100</v>
      </c>
      <c r="T31" s="666" t="s">
        <v>14</v>
      </c>
      <c r="U31" s="667">
        <f t="shared" ref="U31:U45" si="11">H31</f>
        <v>100</v>
      </c>
      <c r="V31" s="666" t="s">
        <v>14</v>
      </c>
      <c r="W31" s="667">
        <f t="shared" ref="W31:W45" si="12">J31</f>
        <v>100</v>
      </c>
      <c r="X31" s="1259"/>
      <c r="Y31" s="3365"/>
      <c r="Z31" s="1258" t="str">
        <f t="shared" ref="Z31:Z45" si="13">Q31</f>
        <v>临街状况</v>
      </c>
      <c r="AA31" s="1258">
        <f t="shared" si="3"/>
        <v>1</v>
      </c>
      <c r="AB31" s="1258">
        <f t="shared" si="4"/>
        <v>1</v>
      </c>
      <c r="AC31" s="1258">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3"/>
      <c r="M32" s="2478"/>
      <c r="N32" s="2478"/>
      <c r="O32" s="2533"/>
      <c r="P32" s="3365"/>
      <c r="Q32" s="1257" t="str">
        <f t="shared" si="8"/>
        <v>毗邻道路的类型与等级</v>
      </c>
      <c r="R32" s="666" t="s">
        <v>14</v>
      </c>
      <c r="S32" s="667">
        <f t="shared" si="10"/>
        <v>100</v>
      </c>
      <c r="T32" s="666" t="s">
        <v>14</v>
      </c>
      <c r="U32" s="667">
        <f t="shared" si="11"/>
        <v>100</v>
      </c>
      <c r="V32" s="666" t="s">
        <v>14</v>
      </c>
      <c r="W32" s="667">
        <f t="shared" si="12"/>
        <v>100</v>
      </c>
      <c r="X32" s="1259"/>
      <c r="Y32" s="3365"/>
      <c r="Z32" s="1258" t="str">
        <f t="shared" si="13"/>
        <v>毗邻道路的类型与等级</v>
      </c>
      <c r="AA32" s="1258">
        <f t="shared" si="3"/>
        <v>1</v>
      </c>
      <c r="AB32" s="1258">
        <f t="shared" si="4"/>
        <v>1</v>
      </c>
      <c r="AC32" s="1258">
        <f t="shared" si="5"/>
        <v>1</v>
      </c>
    </row>
    <row r="33" spans="1:29" ht="15">
      <c r="A33" s="366"/>
      <c r="B33" s="394"/>
      <c r="C33" s="1751" t="s">
        <v>4017</v>
      </c>
      <c r="D33" s="386"/>
      <c r="E33" s="1751" t="s">
        <v>4017</v>
      </c>
      <c r="F33" s="386"/>
      <c r="G33" s="1751" t="s">
        <v>4017</v>
      </c>
      <c r="H33" s="386"/>
      <c r="I33" s="385" t="s">
        <v>4017</v>
      </c>
      <c r="J33" s="386"/>
      <c r="K33" s="538"/>
      <c r="L33" s="2483"/>
      <c r="M33" s="2478"/>
      <c r="N33" s="2478"/>
      <c r="O33" s="2533"/>
      <c r="P33" s="3365"/>
      <c r="Q33" s="1257"/>
      <c r="R33" s="666"/>
      <c r="S33" s="667"/>
      <c r="T33" s="666"/>
      <c r="U33" s="667"/>
      <c r="V33" s="666"/>
      <c r="W33" s="667"/>
      <c r="X33" s="1259"/>
      <c r="Y33" s="3365"/>
      <c r="Z33" s="1258"/>
      <c r="AA33" s="1258">
        <v>1</v>
      </c>
      <c r="AB33" s="1258">
        <v>1</v>
      </c>
      <c r="AC33" s="1258">
        <v>1</v>
      </c>
    </row>
    <row r="34" spans="1:29" ht="15">
      <c r="A34" s="366"/>
      <c r="B34" s="363" t="s">
        <v>1872</v>
      </c>
      <c r="C34" s="541" t="s">
        <v>4016</v>
      </c>
      <c r="D34" s="373">
        <v>100</v>
      </c>
      <c r="E34" s="557" t="s">
        <v>4019</v>
      </c>
      <c r="F34" s="373">
        <f>SUMIF(107:107,E34,108:108)-SUMIF(107:107,C34,108:108)+100</f>
        <v>103</v>
      </c>
      <c r="G34" s="557" t="s">
        <v>4019</v>
      </c>
      <c r="H34" s="373">
        <f>SUMIF(107:107,G34,108:108)-SUMIF(107:107,C34,108:108)+100</f>
        <v>103</v>
      </c>
      <c r="I34" s="557" t="s">
        <v>4019</v>
      </c>
      <c r="J34" s="373">
        <f>SUMIF(107:107,I34,108:108)-SUMIF(107:107,C34,108:108)+100</f>
        <v>103</v>
      </c>
      <c r="K34" s="537">
        <v>3</v>
      </c>
      <c r="L34" s="2483"/>
      <c r="M34" s="2478"/>
      <c r="N34" s="2478"/>
      <c r="O34" s="2533"/>
      <c r="P34" s="3365"/>
      <c r="Q34" s="1257" t="str">
        <f t="shared" si="8"/>
        <v>土地级别</v>
      </c>
      <c r="R34" s="666" t="s">
        <v>14</v>
      </c>
      <c r="S34" s="667">
        <f t="shared" si="10"/>
        <v>103</v>
      </c>
      <c r="T34" s="666" t="s">
        <v>14</v>
      </c>
      <c r="U34" s="667">
        <f t="shared" si="11"/>
        <v>103</v>
      </c>
      <c r="V34" s="666" t="s">
        <v>14</v>
      </c>
      <c r="W34" s="667">
        <f t="shared" si="12"/>
        <v>103</v>
      </c>
      <c r="X34" s="1259"/>
      <c r="Y34" s="3365"/>
      <c r="Z34" s="1258" t="str">
        <f t="shared" si="13"/>
        <v>土地级别</v>
      </c>
      <c r="AA34" s="1258">
        <f t="shared" si="3"/>
        <v>0.970873786407767</v>
      </c>
      <c r="AB34" s="1258">
        <f t="shared" si="4"/>
        <v>0.970873786407767</v>
      </c>
      <c r="AC34" s="1258">
        <f t="shared" si="5"/>
        <v>0.970873786407767</v>
      </c>
    </row>
    <row r="35" spans="1:29" ht="15">
      <c r="A35" s="347"/>
      <c r="B35" s="1060">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3"/>
      <c r="M35" s="2478"/>
      <c r="N35" s="2478"/>
      <c r="O35" s="2533"/>
      <c r="P35" s="3365"/>
      <c r="Q35" s="1257">
        <f t="shared" si="8"/>
        <v>111</v>
      </c>
      <c r="R35" s="666" t="s">
        <v>14</v>
      </c>
      <c r="S35" s="667">
        <f t="shared" si="10"/>
        <v>100</v>
      </c>
      <c r="T35" s="666" t="s">
        <v>14</v>
      </c>
      <c r="U35" s="667">
        <f t="shared" si="11"/>
        <v>100</v>
      </c>
      <c r="V35" s="666" t="s">
        <v>14</v>
      </c>
      <c r="W35" s="667">
        <f t="shared" si="12"/>
        <v>100</v>
      </c>
      <c r="X35" s="1259"/>
      <c r="Y35" s="3365"/>
      <c r="Z35" s="1258">
        <f t="shared" si="13"/>
        <v>111</v>
      </c>
      <c r="AA35" s="1258">
        <f t="shared" si="3"/>
        <v>1</v>
      </c>
      <c r="AB35" s="1258">
        <f t="shared" si="4"/>
        <v>1</v>
      </c>
      <c r="AC35" s="1258">
        <f t="shared" si="5"/>
        <v>1</v>
      </c>
    </row>
    <row r="36" spans="1:29" ht="15">
      <c r="A36" s="594"/>
      <c r="B36" s="1061">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3"/>
      <c r="M36" s="2478"/>
      <c r="N36" s="2478"/>
      <c r="O36" s="2533"/>
      <c r="P36" s="3366" t="s">
        <v>1696</v>
      </c>
      <c r="Q36" s="1257">
        <f t="shared" si="8"/>
        <v>111</v>
      </c>
      <c r="R36" s="666" t="s">
        <v>14</v>
      </c>
      <c r="S36" s="667">
        <f t="shared" si="10"/>
        <v>100</v>
      </c>
      <c r="T36" s="666" t="s">
        <v>14</v>
      </c>
      <c r="U36" s="667">
        <f t="shared" si="11"/>
        <v>100</v>
      </c>
      <c r="V36" s="666" t="s">
        <v>14</v>
      </c>
      <c r="W36" s="667">
        <f t="shared" si="12"/>
        <v>100</v>
      </c>
      <c r="X36" s="1259"/>
      <c r="Y36" s="3367" t="s">
        <v>1696</v>
      </c>
      <c r="Z36" s="1258">
        <f t="shared" si="13"/>
        <v>111</v>
      </c>
      <c r="AA36" s="1258">
        <f t="shared" si="3"/>
        <v>1</v>
      </c>
      <c r="AB36" s="1258">
        <f t="shared" si="4"/>
        <v>1</v>
      </c>
      <c r="AC36" s="1258">
        <f t="shared" si="5"/>
        <v>1</v>
      </c>
    </row>
    <row r="37" spans="1:29" s="407" customFormat="1" ht="15.75" thickBot="1">
      <c r="A37" s="595"/>
      <c r="B37" s="1062">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2"/>
      <c r="M37" s="2484"/>
      <c r="N37" s="2484"/>
      <c r="O37" s="2534"/>
      <c r="P37" s="3367"/>
      <c r="Q37" s="1257">
        <f t="shared" si="8"/>
        <v>111</v>
      </c>
      <c r="R37" s="668" t="s">
        <v>14</v>
      </c>
      <c r="S37" s="669">
        <f t="shared" si="10"/>
        <v>100</v>
      </c>
      <c r="T37" s="668" t="s">
        <v>14</v>
      </c>
      <c r="U37" s="669">
        <f t="shared" si="11"/>
        <v>100</v>
      </c>
      <c r="V37" s="668" t="s">
        <v>14</v>
      </c>
      <c r="W37" s="669">
        <f t="shared" si="12"/>
        <v>100</v>
      </c>
      <c r="X37" s="670"/>
      <c r="Y37" s="3367"/>
      <c r="Z37" s="671">
        <f t="shared" si="13"/>
        <v>111</v>
      </c>
      <c r="AA37" s="1258">
        <f t="shared" si="3"/>
        <v>1</v>
      </c>
      <c r="AB37" s="1258">
        <f t="shared" si="4"/>
        <v>1</v>
      </c>
      <c r="AC37" s="1258">
        <f t="shared" si="5"/>
        <v>1</v>
      </c>
    </row>
    <row r="38" spans="1:29" ht="15">
      <c r="A38" s="408" t="s">
        <v>1694</v>
      </c>
      <c r="B38" s="394" t="s">
        <v>1873</v>
      </c>
      <c r="C38" s="598">
        <v>31558.240000000002</v>
      </c>
      <c r="D38" s="404">
        <v>100</v>
      </c>
      <c r="E38" s="598">
        <f>土地案例!I12</f>
        <v>19113.12</v>
      </c>
      <c r="F38" s="404">
        <f>LOOKUP(E38,116:116,117:117)-LOOKUP(C38,116:116,117:117)+100</f>
        <v>98</v>
      </c>
      <c r="G38" s="598">
        <f>土地案例!I15</f>
        <v>21672.98</v>
      </c>
      <c r="H38" s="404">
        <f>LOOKUP(G38,116:116,117:117)-LOOKUP(C38,116:116,117:117)+100</f>
        <v>98</v>
      </c>
      <c r="I38" s="461">
        <f>土地案例!I18</f>
        <v>69837.09</v>
      </c>
      <c r="J38" s="404">
        <f>LOOKUP(I38,116:116,117:117)-LOOKUP(C38,116:116,117:117)+100</f>
        <v>98</v>
      </c>
      <c r="K38" s="538"/>
      <c r="L38" s="2483"/>
      <c r="M38" s="2478"/>
      <c r="N38" s="2478"/>
      <c r="O38" s="2533"/>
      <c r="P38" s="3367"/>
      <c r="Q38" s="1257" t="str">
        <f>B38</f>
        <v>宗地面积</v>
      </c>
      <c r="R38" s="666" t="s">
        <v>14</v>
      </c>
      <c r="S38" s="667">
        <f t="shared" si="10"/>
        <v>98</v>
      </c>
      <c r="T38" s="666" t="s">
        <v>14</v>
      </c>
      <c r="U38" s="667">
        <f t="shared" si="11"/>
        <v>98</v>
      </c>
      <c r="V38" s="666" t="s">
        <v>14</v>
      </c>
      <c r="W38" s="667">
        <f t="shared" si="12"/>
        <v>98</v>
      </c>
      <c r="X38" s="1259"/>
      <c r="Y38" s="3367"/>
      <c r="Z38" s="1258" t="str">
        <f t="shared" si="13"/>
        <v>宗地面积</v>
      </c>
      <c r="AA38" s="1258">
        <f t="shared" si="3"/>
        <v>1.0204081632653061</v>
      </c>
      <c r="AB38" s="1258">
        <f t="shared" si="4"/>
        <v>1.0204081632653061</v>
      </c>
      <c r="AC38" s="1258">
        <f t="shared" si="5"/>
        <v>1.0204081632653061</v>
      </c>
    </row>
    <row r="39" spans="1:29" ht="15">
      <c r="A39" s="408"/>
      <c r="B39" s="363" t="s">
        <v>1874</v>
      </c>
      <c r="C39" s="1753" t="s">
        <v>3998</v>
      </c>
      <c r="D39" s="373">
        <v>100</v>
      </c>
      <c r="E39" s="1753" t="s">
        <v>3998</v>
      </c>
      <c r="F39" s="373">
        <f>SUMIF(118:118,E39,119:119)-SUMIF(118:118,C39,119:119)+100</f>
        <v>100</v>
      </c>
      <c r="G39" s="1753" t="s">
        <v>3998</v>
      </c>
      <c r="H39" s="373">
        <f>SUMIF(118:118,G39,119:119)-SUMIF(118:118,C39,119:119)+100</f>
        <v>100</v>
      </c>
      <c r="I39" s="1753" t="s">
        <v>3998</v>
      </c>
      <c r="J39" s="373">
        <f>SUMIF(118:118,I39,119:119)-SUMIF(118:118,C39,119:119)+100</f>
        <v>100</v>
      </c>
      <c r="K39" s="537">
        <v>3</v>
      </c>
      <c r="L39" s="2483"/>
      <c r="M39" s="2478"/>
      <c r="N39" s="2478"/>
      <c r="O39" s="2533"/>
      <c r="P39" s="3367"/>
      <c r="Q39" s="1257" t="str">
        <f t="shared" ref="Q39:Q45" si="14">B39</f>
        <v>宗地形状</v>
      </c>
      <c r="R39" s="666" t="s">
        <v>14</v>
      </c>
      <c r="S39" s="667">
        <f t="shared" si="10"/>
        <v>100</v>
      </c>
      <c r="T39" s="666" t="s">
        <v>14</v>
      </c>
      <c r="U39" s="667">
        <f t="shared" si="11"/>
        <v>100</v>
      </c>
      <c r="V39" s="666" t="s">
        <v>14</v>
      </c>
      <c r="W39" s="667">
        <f t="shared" si="12"/>
        <v>100</v>
      </c>
      <c r="X39" s="1259"/>
      <c r="Y39" s="3367"/>
      <c r="Z39" s="1258" t="str">
        <f t="shared" si="13"/>
        <v>宗地形状</v>
      </c>
      <c r="AA39" s="1258">
        <f t="shared" si="3"/>
        <v>1</v>
      </c>
      <c r="AB39" s="1258">
        <f t="shared" si="4"/>
        <v>1</v>
      </c>
      <c r="AC39" s="1258">
        <f t="shared" si="5"/>
        <v>1</v>
      </c>
    </row>
    <row r="40" spans="1:29" ht="57">
      <c r="A40" s="408"/>
      <c r="B40" s="363" t="s">
        <v>1875</v>
      </c>
      <c r="C40" s="1753" t="s">
        <v>4003</v>
      </c>
      <c r="D40" s="373">
        <v>100</v>
      </c>
      <c r="E40" s="1753" t="s">
        <v>4003</v>
      </c>
      <c r="F40" s="373">
        <f>SUMIF(120:120,E40,121:121)-SUMIF(120:120,C40,121:121)+100</f>
        <v>100</v>
      </c>
      <c r="G40" s="1753" t="s">
        <v>4003</v>
      </c>
      <c r="H40" s="373">
        <f>SUMIF(120:120,G40,121:121)-SUMIF(120:120,C40,121:121)+100</f>
        <v>100</v>
      </c>
      <c r="I40" s="1753" t="s">
        <v>4003</v>
      </c>
      <c r="J40" s="373">
        <f>SUMIF(120:120,I40,121:121)-SUMIF(120:120,C40,121:121)+100</f>
        <v>100</v>
      </c>
      <c r="K40" s="537">
        <v>2</v>
      </c>
      <c r="L40" s="2483"/>
      <c r="M40" s="2478"/>
      <c r="N40" s="2478"/>
      <c r="O40" s="2533"/>
      <c r="P40" s="3367"/>
      <c r="Q40" s="1257" t="str">
        <f t="shared" si="14"/>
        <v>临街宽度及深度</v>
      </c>
      <c r="R40" s="666" t="s">
        <v>14</v>
      </c>
      <c r="S40" s="667">
        <f t="shared" si="10"/>
        <v>100</v>
      </c>
      <c r="T40" s="666" t="s">
        <v>14</v>
      </c>
      <c r="U40" s="667">
        <f t="shared" si="11"/>
        <v>100</v>
      </c>
      <c r="V40" s="666" t="s">
        <v>14</v>
      </c>
      <c r="W40" s="667">
        <f t="shared" si="12"/>
        <v>100</v>
      </c>
      <c r="X40" s="1259"/>
      <c r="Y40" s="3367"/>
      <c r="Z40" s="1258" t="str">
        <f t="shared" si="13"/>
        <v>临街宽度及深度</v>
      </c>
      <c r="AA40" s="1258">
        <f t="shared" si="3"/>
        <v>1</v>
      </c>
      <c r="AB40" s="1258">
        <f t="shared" si="4"/>
        <v>1</v>
      </c>
      <c r="AC40" s="1258">
        <f t="shared" si="5"/>
        <v>1</v>
      </c>
    </row>
    <row r="41" spans="1:29" s="102" customFormat="1" ht="15">
      <c r="A41" s="409"/>
      <c r="B41" s="363" t="s">
        <v>1876</v>
      </c>
      <c r="C41" s="1820" t="s">
        <v>4007</v>
      </c>
      <c r="D41" s="118">
        <v>100</v>
      </c>
      <c r="E41" s="1820" t="s">
        <v>4008</v>
      </c>
      <c r="F41" s="373">
        <f>SUMIF(122:122,E41,123:123)-SUMIF(122:122,C41,123:123)+100</f>
        <v>99</v>
      </c>
      <c r="G41" s="1820" t="s">
        <v>4008</v>
      </c>
      <c r="H41" s="373">
        <f>SUMIF(122:122,G41,123:123)-SUMIF(122:122,C41,123:123)+100</f>
        <v>99</v>
      </c>
      <c r="I41" s="1820" t="s">
        <v>4008</v>
      </c>
      <c r="J41" s="373">
        <f>SUMIF(122:122,I41,123:123)-SUMIF(122:122,C41,123:123)+100</f>
        <v>99</v>
      </c>
      <c r="K41" s="537">
        <v>1</v>
      </c>
      <c r="L41" s="2479"/>
      <c r="M41" s="2431"/>
      <c r="N41" s="2431"/>
      <c r="O41" s="2531"/>
      <c r="P41" s="3367"/>
      <c r="Q41" s="1257" t="str">
        <f t="shared" si="14"/>
        <v>宗地开发程度</v>
      </c>
      <c r="R41" s="663" t="s">
        <v>14</v>
      </c>
      <c r="S41" s="664">
        <f t="shared" si="10"/>
        <v>99</v>
      </c>
      <c r="T41" s="663" t="s">
        <v>14</v>
      </c>
      <c r="U41" s="664">
        <f t="shared" si="11"/>
        <v>99</v>
      </c>
      <c r="V41" s="663" t="s">
        <v>14</v>
      </c>
      <c r="W41" s="664">
        <f t="shared" si="12"/>
        <v>99</v>
      </c>
      <c r="X41" s="665"/>
      <c r="Y41" s="3367"/>
      <c r="Z41" s="50" t="str">
        <f t="shared" si="13"/>
        <v>宗地开发程度</v>
      </c>
      <c r="AA41" s="50">
        <f t="shared" si="3"/>
        <v>1.0101010101010102</v>
      </c>
      <c r="AB41" s="50">
        <f t="shared" si="4"/>
        <v>1.0101010101010102</v>
      </c>
      <c r="AC41" s="50">
        <f t="shared" si="5"/>
        <v>1.0101010101010102</v>
      </c>
    </row>
    <row r="42" spans="1:29" ht="15">
      <c r="A42" s="408"/>
      <c r="B42" s="363" t="s">
        <v>1877</v>
      </c>
      <c r="C42" s="1753" t="s">
        <v>3439</v>
      </c>
      <c r="D42" s="373">
        <v>100</v>
      </c>
      <c r="E42" s="1753" t="s">
        <v>3439</v>
      </c>
      <c r="F42" s="373">
        <f>SUMIF(124:124,E42,125:125)-SUMIF(124:124,C42,125:125)+100</f>
        <v>100</v>
      </c>
      <c r="G42" s="1753" t="s">
        <v>3439</v>
      </c>
      <c r="H42" s="373">
        <f>SUMIF(124:124,G42,125:125)-SUMIF(124:124,C42,125:125)+100</f>
        <v>100</v>
      </c>
      <c r="I42" s="1753" t="s">
        <v>3439</v>
      </c>
      <c r="J42" s="373">
        <f>SUMIF(124:124,I42,125:125)-SUMIF(124:124,C42,125:125)+100</f>
        <v>100</v>
      </c>
      <c r="K42" s="537">
        <v>2</v>
      </c>
      <c r="L42" s="2483"/>
      <c r="M42" s="2478"/>
      <c r="N42" s="2478"/>
      <c r="O42" s="2533"/>
      <c r="P42" s="3367" t="s">
        <v>1696</v>
      </c>
      <c r="Q42" s="1257" t="str">
        <f t="shared" si="14"/>
        <v>工程地质条件</v>
      </c>
      <c r="R42" s="666" t="s">
        <v>14</v>
      </c>
      <c r="S42" s="667">
        <f t="shared" si="10"/>
        <v>100</v>
      </c>
      <c r="T42" s="666" t="s">
        <v>14</v>
      </c>
      <c r="U42" s="667">
        <f t="shared" si="11"/>
        <v>100</v>
      </c>
      <c r="V42" s="666" t="s">
        <v>14</v>
      </c>
      <c r="W42" s="667">
        <f t="shared" si="12"/>
        <v>100</v>
      </c>
      <c r="X42" s="1259"/>
      <c r="Y42" s="3367" t="s">
        <v>1696</v>
      </c>
      <c r="Z42" s="1258" t="str">
        <f t="shared" si="13"/>
        <v>工程地质条件</v>
      </c>
      <c r="AA42" s="1258">
        <f t="shared" si="3"/>
        <v>1</v>
      </c>
      <c r="AB42" s="1258">
        <f t="shared" si="4"/>
        <v>1</v>
      </c>
      <c r="AC42" s="1258">
        <f t="shared" si="5"/>
        <v>1</v>
      </c>
    </row>
    <row r="43" spans="1:29" ht="15">
      <c r="A43" s="408"/>
      <c r="B43" s="1061">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3"/>
      <c r="M43" s="2478"/>
      <c r="N43" s="2478"/>
      <c r="O43" s="2533"/>
      <c r="P43" s="3367"/>
      <c r="Q43" s="1257">
        <f t="shared" si="14"/>
        <v>111</v>
      </c>
      <c r="R43" s="666" t="s">
        <v>14</v>
      </c>
      <c r="S43" s="667">
        <f t="shared" si="10"/>
        <v>100</v>
      </c>
      <c r="T43" s="666" t="s">
        <v>14</v>
      </c>
      <c r="U43" s="667">
        <f t="shared" si="11"/>
        <v>100</v>
      </c>
      <c r="V43" s="666" t="s">
        <v>14</v>
      </c>
      <c r="W43" s="667">
        <f t="shared" si="12"/>
        <v>100</v>
      </c>
      <c r="X43" s="1259"/>
      <c r="Y43" s="3367"/>
      <c r="Z43" s="1258">
        <f t="shared" si="13"/>
        <v>111</v>
      </c>
      <c r="AA43" s="1258">
        <f t="shared" si="3"/>
        <v>1</v>
      </c>
      <c r="AB43" s="1258">
        <f t="shared" si="4"/>
        <v>1</v>
      </c>
      <c r="AC43" s="1258">
        <f t="shared" si="5"/>
        <v>1</v>
      </c>
    </row>
    <row r="44" spans="1:29" ht="15">
      <c r="A44" s="408"/>
      <c r="B44" s="1061">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3"/>
      <c r="M44" s="2478"/>
      <c r="N44" s="2478"/>
      <c r="O44" s="2533"/>
      <c r="P44" s="3367"/>
      <c r="Q44" s="1257">
        <f t="shared" si="14"/>
        <v>111</v>
      </c>
      <c r="R44" s="666" t="s">
        <v>14</v>
      </c>
      <c r="S44" s="667">
        <f t="shared" si="10"/>
        <v>100</v>
      </c>
      <c r="T44" s="666" t="s">
        <v>14</v>
      </c>
      <c r="U44" s="667">
        <f t="shared" si="11"/>
        <v>100</v>
      </c>
      <c r="V44" s="666" t="s">
        <v>14</v>
      </c>
      <c r="W44" s="667">
        <f t="shared" si="12"/>
        <v>100</v>
      </c>
      <c r="X44" s="1259"/>
      <c r="Y44" s="3367"/>
      <c r="Z44" s="1258">
        <f t="shared" si="13"/>
        <v>111</v>
      </c>
      <c r="AA44" s="1258">
        <f t="shared" si="3"/>
        <v>1</v>
      </c>
      <c r="AB44" s="1258">
        <f t="shared" si="4"/>
        <v>1</v>
      </c>
      <c r="AC44" s="1258">
        <f t="shared" si="5"/>
        <v>1</v>
      </c>
    </row>
    <row r="45" spans="1:29" s="407" customFormat="1" ht="15.75" thickBot="1">
      <c r="A45" s="405"/>
      <c r="B45" s="1061">
        <v>111</v>
      </c>
      <c r="C45" s="1821"/>
      <c r="D45" s="599">
        <v>100</v>
      </c>
      <c r="E45" s="593"/>
      <c r="F45" s="376">
        <f>SUMIF(130:130,E45,131:131)-SUMIF(130:130,C45,131:131)+100</f>
        <v>100</v>
      </c>
      <c r="G45" s="593"/>
      <c r="H45" s="376">
        <f>SUMIF(130:130,G45,131:131)-SUMIF(130:130,C45,131:131)+100</f>
        <v>100</v>
      </c>
      <c r="I45" s="593"/>
      <c r="J45" s="376">
        <f>SUMIF(130:130,I45,131:131)-SUMIF(130:130,C45,131:131)+100</f>
        <v>100</v>
      </c>
      <c r="K45" s="600"/>
      <c r="L45" s="2482"/>
      <c r="M45" s="2484"/>
      <c r="N45" s="2484"/>
      <c r="O45" s="2534"/>
      <c r="P45" s="3367"/>
      <c r="Q45" s="1257">
        <f t="shared" si="14"/>
        <v>111</v>
      </c>
      <c r="R45" s="668" t="s">
        <v>14</v>
      </c>
      <c r="S45" s="669">
        <f t="shared" si="10"/>
        <v>100</v>
      </c>
      <c r="T45" s="668" t="s">
        <v>14</v>
      </c>
      <c r="U45" s="669">
        <f t="shared" si="11"/>
        <v>100</v>
      </c>
      <c r="V45" s="668" t="s">
        <v>14</v>
      </c>
      <c r="W45" s="669">
        <f t="shared" si="12"/>
        <v>100</v>
      </c>
      <c r="X45" s="670"/>
      <c r="Y45" s="3367"/>
      <c r="Z45" s="671">
        <f t="shared" si="13"/>
        <v>111</v>
      </c>
      <c r="AA45" s="1258">
        <f t="shared" si="3"/>
        <v>1</v>
      </c>
      <c r="AB45" s="1258">
        <f t="shared" si="4"/>
        <v>1</v>
      </c>
      <c r="AC45" s="1258">
        <f t="shared" si="5"/>
        <v>1</v>
      </c>
    </row>
    <row r="46" spans="1:29" ht="15">
      <c r="A46" s="415" t="s">
        <v>1844</v>
      </c>
      <c r="B46" s="1822" t="s">
        <v>1878</v>
      </c>
      <c r="C46" s="601" t="s">
        <v>0</v>
      </c>
      <c r="D46" s="417"/>
      <c r="E46" s="3169">
        <f>土地案例!T65</f>
        <v>12220</v>
      </c>
      <c r="F46" s="419"/>
      <c r="G46" s="3170">
        <v>11724</v>
      </c>
      <c r="H46" s="421"/>
      <c r="I46" s="3171">
        <v>11455</v>
      </c>
      <c r="J46" s="421"/>
      <c r="K46" s="673"/>
      <c r="L46" s="2485"/>
      <c r="M46" s="2478"/>
      <c r="N46" s="2478"/>
      <c r="O46" s="2478"/>
      <c r="P46" s="3363" t="str">
        <f>A46</f>
        <v>成交单价</v>
      </c>
      <c r="Q46" s="3363"/>
      <c r="R46" s="3368">
        <f>E46</f>
        <v>12220</v>
      </c>
      <c r="S46" s="3368"/>
      <c r="T46" s="3368">
        <f>G46</f>
        <v>11724</v>
      </c>
      <c r="U46" s="3368"/>
      <c r="V46" s="3368">
        <f>I46</f>
        <v>11455</v>
      </c>
      <c r="W46" s="3368"/>
      <c r="X46" s="384"/>
      <c r="Y46" s="672"/>
      <c r="Z46" s="384"/>
      <c r="AA46" s="384"/>
      <c r="AB46" s="384"/>
      <c r="AC46" s="384"/>
    </row>
    <row r="47" spans="1:29" ht="15.75" thickBot="1">
      <c r="A47" s="422" t="s">
        <v>1793</v>
      </c>
      <c r="B47" s="602"/>
      <c r="C47" s="425">
        <f>R48</f>
        <v>11212</v>
      </c>
      <c r="D47" s="2133" t="s">
        <v>2137</v>
      </c>
      <c r="E47" s="425">
        <f>R47</f>
        <v>11778</v>
      </c>
      <c r="F47" s="2134"/>
      <c r="G47" s="424">
        <f>T47</f>
        <v>11865</v>
      </c>
      <c r="H47" s="2134"/>
      <c r="I47" s="425">
        <f>V47</f>
        <v>9994</v>
      </c>
      <c r="J47" s="2134"/>
      <c r="K47" s="2136">
        <f>F47+H47+J47</f>
        <v>0</v>
      </c>
      <c r="L47" s="2485"/>
      <c r="M47" s="2478"/>
      <c r="N47" s="2478"/>
      <c r="O47" s="2478"/>
      <c r="P47" s="3363" t="str">
        <f>A47</f>
        <v>比较价值（元/平方米）</v>
      </c>
      <c r="Q47" s="3363"/>
      <c r="R47" s="3356">
        <f>ROUND(PRODUCT(R46,AA7:AA45),0)</f>
        <v>11778</v>
      </c>
      <c r="S47" s="3356"/>
      <c r="T47" s="3356">
        <f>ROUND(PRODUCT(T46,AB7:AB45),0)</f>
        <v>11865</v>
      </c>
      <c r="U47" s="3356"/>
      <c r="V47" s="3356">
        <f>ROUND(PRODUCT(V46,AC7:AC45),0)</f>
        <v>9994</v>
      </c>
      <c r="W47" s="3356"/>
      <c r="X47" s="384"/>
      <c r="Y47" s="384"/>
      <c r="Z47" s="384"/>
      <c r="AA47" s="384"/>
      <c r="AB47" s="384"/>
      <c r="AC47" s="384"/>
    </row>
    <row r="48" spans="1:29" ht="15.75" thickBot="1">
      <c r="A48" s="426" t="s">
        <v>1879</v>
      </c>
      <c r="B48" s="427"/>
      <c r="C48" s="428">
        <f>R48</f>
        <v>11212</v>
      </c>
      <c r="D48" s="428"/>
      <c r="E48" s="428"/>
      <c r="F48" s="428"/>
      <c r="G48" s="428"/>
      <c r="H48" s="428"/>
      <c r="I48" s="428"/>
      <c r="J48" s="428"/>
      <c r="K48" s="674"/>
      <c r="L48" s="2485"/>
      <c r="M48" s="2478"/>
      <c r="N48" s="2478"/>
      <c r="O48" s="2478"/>
      <c r="P48" s="3357" t="str">
        <f>A48</f>
        <v>估价对象XX用房的比较价值（楼面单价，元/平方米）</v>
      </c>
      <c r="Q48" s="3358"/>
      <c r="R48" s="3359">
        <f>ROUND(IF(D47="简单平均",AVERAGE(R47:W47),R47*F47+T47*H47+V47*J47),0)</f>
        <v>11212</v>
      </c>
      <c r="S48" s="3359"/>
      <c r="T48" s="3359"/>
      <c r="U48" s="3359"/>
      <c r="V48" s="3359"/>
      <c r="W48" s="3359"/>
      <c r="X48" s="384"/>
      <c r="Y48" s="384"/>
      <c r="Z48" s="384"/>
      <c r="AA48" s="384"/>
      <c r="AB48" s="384"/>
      <c r="AC48" s="384"/>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f>IF(E46&lt;E47,E47/E46-1,E46/E47-1)</f>
        <v>3.7527593818984517E-2</v>
      </c>
      <c r="F51" s="434" t="str">
        <f>IF(OR(E51&gt;=0.3,E51&lt;=-0.3),"超过30%","")</f>
        <v/>
      </c>
      <c r="G51" s="433">
        <f>IF(G46&lt;G47,G47/G46-1,G46/G47-1)</f>
        <v>1.2026612077789212E-2</v>
      </c>
      <c r="H51" s="434" t="str">
        <f>IF(OR(G51&gt;=0.3,G51&lt;=-0.3),"超过30%","")</f>
        <v/>
      </c>
      <c r="I51" s="433">
        <f>IF(I46&lt;I47,I47/I46-1,I46/I47-1)</f>
        <v>0.14618771262757657</v>
      </c>
      <c r="J51" s="434" t="str">
        <f>IF(OR(I51&gt;=0.3,I51&lt;=-0.3),"超过30%","")</f>
        <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f>IF(E47&lt;G47,G47/E47-1,E47/G47-1)</f>
        <v>7.3866530820172471E-3</v>
      </c>
      <c r="F52" s="434" t="str">
        <f>IF(OR(E52&gt;=0.2,E52&lt;=-0.2),"超过20%","")</f>
        <v/>
      </c>
      <c r="G52" s="433">
        <f>IF(G47&lt;I47,I47/G47-1,G47/I47-1)</f>
        <v>0.18721232739643789</v>
      </c>
      <c r="H52" s="434" t="str">
        <f>IF(OR(G52&gt;=0.2,G52&lt;=-0.2),"超过20%","")</f>
        <v/>
      </c>
      <c r="I52" s="433">
        <f>IF(I47&lt;E47,E47/I47-1,I47/E47-1)</f>
        <v>0.17850710426255745</v>
      </c>
      <c r="J52" s="434" t="str">
        <f>IF(OR(I52&gt;=0.2,I52&lt;=-0.2),"超过20%","")</f>
        <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f>IF(E46&lt;G46,G46/E46-1,E46/G46-1)</f>
        <v>4.2306380075059602E-2</v>
      </c>
      <c r="F53" s="434" t="str">
        <f>IF(OR(E53&gt;=0.3,E53&lt;=-0.3),"超过30%","")</f>
        <v/>
      </c>
      <c r="G53" s="433">
        <f>IF(G46&lt;I46,I46/G46-1,G46/I46-1)</f>
        <v>2.3483195111305033E-2</v>
      </c>
      <c r="H53" s="434" t="str">
        <f>IF(OR(G53&gt;=0.3,G53&lt;=-0.3),"超过30%","")</f>
        <v/>
      </c>
      <c r="I53" s="433">
        <f>IF(I46&lt;E46,E46/I46-1,I46/E46-1)</f>
        <v>6.6783064164120498E-2</v>
      </c>
      <c r="J53" s="434" t="str">
        <f>IF(OR(I53&gt;=0.3,I53&lt;=-0.3),"超过30%","")</f>
        <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6"/>
      <c r="D54" s="654"/>
      <c r="E54" s="654"/>
      <c r="F54" s="654"/>
      <c r="G54" s="654"/>
      <c r="H54" s="654"/>
      <c r="I54" s="654"/>
      <c r="J54" s="654"/>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3" t="s">
        <v>1880</v>
      </c>
      <c r="B55" s="604" t="s">
        <v>1881</v>
      </c>
      <c r="C55" s="1823" t="s">
        <v>1882</v>
      </c>
      <c r="D55" s="1824" t="s">
        <v>1883</v>
      </c>
      <c r="E55" s="605" t="s">
        <v>1884</v>
      </c>
      <c r="F55" s="831" t="s">
        <v>1885</v>
      </c>
      <c r="G55" s="3360" t="s">
        <v>1886</v>
      </c>
      <c r="H55" s="3361"/>
      <c r="I55" s="126" t="s">
        <v>1887</v>
      </c>
      <c r="J55" s="1825">
        <f>项目基本情况!F35</f>
        <v>0</v>
      </c>
      <c r="K55" s="1826" t="s">
        <v>1888</v>
      </c>
      <c r="L55" s="2486"/>
      <c r="M55" s="2478"/>
      <c r="N55" s="2478"/>
      <c r="O55" s="2478"/>
      <c r="P55" s="2478"/>
      <c r="Q55" s="2478"/>
      <c r="R55" s="2478"/>
      <c r="S55" s="2478"/>
      <c r="T55" s="2478"/>
      <c r="U55" s="2478"/>
      <c r="V55" s="2478"/>
      <c r="W55" s="2478"/>
      <c r="X55" s="2478"/>
      <c r="Y55" s="2478"/>
      <c r="Z55" s="2478"/>
      <c r="AA55" s="2478"/>
      <c r="AB55" s="2478"/>
      <c r="AC55" s="2478"/>
    </row>
    <row r="56" spans="1:29" s="611" customFormat="1">
      <c r="A56" s="607" t="s">
        <v>1889</v>
      </c>
      <c r="B56" s="608">
        <f>C48</f>
        <v>11212</v>
      </c>
      <c r="C56" s="609">
        <v>1</v>
      </c>
      <c r="D56" s="884">
        <v>1</v>
      </c>
      <c r="E56" s="609">
        <f>'数据-汇总表'!E8+'数据-汇总表'!E9</f>
        <v>64756.12</v>
      </c>
      <c r="F56" s="827">
        <f t="shared" ref="F56:F64" si="15">ROUND(B56*E56/10000,0)</f>
        <v>72605</v>
      </c>
      <c r="G56" s="3362"/>
      <c r="H56" s="3363"/>
      <c r="I56" s="832">
        <v>1</v>
      </c>
      <c r="J56" s="835">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1" customFormat="1">
      <c r="A57" s="612" t="s">
        <v>1890</v>
      </c>
      <c r="B57" s="209">
        <f>ROUND($C$48*C57*D57,0)</f>
        <v>1402</v>
      </c>
      <c r="C57" s="162">
        <f t="shared" ref="C57:C64" si="16">IF($C$55="北京市系数",I57,J57)</f>
        <v>0.5</v>
      </c>
      <c r="D57" s="885">
        <v>0.25</v>
      </c>
      <c r="E57" s="613"/>
      <c r="F57" s="827">
        <f t="shared" si="15"/>
        <v>0</v>
      </c>
      <c r="G57" s="2741" t="s">
        <v>1891</v>
      </c>
      <c r="H57" s="828" t="str">
        <f>项目基本情况!B37</f>
        <v>十级</v>
      </c>
      <c r="I57" s="832">
        <f>SUMIF(修正!A57:A68,H57,修正!B57:B68)</f>
        <v>0.5</v>
      </c>
      <c r="J57" s="836"/>
      <c r="K57" s="2478"/>
      <c r="L57" s="2537"/>
      <c r="M57" s="2537"/>
      <c r="N57" s="2537"/>
      <c r="O57" s="2537"/>
      <c r="P57" s="2537"/>
      <c r="Q57" s="2537"/>
      <c r="R57" s="2537"/>
      <c r="S57" s="2537"/>
      <c r="T57" s="2537"/>
      <c r="U57" s="2537"/>
      <c r="V57" s="2537"/>
      <c r="W57" s="2537"/>
      <c r="X57" s="2537"/>
      <c r="Y57" s="2537"/>
      <c r="Z57" s="2537"/>
      <c r="AA57" s="2537"/>
      <c r="AB57" s="2537"/>
      <c r="AC57" s="2537"/>
    </row>
    <row r="58" spans="1:29" s="611" customFormat="1">
      <c r="A58" s="612" t="s">
        <v>1892</v>
      </c>
      <c r="B58" s="209">
        <f t="shared" ref="B58:B64" si="17">ROUND($C$48*C58*D58,0)</f>
        <v>561</v>
      </c>
      <c r="C58" s="162">
        <f t="shared" si="16"/>
        <v>0.2</v>
      </c>
      <c r="D58" s="885">
        <v>0.25</v>
      </c>
      <c r="E58" s="613"/>
      <c r="F58" s="827">
        <f t="shared" si="15"/>
        <v>0</v>
      </c>
      <c r="G58" s="2742"/>
      <c r="H58" s="828" t="str">
        <f>项目基本情况!B37</f>
        <v>十级</v>
      </c>
      <c r="I58" s="832">
        <f>SUMIF(修正!A57:A68,H58,修正!C57:C68)</f>
        <v>0.2</v>
      </c>
      <c r="J58" s="836"/>
      <c r="K58" s="2488"/>
      <c r="L58" s="2537"/>
      <c r="M58" s="2537"/>
      <c r="N58" s="2537"/>
      <c r="O58" s="2537"/>
      <c r="P58" s="2537"/>
      <c r="Q58" s="2537"/>
      <c r="R58" s="2537"/>
      <c r="S58" s="2537"/>
      <c r="T58" s="2537"/>
      <c r="U58" s="2537"/>
      <c r="V58" s="2537"/>
      <c r="W58" s="2537"/>
      <c r="X58" s="2537"/>
      <c r="Y58" s="2537"/>
      <c r="Z58" s="2537"/>
      <c r="AA58" s="2537"/>
      <c r="AB58" s="2537"/>
      <c r="AC58" s="2537"/>
    </row>
    <row r="59" spans="1:29" s="611" customFormat="1">
      <c r="A59" s="612" t="s">
        <v>1893</v>
      </c>
      <c r="B59" s="209">
        <f t="shared" si="17"/>
        <v>561</v>
      </c>
      <c r="C59" s="162">
        <f t="shared" si="16"/>
        <v>0.2</v>
      </c>
      <c r="D59" s="885">
        <v>0.25</v>
      </c>
      <c r="E59" s="613"/>
      <c r="F59" s="827">
        <f t="shared" si="15"/>
        <v>0</v>
      </c>
      <c r="G59" s="2742"/>
      <c r="H59" s="828" t="str">
        <f>项目基本情况!B37</f>
        <v>十级</v>
      </c>
      <c r="I59" s="832">
        <f>SUMIF(修正!A57:A68,H59,修正!D57:D68)</f>
        <v>0.2</v>
      </c>
      <c r="J59" s="836"/>
      <c r="K59" s="2478"/>
      <c r="L59" s="2537"/>
      <c r="M59" s="2537"/>
      <c r="N59" s="2537"/>
      <c r="O59" s="2537"/>
      <c r="P59" s="2537"/>
      <c r="Q59" s="2537"/>
      <c r="R59" s="2537"/>
      <c r="S59" s="2537"/>
      <c r="T59" s="2537"/>
      <c r="U59" s="2537"/>
      <c r="V59" s="2537"/>
      <c r="W59" s="2537"/>
      <c r="X59" s="2537"/>
      <c r="Y59" s="2537"/>
      <c r="Z59" s="2537"/>
      <c r="AA59" s="2537"/>
      <c r="AB59" s="2537"/>
      <c r="AC59" s="2537"/>
    </row>
    <row r="60" spans="1:29" s="611" customFormat="1">
      <c r="A60" s="612" t="s">
        <v>1894</v>
      </c>
      <c r="B60" s="209">
        <f t="shared" si="17"/>
        <v>561</v>
      </c>
      <c r="C60" s="162">
        <f t="shared" si="16"/>
        <v>0.2</v>
      </c>
      <c r="D60" s="885">
        <v>0.25</v>
      </c>
      <c r="E60" s="208">
        <f>'数据-汇总表'!E11</f>
        <v>0</v>
      </c>
      <c r="F60" s="827">
        <f t="shared" si="15"/>
        <v>0</v>
      </c>
      <c r="G60" s="1827" t="s">
        <v>1895</v>
      </c>
      <c r="H60" s="828" t="str">
        <f>项目基本情况!C37</f>
        <v>十级</v>
      </c>
      <c r="I60" s="832">
        <f>SUMIF(修正!A57:A68,H60,修正!E57:E68)</f>
        <v>0.2</v>
      </c>
      <c r="J60" s="836"/>
      <c r="K60" s="2478"/>
      <c r="L60" s="2537"/>
      <c r="M60" s="2537"/>
      <c r="N60" s="2537"/>
      <c r="O60" s="2537"/>
      <c r="P60" s="2537"/>
      <c r="Q60" s="2537"/>
      <c r="R60" s="2537"/>
      <c r="S60" s="2537"/>
      <c r="T60" s="2537"/>
      <c r="U60" s="2537"/>
      <c r="V60" s="2537"/>
      <c r="W60" s="2537"/>
      <c r="X60" s="2537"/>
      <c r="Y60" s="2537"/>
      <c r="Z60" s="2537"/>
      <c r="AA60" s="2537"/>
      <c r="AB60" s="2537"/>
      <c r="AC60" s="2537"/>
    </row>
    <row r="61" spans="1:29" s="611" customFormat="1">
      <c r="A61" s="612" t="s">
        <v>1896</v>
      </c>
      <c r="B61" s="209">
        <f t="shared" si="17"/>
        <v>561</v>
      </c>
      <c r="C61" s="162">
        <f t="shared" si="16"/>
        <v>0.2</v>
      </c>
      <c r="D61" s="885">
        <v>0.25</v>
      </c>
      <c r="E61" s="208">
        <f>'数据-汇总表'!E12</f>
        <v>0</v>
      </c>
      <c r="F61" s="827">
        <f t="shared" si="15"/>
        <v>0</v>
      </c>
      <c r="G61" s="833" t="s">
        <v>1897</v>
      </c>
      <c r="H61" s="828" t="str">
        <f>IF(G61="商业",项目基本情况!B37,IF(G61="办公",项目基本情况!C37,IF(G61="住宅",项目基本情况!D37,项目基本情况!E37)))</f>
        <v>十级</v>
      </c>
      <c r="I61" s="832">
        <f>SUMIF(修正!A57:A68,H61,修正!F57:F68)</f>
        <v>0.2</v>
      </c>
      <c r="J61" s="836"/>
      <c r="K61" s="2488"/>
      <c r="L61" s="2537"/>
      <c r="M61" s="2537"/>
      <c r="N61" s="2537"/>
      <c r="O61" s="2537"/>
      <c r="P61" s="2537"/>
      <c r="Q61" s="2537"/>
      <c r="R61" s="2537"/>
      <c r="S61" s="2537"/>
      <c r="T61" s="2537"/>
      <c r="U61" s="2537"/>
      <c r="V61" s="2537"/>
      <c r="W61" s="2537"/>
      <c r="X61" s="2537"/>
      <c r="Y61" s="2537"/>
      <c r="Z61" s="2537"/>
      <c r="AA61" s="2537"/>
      <c r="AB61" s="2537"/>
      <c r="AC61" s="2537"/>
    </row>
    <row r="62" spans="1:29" s="611" customFormat="1">
      <c r="A62" s="612" t="s">
        <v>1898</v>
      </c>
      <c r="B62" s="209">
        <f t="shared" si="17"/>
        <v>280</v>
      </c>
      <c r="C62" s="162">
        <f t="shared" si="16"/>
        <v>0.1</v>
      </c>
      <c r="D62" s="885">
        <v>0.25</v>
      </c>
      <c r="E62" s="208">
        <f>'数据-汇总表'!E13</f>
        <v>0</v>
      </c>
      <c r="F62" s="827">
        <f t="shared" si="15"/>
        <v>0</v>
      </c>
      <c r="G62" s="833" t="s">
        <v>1899</v>
      </c>
      <c r="H62" s="828" t="str">
        <f>IF(G62="商业",项目基本情况!B37,IF(G62="办公",项目基本情况!C37,IF(G62="住宅",项目基本情况!D37,项目基本情况!E37)))</f>
        <v>十级</v>
      </c>
      <c r="I62" s="832">
        <f>SUMIF(修正!A57:A68,H62,修正!G57:G68)</f>
        <v>0.1</v>
      </c>
      <c r="J62" s="836"/>
      <c r="K62" s="2478"/>
      <c r="L62" s="2537"/>
      <c r="M62" s="2537"/>
      <c r="N62" s="2537"/>
      <c r="O62" s="2537"/>
      <c r="P62" s="2537"/>
      <c r="Q62" s="2537"/>
      <c r="R62" s="2537"/>
      <c r="S62" s="2537"/>
      <c r="T62" s="2537"/>
      <c r="U62" s="2537"/>
      <c r="V62" s="2537"/>
      <c r="W62" s="2537"/>
      <c r="X62" s="2537"/>
      <c r="Y62" s="2537"/>
      <c r="Z62" s="2537"/>
      <c r="AA62" s="2537"/>
      <c r="AB62" s="2537"/>
      <c r="AC62" s="2537"/>
    </row>
    <row r="63" spans="1:29" s="611" customFormat="1">
      <c r="A63" s="612" t="s">
        <v>1900</v>
      </c>
      <c r="B63" s="209">
        <f t="shared" si="17"/>
        <v>280</v>
      </c>
      <c r="C63" s="162">
        <f t="shared" si="16"/>
        <v>0.1</v>
      </c>
      <c r="D63" s="885">
        <v>0.25</v>
      </c>
      <c r="E63" s="208">
        <f>'数据-汇总表'!E14</f>
        <v>0</v>
      </c>
      <c r="F63" s="827">
        <f t="shared" si="15"/>
        <v>0</v>
      </c>
      <c r="G63" s="1827" t="s">
        <v>1891</v>
      </c>
      <c r="H63" s="828" t="str">
        <f>项目基本情况!B37</f>
        <v>十级</v>
      </c>
      <c r="I63" s="832">
        <f>SUMIF(修正!A57:A68,H63,修正!G57:G68)</f>
        <v>0.1</v>
      </c>
      <c r="J63" s="836"/>
      <c r="K63" s="2488"/>
      <c r="L63" s="2537"/>
      <c r="M63" s="2537"/>
      <c r="N63" s="2537"/>
      <c r="O63" s="2537"/>
      <c r="P63" s="2537"/>
      <c r="Q63" s="2537"/>
      <c r="R63" s="2537"/>
      <c r="S63" s="2537"/>
      <c r="T63" s="2537"/>
      <c r="U63" s="2537"/>
      <c r="V63" s="2537"/>
      <c r="W63" s="2537"/>
      <c r="X63" s="2537"/>
      <c r="Y63" s="2537"/>
      <c r="Z63" s="2537"/>
      <c r="AA63" s="2537"/>
      <c r="AB63" s="2537"/>
      <c r="AC63" s="2537"/>
    </row>
    <row r="64" spans="1:29" s="611" customFormat="1" ht="15" thickBot="1">
      <c r="A64" s="612" t="s">
        <v>1901</v>
      </c>
      <c r="B64" s="209">
        <f t="shared" si="17"/>
        <v>280</v>
      </c>
      <c r="C64" s="162">
        <f t="shared" si="16"/>
        <v>0.1</v>
      </c>
      <c r="D64" s="885">
        <v>0.25</v>
      </c>
      <c r="E64" s="208">
        <f>'数据-汇总表'!E15</f>
        <v>0</v>
      </c>
      <c r="F64" s="827">
        <f t="shared" si="15"/>
        <v>0</v>
      </c>
      <c r="G64" s="1828" t="s">
        <v>1895</v>
      </c>
      <c r="H64" s="838" t="str">
        <f>项目基本情况!C37</f>
        <v>十级</v>
      </c>
      <c r="I64" s="834">
        <f>SUMIF(修正!A57:A68,H64,修正!G57:G68)</f>
        <v>0.1</v>
      </c>
      <c r="J64" s="837"/>
      <c r="K64" s="2478"/>
      <c r="L64" s="2537"/>
      <c r="M64" s="2537"/>
      <c r="N64" s="2537"/>
      <c r="O64" s="2537"/>
      <c r="P64" s="2537"/>
      <c r="Q64" s="2537"/>
      <c r="R64" s="2537"/>
      <c r="S64" s="2537"/>
      <c r="T64" s="2537"/>
      <c r="U64" s="2537"/>
      <c r="V64" s="2537"/>
      <c r="W64" s="2537"/>
      <c r="X64" s="2537"/>
      <c r="Y64" s="2537"/>
      <c r="Z64" s="2537"/>
      <c r="AA64" s="2537"/>
      <c r="AB64" s="2537"/>
      <c r="AC64" s="2537"/>
    </row>
    <row r="65" spans="1:29" s="611" customFormat="1" ht="13.5" thickBot="1">
      <c r="A65" s="614" t="s">
        <v>1902</v>
      </c>
      <c r="B65" s="615" t="s">
        <v>22</v>
      </c>
      <c r="C65" s="615" t="s">
        <v>23</v>
      </c>
      <c r="D65" s="615" t="s">
        <v>392</v>
      </c>
      <c r="E65" s="615">
        <f>IF(B46="楼面地价",SUM(E56:E64),'数据-汇总表'!D3)</f>
        <v>64756.12</v>
      </c>
      <c r="F65" s="616">
        <f>IF(B46="楼面地价",SUM(F56:F64),ROUND(C48*E65/10000,0))</f>
        <v>72605</v>
      </c>
      <c r="G65" s="676"/>
      <c r="H65" s="676"/>
      <c r="I65" s="676"/>
      <c r="J65" s="676"/>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5"/>
      <c r="C66" s="656"/>
      <c r="D66" s="384"/>
      <c r="E66" s="384"/>
      <c r="F66" s="384"/>
      <c r="G66" s="384"/>
      <c r="H66" s="384"/>
      <c r="I66" s="384"/>
      <c r="J66" s="855"/>
      <c r="K66" s="829"/>
      <c r="L66" s="830"/>
      <c r="M66" s="855"/>
      <c r="N66" s="855"/>
      <c r="O66" s="855"/>
      <c r="P66" s="2478"/>
      <c r="Q66" s="2478"/>
      <c r="R66" s="2478"/>
      <c r="S66" s="2478"/>
      <c r="T66" s="2478"/>
      <c r="U66" s="2478"/>
      <c r="V66" s="2478"/>
      <c r="W66" s="2478"/>
      <c r="X66" s="2478"/>
      <c r="Y66" s="2478"/>
      <c r="Z66" s="2478"/>
      <c r="AA66" s="2478"/>
      <c r="AB66" s="2478"/>
      <c r="AC66" s="2478"/>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78"/>
      <c r="Q67" s="2478"/>
      <c r="R67" s="2478"/>
      <c r="S67" s="2478"/>
      <c r="T67" s="2478"/>
      <c r="U67" s="2478"/>
      <c r="V67" s="2478"/>
      <c r="W67" s="2478"/>
      <c r="X67" s="2478"/>
      <c r="Y67" s="2478"/>
      <c r="Z67" s="2478"/>
      <c r="AA67" s="2478"/>
      <c r="AB67" s="2478"/>
      <c r="AC67" s="2478"/>
    </row>
    <row r="68" spans="1:29" ht="21.75" thickBot="1">
      <c r="A68" s="657" t="s">
        <v>1798</v>
      </c>
      <c r="B68" s="384"/>
      <c r="C68" s="658"/>
      <c r="D68" s="658"/>
      <c r="E68" s="658"/>
      <c r="F68" s="659"/>
      <c r="G68" s="659"/>
      <c r="H68" s="658"/>
      <c r="I68" s="658"/>
      <c r="J68" s="880"/>
      <c r="K68" s="881"/>
      <c r="L68" s="882"/>
      <c r="M68" s="880"/>
      <c r="N68" s="2528"/>
      <c r="O68" s="2528"/>
      <c r="P68" s="2528"/>
      <c r="Q68" s="2499"/>
      <c r="R68" s="2478"/>
      <c r="S68" s="2478"/>
      <c r="T68" s="2478"/>
      <c r="U68" s="2478"/>
      <c r="V68" s="2478"/>
      <c r="W68" s="2478"/>
      <c r="X68" s="2478"/>
      <c r="Y68" s="2478"/>
      <c r="Z68" s="2478"/>
      <c r="AA68" s="2478"/>
      <c r="AB68" s="2478"/>
      <c r="AC68" s="2478"/>
    </row>
    <row r="69" spans="1:29" s="441" customFormat="1" ht="15">
      <c r="A69" s="1624" t="s">
        <v>1903</v>
      </c>
      <c r="B69" s="1040"/>
      <c r="C69" s="1095" t="str">
        <f>YEAR(C67)&amp;"-"&amp;ROUNDUP(MONTH(C67)/3,0)</f>
        <v>2024-4</v>
      </c>
      <c r="D69" s="1095" t="str">
        <f>YEAR(D67)&amp;"-"&amp;ROUNDUP(MONTH(D67)/3,0)</f>
        <v>2024-3</v>
      </c>
      <c r="E69" s="1095" t="str">
        <f t="shared" ref="E69:O69" si="19">YEAR(E67)&amp;"-"&amp;ROUNDUP(MONTH(E67)/3,0)</f>
        <v>2024-2</v>
      </c>
      <c r="F69" s="1095" t="str">
        <f t="shared" si="19"/>
        <v>2024-1</v>
      </c>
      <c r="G69" s="1095" t="str">
        <f t="shared" si="19"/>
        <v>2023-4</v>
      </c>
      <c r="H69" s="1095" t="str">
        <f t="shared" si="19"/>
        <v>2023-3</v>
      </c>
      <c r="I69" s="1095" t="str">
        <f t="shared" si="19"/>
        <v>2023-2</v>
      </c>
      <c r="J69" s="1095" t="str">
        <f t="shared" si="19"/>
        <v>2023-1</v>
      </c>
      <c r="K69" s="1095" t="str">
        <f t="shared" si="19"/>
        <v>2022-4</v>
      </c>
      <c r="L69" s="1095" t="str">
        <f t="shared" si="19"/>
        <v>2022-3</v>
      </c>
      <c r="M69" s="1095" t="str">
        <f t="shared" si="19"/>
        <v>2022-2</v>
      </c>
      <c r="N69" s="1095" t="str">
        <f t="shared" si="19"/>
        <v>2022-1</v>
      </c>
      <c r="O69" s="1095" t="str">
        <f t="shared" si="19"/>
        <v>2021-4</v>
      </c>
      <c r="P69" s="2501"/>
      <c r="Q69" s="2501"/>
      <c r="R69" s="2501"/>
      <c r="S69" s="2501"/>
      <c r="T69" s="2501"/>
      <c r="U69" s="2501"/>
      <c r="V69" s="2501"/>
      <c r="W69" s="2501"/>
      <c r="X69" s="2501"/>
      <c r="Y69" s="2501"/>
      <c r="Z69" s="2501"/>
      <c r="AA69" s="2501"/>
      <c r="AB69" s="2501"/>
      <c r="AC69" s="2501"/>
    </row>
    <row r="70" spans="1:29" s="102" customFormat="1" ht="30" customHeight="1">
      <c r="A70" s="1829" t="s">
        <v>1904</v>
      </c>
      <c r="B70" s="279" t="str">
        <f>"北京市平均增长率"&amp;TEXT(SUMIF(基准地价修正!N25:N29,A70,基准地价修正!P25:P29),"0.00%")</f>
        <v>北京市平均增长率0.00%</v>
      </c>
      <c r="C70" s="529">
        <v>100</v>
      </c>
      <c r="D70" s="6">
        <v>100</v>
      </c>
      <c r="E70" s="6">
        <f>D70</f>
        <v>100</v>
      </c>
      <c r="F70" s="6">
        <f t="shared" ref="F70:I70" si="20">E70</f>
        <v>100</v>
      </c>
      <c r="G70" s="6">
        <f t="shared" si="20"/>
        <v>100</v>
      </c>
      <c r="H70" s="6">
        <f t="shared" si="20"/>
        <v>100</v>
      </c>
      <c r="I70" s="6">
        <f t="shared" si="20"/>
        <v>100</v>
      </c>
      <c r="J70" s="6"/>
      <c r="K70" s="6"/>
      <c r="L70" s="6"/>
      <c r="M70" s="1060"/>
      <c r="N70" s="6"/>
      <c r="O70" s="1092"/>
      <c r="P70" s="2499"/>
      <c r="Q70" s="2431"/>
      <c r="R70" s="2431"/>
      <c r="S70" s="2431"/>
      <c r="T70" s="2431"/>
      <c r="U70" s="2431"/>
      <c r="V70" s="2431"/>
      <c r="W70" s="2431"/>
      <c r="X70" s="2431"/>
      <c r="Y70" s="2431"/>
      <c r="Z70" s="2431"/>
      <c r="AA70" s="2431"/>
      <c r="AB70" s="2431"/>
      <c r="AC70" s="2431"/>
    </row>
    <row r="71" spans="1:29" s="102" customFormat="1" ht="15.75" thickBot="1">
      <c r="A71" s="448" t="s">
        <v>1716</v>
      </c>
      <c r="B71" s="449"/>
      <c r="C71" s="450"/>
      <c r="D71" s="451"/>
      <c r="E71" s="451"/>
      <c r="F71" s="451"/>
      <c r="G71" s="451"/>
      <c r="H71" s="451"/>
      <c r="I71" s="451"/>
      <c r="J71" s="451"/>
      <c r="K71" s="451"/>
      <c r="L71" s="451"/>
      <c r="M71" s="452"/>
      <c r="N71" s="451"/>
      <c r="O71" s="883"/>
      <c r="P71" s="2499"/>
      <c r="Q71" s="2499"/>
      <c r="R71" s="2431"/>
      <c r="S71" s="2431"/>
      <c r="T71" s="2431"/>
      <c r="U71" s="2431"/>
      <c r="V71" s="2431"/>
      <c r="W71" s="2431"/>
      <c r="X71" s="2431"/>
      <c r="Y71" s="2431"/>
      <c r="Z71" s="2431"/>
      <c r="AA71" s="2431"/>
      <c r="AB71" s="2431"/>
      <c r="AC71" s="2431"/>
    </row>
    <row r="72" spans="1:29" s="102"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2" customFormat="1" ht="15.75" thickBot="1">
      <c r="A73" s="454"/>
      <c r="B73" s="443"/>
      <c r="C73" s="562">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51" t="s">
        <v>308</v>
      </c>
      <c r="D74" s="3151" t="s">
        <v>4083</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105</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0（含）-0.5</v>
      </c>
      <c r="D78" s="477" t="str">
        <f t="shared" ref="D78:L78" si="21">D79&amp;"（含）"&amp;"-"&amp;E79</f>
        <v>0.5（含）-1</v>
      </c>
      <c r="E78" s="477" t="str">
        <f t="shared" si="21"/>
        <v>1（含）-1.5</v>
      </c>
      <c r="F78" s="477" t="str">
        <f t="shared" si="21"/>
        <v>1.5（含）-2</v>
      </c>
      <c r="G78" s="477" t="str">
        <f t="shared" si="21"/>
        <v>2（含）-2.5</v>
      </c>
      <c r="H78" s="477" t="str">
        <f t="shared" si="21"/>
        <v>2.5（含）-3</v>
      </c>
      <c r="I78" s="477" t="str">
        <f t="shared" si="21"/>
        <v>3（含）-3.5</v>
      </c>
      <c r="J78" s="477" t="str">
        <f t="shared" si="21"/>
        <v>3.5（含）-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f>C79+0.5</f>
        <v>0.5</v>
      </c>
      <c r="E79" s="479">
        <f t="shared" ref="E79:J79" si="22">D79+0.5</f>
        <v>1</v>
      </c>
      <c r="F79" s="479">
        <f t="shared" si="22"/>
        <v>1.5</v>
      </c>
      <c r="G79" s="479">
        <f t="shared" si="22"/>
        <v>2</v>
      </c>
      <c r="H79" s="479">
        <f t="shared" si="22"/>
        <v>2.5</v>
      </c>
      <c r="I79" s="479">
        <f t="shared" si="22"/>
        <v>3</v>
      </c>
      <c r="J79" s="479">
        <f t="shared" si="22"/>
        <v>3.5</v>
      </c>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3">IF($B$46="单位面积地价",C80+$K11,C80-$K11)</f>
        <v>98</v>
      </c>
      <c r="E80" s="474">
        <f t="shared" si="23"/>
        <v>96</v>
      </c>
      <c r="F80" s="474">
        <f t="shared" si="23"/>
        <v>94</v>
      </c>
      <c r="G80" s="474">
        <f t="shared" si="23"/>
        <v>92</v>
      </c>
      <c r="H80" s="474">
        <f t="shared" si="23"/>
        <v>90</v>
      </c>
      <c r="I80" s="474">
        <f t="shared" si="23"/>
        <v>88</v>
      </c>
      <c r="J80" s="474">
        <f t="shared" si="23"/>
        <v>86</v>
      </c>
      <c r="K80" s="474">
        <f t="shared" si="23"/>
        <v>84</v>
      </c>
      <c r="L80" s="474">
        <f t="shared" si="23"/>
        <v>82</v>
      </c>
      <c r="M80" s="474">
        <f t="shared" si="23"/>
        <v>80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限价</v>
      </c>
      <c r="C81" s="484">
        <v>37000</v>
      </c>
      <c r="D81" s="484">
        <v>30000</v>
      </c>
      <c r="E81" s="484">
        <v>27000</v>
      </c>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v>100</v>
      </c>
      <c r="D82" s="466">
        <f>C82-3</f>
        <v>97</v>
      </c>
      <c r="E82" s="466">
        <f>D82-3</f>
        <v>94</v>
      </c>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98</v>
      </c>
      <c r="E88" s="474">
        <f>D88-$K15</f>
        <v>96</v>
      </c>
      <c r="F88" s="474">
        <f>E88-$K15</f>
        <v>94</v>
      </c>
      <c r="G88" s="474">
        <f>F88-$K15</f>
        <v>92</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2" customFormat="1" ht="15.75" thickTop="1">
      <c r="A95" s="369"/>
      <c r="B95" s="468" t="s">
        <v>1906</v>
      </c>
      <c r="C95" s="508" t="s">
        <v>1721</v>
      </c>
      <c r="D95" s="508" t="s">
        <v>1722</v>
      </c>
      <c r="E95" s="508" t="s">
        <v>1723</v>
      </c>
      <c r="F95" s="508" t="s">
        <v>1724</v>
      </c>
      <c r="G95" s="508" t="s">
        <v>1725</v>
      </c>
      <c r="H95" s="508"/>
      <c r="I95" s="508"/>
      <c r="J95" s="508"/>
      <c r="K95" s="508"/>
      <c r="L95" s="617"/>
      <c r="M95" s="546"/>
      <c r="N95" s="2511"/>
      <c r="O95" s="2511"/>
      <c r="P95" s="2511"/>
      <c r="Q95" s="2499"/>
      <c r="R95" s="2431"/>
      <c r="S95" s="2431"/>
      <c r="T95" s="2431"/>
      <c r="U95" s="2431"/>
      <c r="V95" s="2431"/>
      <c r="W95" s="2431"/>
      <c r="X95" s="2431"/>
      <c r="Y95" s="2431"/>
      <c r="Z95" s="2431"/>
      <c r="AA95" s="2431"/>
      <c r="AB95" s="2431"/>
      <c r="AC95" s="2431"/>
    </row>
    <row r="96" spans="1:29" s="102"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2" customFormat="1" ht="27.75" thickTop="1">
      <c r="A97" s="369"/>
      <c r="B97" s="468" t="s">
        <v>1907</v>
      </c>
      <c r="C97" s="503" t="s">
        <v>1721</v>
      </c>
      <c r="D97" s="503" t="s">
        <v>1722</v>
      </c>
      <c r="E97" s="503" t="s">
        <v>1723</v>
      </c>
      <c r="F97" s="503" t="s">
        <v>1724</v>
      </c>
      <c r="G97" s="503" t="s">
        <v>1725</v>
      </c>
      <c r="H97" s="508"/>
      <c r="I97" s="508"/>
      <c r="J97" s="508"/>
      <c r="K97" s="508"/>
      <c r="L97" s="508"/>
      <c r="M97" s="546"/>
      <c r="N97" s="2511"/>
      <c r="O97" s="2511"/>
      <c r="P97" s="2511"/>
      <c r="Q97" s="2499"/>
      <c r="R97" s="2431"/>
      <c r="S97" s="2431"/>
      <c r="T97" s="2431"/>
      <c r="U97" s="2431"/>
      <c r="V97" s="2431"/>
      <c r="W97" s="2431"/>
      <c r="X97" s="2431"/>
      <c r="Y97" s="2431"/>
      <c r="Z97" s="2431"/>
      <c r="AA97" s="2431"/>
      <c r="AB97" s="2431"/>
      <c r="AC97" s="2431"/>
    </row>
    <row r="98" spans="1:29" s="102" customFormat="1" ht="15.75" thickBot="1">
      <c r="A98" s="369"/>
      <c r="B98" s="473"/>
      <c r="C98" s="474">
        <v>100</v>
      </c>
      <c r="D98" s="474">
        <f>C98-$K25</f>
        <v>98</v>
      </c>
      <c r="E98" s="474">
        <f>D98-$K25</f>
        <v>96</v>
      </c>
      <c r="F98" s="474">
        <f>E98-$K25</f>
        <v>94</v>
      </c>
      <c r="G98" s="474">
        <f>F98-$K25</f>
        <v>92</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59"/>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9"/>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4">C104-$K31</f>
        <v>100</v>
      </c>
      <c r="E104" s="474">
        <f t="shared" si="24"/>
        <v>100</v>
      </c>
      <c r="F104" s="474">
        <f t="shared" si="24"/>
        <v>100</v>
      </c>
      <c r="G104" s="474">
        <f t="shared" si="24"/>
        <v>100</v>
      </c>
      <c r="H104" s="474">
        <f t="shared" si="24"/>
        <v>100</v>
      </c>
      <c r="I104" s="474">
        <f t="shared" si="24"/>
        <v>100</v>
      </c>
      <c r="J104" s="474">
        <f t="shared" si="24"/>
        <v>100</v>
      </c>
      <c r="K104" s="474">
        <f t="shared" si="24"/>
        <v>100</v>
      </c>
      <c r="L104" s="474">
        <f t="shared" si="24"/>
        <v>100</v>
      </c>
      <c r="M104" s="474">
        <f t="shared" si="24"/>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3152" t="s">
        <v>3990</v>
      </c>
      <c r="D105" s="3152" t="s">
        <v>3991</v>
      </c>
      <c r="E105" s="3152" t="s">
        <v>3992</v>
      </c>
      <c r="F105" s="3152" t="s">
        <v>3437</v>
      </c>
      <c r="G105" s="3152" t="s">
        <v>3993</v>
      </c>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C106-$K32</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4">
        <f t="shared" si="25"/>
        <v>90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1872</v>
      </c>
      <c r="C107" s="512" t="s">
        <v>3995</v>
      </c>
      <c r="D107" s="512" t="s">
        <v>3994</v>
      </c>
      <c r="E107" s="512" t="s">
        <v>3996</v>
      </c>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C108-$K34</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4"/>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6"/>
      <c r="E114" s="596"/>
      <c r="F114" s="596"/>
      <c r="G114" s="596"/>
      <c r="H114" s="596"/>
      <c r="I114" s="596"/>
      <c r="J114" s="596"/>
      <c r="K114" s="596"/>
      <c r="L114" s="596"/>
      <c r="M114" s="618"/>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7">D116&amp;"(含)"&amp;"-"&amp;E116</f>
        <v>30000(含)-60000</v>
      </c>
      <c r="E115" s="460" t="str">
        <f t="shared" si="27"/>
        <v>60000(含)-90000</v>
      </c>
      <c r="F115" s="460" t="str">
        <f t="shared" si="27"/>
        <v>90000(含)-</v>
      </c>
      <c r="G115" s="460" t="str">
        <f t="shared" si="27"/>
        <v>(含)-</v>
      </c>
      <c r="H115" s="460" t="str">
        <f t="shared" si="27"/>
        <v>(含)-</v>
      </c>
      <c r="I115" s="460" t="str">
        <f t="shared" si="27"/>
        <v>(含)-</v>
      </c>
      <c r="J115" s="460" t="str">
        <f t="shared" si="27"/>
        <v>(含)-</v>
      </c>
      <c r="K115" s="460" t="str">
        <f t="shared" si="27"/>
        <v>(含)-</v>
      </c>
      <c r="L115" s="460" t="str">
        <f t="shared" si="27"/>
        <v>(含)-</v>
      </c>
      <c r="M115" s="460" t="str">
        <f t="shared" si="27"/>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f>D116+30000</f>
        <v>60000</v>
      </c>
      <c r="F116" s="6">
        <f>E116+30000</f>
        <v>90000</v>
      </c>
      <c r="G116" s="6"/>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98</v>
      </c>
      <c r="D117" s="520">
        <v>100</v>
      </c>
      <c r="E117" s="520">
        <v>98</v>
      </c>
      <c r="F117" s="520">
        <f t="shared" ref="F117" si="28">E117+1</f>
        <v>99</v>
      </c>
      <c r="G117" s="520"/>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43.5" thickTop="1">
      <c r="A118" s="408"/>
      <c r="B118" s="468" t="s">
        <v>1913</v>
      </c>
      <c r="C118" s="512" t="s">
        <v>3997</v>
      </c>
      <c r="D118" s="512" t="s">
        <v>3998</v>
      </c>
      <c r="E118" s="512" t="s">
        <v>3999</v>
      </c>
      <c r="F118" s="512" t="s">
        <v>4000</v>
      </c>
      <c r="G118" s="512" t="s">
        <v>4001</v>
      </c>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9">C119-$K39</f>
        <v>97</v>
      </c>
      <c r="E119" s="474">
        <f t="shared" si="29"/>
        <v>94</v>
      </c>
      <c r="F119" s="474">
        <f t="shared" si="29"/>
        <v>91</v>
      </c>
      <c r="G119" s="474">
        <f t="shared" si="29"/>
        <v>88</v>
      </c>
      <c r="H119" s="474">
        <f t="shared" si="29"/>
        <v>85</v>
      </c>
      <c r="I119" s="474">
        <f t="shared" si="29"/>
        <v>82</v>
      </c>
      <c r="J119" s="474">
        <f t="shared" si="29"/>
        <v>79</v>
      </c>
      <c r="K119" s="474">
        <f t="shared" si="29"/>
        <v>76</v>
      </c>
      <c r="L119" s="474">
        <f t="shared" si="29"/>
        <v>73</v>
      </c>
      <c r="M119" s="475">
        <f t="shared" si="29"/>
        <v>70</v>
      </c>
      <c r="N119" s="2513"/>
      <c r="O119" s="2513"/>
      <c r="P119" s="2511"/>
      <c r="Q119" s="2499"/>
      <c r="R119" s="2478"/>
      <c r="S119" s="2478"/>
      <c r="T119" s="2478"/>
      <c r="U119" s="2478"/>
      <c r="V119" s="2478"/>
      <c r="W119" s="2478"/>
      <c r="X119" s="2478"/>
      <c r="Y119" s="2478"/>
      <c r="Z119" s="2478"/>
      <c r="AA119" s="2478"/>
      <c r="AB119" s="2478"/>
      <c r="AC119" s="2478"/>
    </row>
    <row r="120" spans="1:29" ht="72" thickTop="1">
      <c r="A120" s="408"/>
      <c r="B120" s="468" t="s">
        <v>1914</v>
      </c>
      <c r="C120" s="484" t="s">
        <v>4002</v>
      </c>
      <c r="D120" s="484" t="s">
        <v>4003</v>
      </c>
      <c r="E120" s="484" t="s">
        <v>4004</v>
      </c>
      <c r="F120" s="512" t="s">
        <v>4005</v>
      </c>
      <c r="G120" s="512" t="s">
        <v>4006</v>
      </c>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30">C121-$K40</f>
        <v>98</v>
      </c>
      <c r="E121" s="474">
        <f t="shared" si="30"/>
        <v>96</v>
      </c>
      <c r="F121" s="474">
        <f t="shared" si="30"/>
        <v>94</v>
      </c>
      <c r="G121" s="474">
        <f t="shared" si="30"/>
        <v>92</v>
      </c>
      <c r="H121" s="474">
        <f t="shared" si="30"/>
        <v>90</v>
      </c>
      <c r="I121" s="474">
        <f t="shared" si="30"/>
        <v>88</v>
      </c>
      <c r="J121" s="474">
        <f t="shared" si="30"/>
        <v>86</v>
      </c>
      <c r="K121" s="474">
        <f t="shared" si="30"/>
        <v>84</v>
      </c>
      <c r="L121" s="474">
        <f t="shared" si="30"/>
        <v>82</v>
      </c>
      <c r="M121" s="475">
        <f t="shared" si="30"/>
        <v>80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484" t="s">
        <v>4007</v>
      </c>
      <c r="D122" s="484" t="s">
        <v>4008</v>
      </c>
      <c r="E122" s="484" t="s">
        <v>4009</v>
      </c>
      <c r="F122" s="484" t="s">
        <v>4010</v>
      </c>
      <c r="G122" s="484" t="s">
        <v>4011</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31">C123-$K41</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484" t="s">
        <v>4012</v>
      </c>
      <c r="D124" s="484" t="s">
        <v>3439</v>
      </c>
      <c r="E124" s="512" t="s">
        <v>4013</v>
      </c>
      <c r="F124" s="512" t="s">
        <v>4014</v>
      </c>
      <c r="G124" s="512" t="s">
        <v>4015</v>
      </c>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2">C125-$K42</f>
        <v>98</v>
      </c>
      <c r="E125" s="474">
        <f t="shared" si="32"/>
        <v>96</v>
      </c>
      <c r="F125" s="474">
        <f t="shared" si="32"/>
        <v>94</v>
      </c>
      <c r="G125" s="474">
        <f t="shared" si="32"/>
        <v>92</v>
      </c>
      <c r="H125" s="474">
        <f t="shared" si="32"/>
        <v>90</v>
      </c>
      <c r="I125" s="474">
        <f t="shared" si="32"/>
        <v>88</v>
      </c>
      <c r="J125" s="474">
        <f t="shared" si="32"/>
        <v>86</v>
      </c>
      <c r="K125" s="474">
        <f t="shared" si="32"/>
        <v>84</v>
      </c>
      <c r="L125" s="474">
        <f t="shared" si="32"/>
        <v>82</v>
      </c>
      <c r="M125" s="475">
        <f t="shared" si="32"/>
        <v>80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9"/>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70"/>
  <sheetViews>
    <sheetView topLeftCell="S52" workbookViewId="0">
      <selection activeCell="X67" sqref="X67"/>
    </sheetView>
  </sheetViews>
  <sheetFormatPr defaultRowHeight="13.5"/>
  <cols>
    <col min="1" max="1" width="33" style="1150" customWidth="1"/>
    <col min="2" max="6" width="20" style="1150" hidden="1" customWidth="1"/>
    <col min="7" max="7" width="20" style="1150" customWidth="1"/>
    <col min="8" max="8" width="20" style="1150" hidden="1" customWidth="1"/>
    <col min="9" max="10" width="20" style="1150" customWidth="1"/>
    <col min="11" max="12" width="20" style="1150" hidden="1" customWidth="1"/>
    <col min="13" max="29" width="20" style="1150" customWidth="1"/>
    <col min="30" max="32" width="20" style="1150" hidden="1" customWidth="1"/>
    <col min="33" max="34" width="20" style="1150" customWidth="1"/>
    <col min="35" max="35" width="20" style="1150" hidden="1" customWidth="1"/>
    <col min="36" max="36" width="20" style="1150" customWidth="1"/>
    <col min="37" max="42" width="20" style="1150" hidden="1" customWidth="1"/>
    <col min="43" max="43" width="20" style="1150" customWidth="1"/>
    <col min="44" max="44" width="20" style="1150" hidden="1" customWidth="1"/>
    <col min="45" max="45" width="20" style="1150" customWidth="1"/>
    <col min="46" max="46" width="20" style="1150" hidden="1" customWidth="1"/>
    <col min="47" max="47" width="20" style="1150" customWidth="1"/>
    <col min="48" max="48" width="20" style="1150" hidden="1" customWidth="1"/>
    <col min="49" max="66" width="20" style="1150" customWidth="1"/>
    <col min="67" max="16384" width="9" style="1150"/>
  </cols>
  <sheetData>
    <row r="1" spans="1:65">
      <c r="A1" s="1150" t="s">
        <v>3441</v>
      </c>
      <c r="B1" s="1150" t="s">
        <v>3442</v>
      </c>
      <c r="C1" s="1150" t="s">
        <v>3443</v>
      </c>
      <c r="D1" s="1150" t="s">
        <v>3444</v>
      </c>
      <c r="E1" s="1150" t="s">
        <v>3445</v>
      </c>
      <c r="F1" s="1150" t="s">
        <v>3446</v>
      </c>
      <c r="G1" s="1150" t="s">
        <v>3447</v>
      </c>
      <c r="H1" s="1150" t="s">
        <v>3448</v>
      </c>
      <c r="I1" s="1150" t="s">
        <v>3449</v>
      </c>
      <c r="J1" s="1150" t="s">
        <v>3450</v>
      </c>
      <c r="K1" s="1150" t="s">
        <v>3451</v>
      </c>
      <c r="L1" s="1150" t="s">
        <v>3452</v>
      </c>
      <c r="M1" s="1150" t="s">
        <v>3453</v>
      </c>
      <c r="N1" s="1150" t="s">
        <v>3454</v>
      </c>
      <c r="O1" s="1150" t="s">
        <v>3455</v>
      </c>
      <c r="P1" s="1150" t="s">
        <v>3456</v>
      </c>
      <c r="Q1" s="1150" t="s">
        <v>3457</v>
      </c>
      <c r="R1" s="1150" t="s">
        <v>3458</v>
      </c>
      <c r="S1" s="1150" t="s">
        <v>3459</v>
      </c>
      <c r="T1" s="1150" t="s">
        <v>3460</v>
      </c>
      <c r="U1" s="1150" t="s">
        <v>3461</v>
      </c>
      <c r="V1" s="1150" t="s">
        <v>3462</v>
      </c>
      <c r="W1" s="1150" t="s">
        <v>3463</v>
      </c>
      <c r="X1" s="1150" t="s">
        <v>3464</v>
      </c>
      <c r="Y1" s="1150" t="s">
        <v>3465</v>
      </c>
      <c r="Z1" s="1150" t="s">
        <v>3466</v>
      </c>
      <c r="AA1" s="1150" t="s">
        <v>3467</v>
      </c>
      <c r="AB1" s="1150" t="s">
        <v>3468</v>
      </c>
      <c r="AC1" s="1150" t="s">
        <v>3469</v>
      </c>
      <c r="AD1" s="1150" t="s">
        <v>3470</v>
      </c>
      <c r="AE1" s="1150" t="s">
        <v>3471</v>
      </c>
      <c r="AF1" s="1150" t="s">
        <v>3472</v>
      </c>
      <c r="AG1" s="1150" t="s">
        <v>3473</v>
      </c>
      <c r="AH1" s="1150" t="s">
        <v>3474</v>
      </c>
      <c r="AI1" s="1150" t="s">
        <v>3475</v>
      </c>
      <c r="AJ1" s="1150" t="s">
        <v>3476</v>
      </c>
      <c r="AK1" s="1150" t="s">
        <v>3477</v>
      </c>
      <c r="AL1" s="1150" t="s">
        <v>3478</v>
      </c>
      <c r="AM1" s="1150" t="s">
        <v>3479</v>
      </c>
      <c r="AN1" s="1150" t="s">
        <v>3480</v>
      </c>
      <c r="AO1" s="1150" t="s">
        <v>3481</v>
      </c>
      <c r="AP1" s="1150" t="s">
        <v>3482</v>
      </c>
      <c r="AQ1" s="1150" t="s">
        <v>3483</v>
      </c>
      <c r="AR1" s="1150" t="s">
        <v>3484</v>
      </c>
      <c r="AS1" s="1150" t="s">
        <v>3485</v>
      </c>
      <c r="AT1" s="1150" t="s">
        <v>3486</v>
      </c>
      <c r="AU1" s="1150" t="s">
        <v>3487</v>
      </c>
      <c r="AV1" s="1150" t="s">
        <v>3488</v>
      </c>
      <c r="AW1" s="1150" t="s">
        <v>3489</v>
      </c>
      <c r="AX1" s="1150" t="s">
        <v>3490</v>
      </c>
      <c r="AY1" s="1150" t="s">
        <v>3491</v>
      </c>
      <c r="AZ1" s="1150" t="s">
        <v>3492</v>
      </c>
      <c r="BA1" s="1150" t="s">
        <v>3493</v>
      </c>
      <c r="BB1" s="1150" t="s">
        <v>3494</v>
      </c>
      <c r="BC1" s="1150" t="s">
        <v>3495</v>
      </c>
      <c r="BD1" s="1150" t="s">
        <v>3496</v>
      </c>
      <c r="BE1" s="1150" t="s">
        <v>3497</v>
      </c>
      <c r="BF1" s="1150" t="s">
        <v>3498</v>
      </c>
      <c r="BG1" s="1150" t="s">
        <v>3499</v>
      </c>
      <c r="BH1" s="1150" t="s">
        <v>3500</v>
      </c>
      <c r="BI1" s="1150" t="s">
        <v>3501</v>
      </c>
      <c r="BJ1" s="1150" t="s">
        <v>3502</v>
      </c>
      <c r="BK1" s="1150" t="s">
        <v>3503</v>
      </c>
      <c r="BL1" s="1150" t="s">
        <v>3504</v>
      </c>
      <c r="BM1" s="1150" t="s">
        <v>3505</v>
      </c>
    </row>
    <row r="2" spans="1:65">
      <c r="A2" s="1150" t="s">
        <v>3506</v>
      </c>
      <c r="B2" s="1150" t="s">
        <v>3507</v>
      </c>
      <c r="C2" s="1150" t="s">
        <v>3508</v>
      </c>
      <c r="D2" s="1150" t="s">
        <v>3509</v>
      </c>
      <c r="E2" s="1150" t="s">
        <v>3510</v>
      </c>
      <c r="F2" s="1150" t="s">
        <v>3511</v>
      </c>
      <c r="G2" s="1150" t="s">
        <v>3511</v>
      </c>
      <c r="H2" s="1150" t="s">
        <v>3512</v>
      </c>
      <c r="I2" s="1150">
        <v>29897.27</v>
      </c>
      <c r="J2" s="1150">
        <v>65733.16</v>
      </c>
      <c r="K2" s="1150">
        <v>0</v>
      </c>
      <c r="L2" s="1150">
        <v>0</v>
      </c>
      <c r="M2" s="1150">
        <v>0</v>
      </c>
      <c r="N2" s="1150">
        <v>0</v>
      </c>
      <c r="O2" s="1150" t="s">
        <v>3513</v>
      </c>
      <c r="P2" s="1150" t="s">
        <v>3514</v>
      </c>
      <c r="Q2" s="1150" t="s">
        <v>3515</v>
      </c>
      <c r="R2" s="1150" t="s">
        <v>3516</v>
      </c>
      <c r="S2" s="1150" t="s">
        <v>3517</v>
      </c>
      <c r="T2" s="1150">
        <v>2.5</v>
      </c>
      <c r="U2" s="1150">
        <v>0.76</v>
      </c>
      <c r="V2" s="1150">
        <v>0.3</v>
      </c>
      <c r="W2" s="1150" t="s">
        <v>3518</v>
      </c>
      <c r="X2" s="1150" t="s">
        <v>3519</v>
      </c>
      <c r="Y2" s="1150" t="s">
        <v>3520</v>
      </c>
      <c r="Z2" s="1150" t="s">
        <v>3521</v>
      </c>
      <c r="AA2" s="1150" t="s">
        <v>3522</v>
      </c>
      <c r="AB2" s="1150" t="s">
        <v>3523</v>
      </c>
      <c r="AC2" s="1150" t="s">
        <v>3524</v>
      </c>
      <c r="AD2" s="3146">
        <v>45519.000497685185</v>
      </c>
      <c r="AE2" s="3146">
        <v>45539.000497685185</v>
      </c>
      <c r="AF2" s="3146">
        <v>45554.000497685185</v>
      </c>
      <c r="AG2" s="3146">
        <v>45554.000497685185</v>
      </c>
      <c r="AH2" s="1150" t="s">
        <v>3525</v>
      </c>
      <c r="AI2" s="1150" t="s">
        <v>3526</v>
      </c>
      <c r="AJ2" s="1150" t="s">
        <v>3527</v>
      </c>
      <c r="AK2" s="1150" t="s">
        <v>3528</v>
      </c>
      <c r="AL2" s="1150" t="s">
        <v>3529</v>
      </c>
      <c r="AM2" s="1150" t="s">
        <v>3530</v>
      </c>
      <c r="AN2" s="1150">
        <v>222500</v>
      </c>
      <c r="AO2" s="1150">
        <v>44500</v>
      </c>
      <c r="AP2" s="3146">
        <v>45553.708831018521</v>
      </c>
      <c r="AQ2" s="1150">
        <v>222500</v>
      </c>
      <c r="AR2" s="1150">
        <v>74421.509999999995</v>
      </c>
      <c r="AS2" s="1150">
        <v>74421.509999999995</v>
      </c>
      <c r="AT2" s="1150">
        <v>4961.43</v>
      </c>
      <c r="AU2" s="1150">
        <v>4961.43</v>
      </c>
      <c r="AV2" s="1150">
        <v>33849</v>
      </c>
      <c r="AW2" s="1150">
        <v>33849</v>
      </c>
      <c r="AX2" s="1150" t="s">
        <v>3524</v>
      </c>
      <c r="AY2" s="1150" t="s">
        <v>3524</v>
      </c>
      <c r="AZ2" s="1150">
        <v>0</v>
      </c>
      <c r="BA2" s="1150">
        <v>255875</v>
      </c>
      <c r="BB2" s="1150" t="s">
        <v>3531</v>
      </c>
      <c r="BC2" s="1150" t="s">
        <v>3524</v>
      </c>
      <c r="BD2" s="1150" t="s">
        <v>3524</v>
      </c>
      <c r="BE2" s="1150">
        <v>38926</v>
      </c>
      <c r="BF2" s="1150">
        <v>15</v>
      </c>
      <c r="BG2" s="1150" t="s">
        <v>3524</v>
      </c>
      <c r="BH2" s="1150" t="s">
        <v>3532</v>
      </c>
      <c r="BI2" s="1150" t="s">
        <v>3533</v>
      </c>
      <c r="BJ2" s="1150" t="s">
        <v>3534</v>
      </c>
      <c r="BK2" s="1150" t="s">
        <v>3535</v>
      </c>
      <c r="BL2" s="1150" t="s">
        <v>3524</v>
      </c>
      <c r="BM2" s="1150" t="s">
        <v>3524</v>
      </c>
    </row>
    <row r="3" spans="1:65">
      <c r="A3" s="1150" t="s">
        <v>3536</v>
      </c>
      <c r="B3" s="1150" t="s">
        <v>3507</v>
      </c>
      <c r="C3" s="1150" t="s">
        <v>3508</v>
      </c>
      <c r="D3" s="1150" t="s">
        <v>3537</v>
      </c>
      <c r="E3" s="1150" t="s">
        <v>3538</v>
      </c>
      <c r="F3" s="1150" t="s">
        <v>3539</v>
      </c>
      <c r="G3" s="1150" t="s">
        <v>3539</v>
      </c>
      <c r="H3" s="1150" t="s">
        <v>3540</v>
      </c>
      <c r="I3" s="1150">
        <v>48345.71</v>
      </c>
      <c r="J3" s="1150">
        <v>90571.42</v>
      </c>
      <c r="K3" s="1150" t="s">
        <v>3524</v>
      </c>
      <c r="L3" s="1150" t="s">
        <v>3524</v>
      </c>
      <c r="M3" s="1150">
        <v>0</v>
      </c>
      <c r="N3" s="1150">
        <v>0</v>
      </c>
      <c r="O3" s="1150" t="s">
        <v>3541</v>
      </c>
      <c r="P3" s="1150" t="s">
        <v>3542</v>
      </c>
      <c r="Q3" s="1150" t="s">
        <v>3543</v>
      </c>
      <c r="R3" s="1150" t="s">
        <v>3544</v>
      </c>
      <c r="S3" s="1150" t="s">
        <v>3545</v>
      </c>
      <c r="T3" s="1150">
        <v>2</v>
      </c>
      <c r="U3" s="1150" t="s">
        <v>3524</v>
      </c>
      <c r="V3" s="1150">
        <v>30</v>
      </c>
      <c r="W3" s="1150" t="s">
        <v>3546</v>
      </c>
      <c r="X3" s="1150" t="s">
        <v>3519</v>
      </c>
      <c r="Y3" s="1150" t="s">
        <v>3520</v>
      </c>
      <c r="Z3" s="1150" t="s">
        <v>3524</v>
      </c>
      <c r="AA3" s="1150" t="s">
        <v>3524</v>
      </c>
      <c r="AB3" s="1150" t="s">
        <v>3524</v>
      </c>
      <c r="AC3" s="1150" t="s">
        <v>3524</v>
      </c>
      <c r="AD3" s="3146">
        <v>45471.000497685185</v>
      </c>
      <c r="AE3" s="3146">
        <v>45491.000497685185</v>
      </c>
      <c r="AF3" s="3146">
        <v>45505.000497685185</v>
      </c>
      <c r="AG3" s="3146">
        <v>45505.000497685185</v>
      </c>
      <c r="AH3" s="1150" t="s">
        <v>3525</v>
      </c>
      <c r="AI3" s="1150" t="s">
        <v>3526</v>
      </c>
      <c r="AJ3" s="1150" t="s">
        <v>3547</v>
      </c>
      <c r="AK3" s="1150" t="s">
        <v>3548</v>
      </c>
      <c r="AL3" s="1150" t="s">
        <v>3529</v>
      </c>
      <c r="AM3" s="1150" t="s">
        <v>3530</v>
      </c>
      <c r="AN3" s="1150">
        <v>164400</v>
      </c>
      <c r="AO3" s="1150">
        <v>32900</v>
      </c>
      <c r="AP3" s="3146">
        <v>45505.625497685185</v>
      </c>
      <c r="AQ3" s="1150">
        <v>164400</v>
      </c>
      <c r="AR3" s="1150">
        <v>34005.08</v>
      </c>
      <c r="AS3" s="1150">
        <v>34005.08</v>
      </c>
      <c r="AT3" s="1150">
        <v>2267.0100000000002</v>
      </c>
      <c r="AU3" s="1150">
        <v>2267.0100000000002</v>
      </c>
      <c r="AV3" s="1150">
        <v>18151</v>
      </c>
      <c r="AW3" s="1150">
        <v>18151</v>
      </c>
      <c r="AX3" s="1150" t="s">
        <v>3524</v>
      </c>
      <c r="AY3" s="1150" t="s">
        <v>3524</v>
      </c>
      <c r="AZ3" s="1150">
        <v>0</v>
      </c>
      <c r="BA3" s="1150" t="s">
        <v>3524</v>
      </c>
      <c r="BB3" s="1150" t="s">
        <v>3524</v>
      </c>
      <c r="BC3" s="1150">
        <v>45000</v>
      </c>
      <c r="BD3" s="1150">
        <v>45000</v>
      </c>
      <c r="BE3" s="1150" t="s">
        <v>3524</v>
      </c>
      <c r="BF3" s="1150" t="s">
        <v>3524</v>
      </c>
      <c r="BG3" s="1150" t="s">
        <v>3524</v>
      </c>
      <c r="BH3" s="1150" t="s">
        <v>3549</v>
      </c>
      <c r="BI3" s="1150" t="s">
        <v>3533</v>
      </c>
      <c r="BJ3" s="1150" t="s">
        <v>3550</v>
      </c>
      <c r="BK3" s="1150" t="s">
        <v>3551</v>
      </c>
      <c r="BL3" s="3146">
        <v>45536.000497685185</v>
      </c>
      <c r="BM3" s="1150">
        <v>164400</v>
      </c>
    </row>
    <row r="4" spans="1:65">
      <c r="A4" s="1150" t="s">
        <v>3552</v>
      </c>
      <c r="B4" s="1150" t="s">
        <v>3507</v>
      </c>
      <c r="C4" s="1150" t="s">
        <v>3508</v>
      </c>
      <c r="D4" s="1150" t="s">
        <v>3509</v>
      </c>
      <c r="E4" s="1150" t="s">
        <v>3553</v>
      </c>
      <c r="F4" s="1150" t="s">
        <v>3554</v>
      </c>
      <c r="G4" s="1150" t="s">
        <v>3554</v>
      </c>
      <c r="H4" s="1150" t="s">
        <v>3555</v>
      </c>
      <c r="I4" s="1150">
        <v>69411.009999999995</v>
      </c>
      <c r="J4" s="1150">
        <v>144005.16</v>
      </c>
      <c r="K4" s="1150">
        <v>0</v>
      </c>
      <c r="L4" s="1150">
        <v>0</v>
      </c>
      <c r="M4" s="1150">
        <v>0</v>
      </c>
      <c r="N4" s="1150">
        <v>0</v>
      </c>
      <c r="O4" s="1150" t="s">
        <v>3513</v>
      </c>
      <c r="P4" s="1150" t="s">
        <v>3556</v>
      </c>
      <c r="Q4" s="1150" t="s">
        <v>3557</v>
      </c>
      <c r="R4" s="1150" t="s">
        <v>3544</v>
      </c>
      <c r="S4" s="1150" t="s">
        <v>3558</v>
      </c>
      <c r="T4" s="1150">
        <v>2.5</v>
      </c>
      <c r="U4" s="1150">
        <v>1.39</v>
      </c>
      <c r="V4" s="1150" t="s">
        <v>3559</v>
      </c>
      <c r="W4" s="1150" t="s">
        <v>3524</v>
      </c>
      <c r="X4" s="1150" t="s">
        <v>3519</v>
      </c>
      <c r="Y4" s="1150" t="s">
        <v>3520</v>
      </c>
      <c r="Z4" s="1150" t="s">
        <v>3521</v>
      </c>
      <c r="AA4" s="1150" t="s">
        <v>3522</v>
      </c>
      <c r="AB4" s="1150" t="s">
        <v>3523</v>
      </c>
      <c r="AC4" s="1150" t="s">
        <v>3524</v>
      </c>
      <c r="AD4" s="3146">
        <v>45461.000497685185</v>
      </c>
      <c r="AE4" s="3146">
        <v>45482.000497685185</v>
      </c>
      <c r="AF4" s="3146">
        <v>45496.000497685185</v>
      </c>
      <c r="AG4" s="3146">
        <v>45496.000497685185</v>
      </c>
      <c r="AH4" s="1150" t="s">
        <v>3525</v>
      </c>
      <c r="AI4" s="1150" t="s">
        <v>3526</v>
      </c>
      <c r="AJ4" s="1150" t="s">
        <v>3527</v>
      </c>
      <c r="AK4" s="1150" t="s">
        <v>3528</v>
      </c>
      <c r="AL4" s="1150" t="s">
        <v>3529</v>
      </c>
      <c r="AM4" s="1150" t="s">
        <v>3530</v>
      </c>
      <c r="AN4" s="1150">
        <v>321700</v>
      </c>
      <c r="AO4" s="1150">
        <v>64400</v>
      </c>
      <c r="AP4" s="3146">
        <v>45496.625497685185</v>
      </c>
      <c r="AQ4" s="1150">
        <v>321700</v>
      </c>
      <c r="AR4" s="1150">
        <v>46347.11</v>
      </c>
      <c r="AS4" s="1150">
        <v>46347.11</v>
      </c>
      <c r="AT4" s="1150">
        <v>3089.81</v>
      </c>
      <c r="AU4" s="1150">
        <v>3089.81</v>
      </c>
      <c r="AV4" s="1150">
        <v>22339</v>
      </c>
      <c r="AW4" s="1150">
        <v>22339</v>
      </c>
      <c r="AX4" s="1150" t="s">
        <v>3524</v>
      </c>
      <c r="AY4" s="1150" t="s">
        <v>3524</v>
      </c>
      <c r="AZ4" s="1150">
        <v>0</v>
      </c>
      <c r="BA4" s="1150">
        <v>369955</v>
      </c>
      <c r="BB4" s="1150" t="s">
        <v>3531</v>
      </c>
      <c r="BC4" s="1150">
        <v>59000</v>
      </c>
      <c r="BD4" s="1150">
        <v>59000</v>
      </c>
      <c r="BE4" s="1150">
        <v>25690</v>
      </c>
      <c r="BF4" s="1150">
        <v>15</v>
      </c>
      <c r="BG4" s="1150">
        <v>34642</v>
      </c>
      <c r="BH4" s="1150" t="s">
        <v>3560</v>
      </c>
      <c r="BI4" s="1150" t="s">
        <v>3533</v>
      </c>
      <c r="BJ4" s="1150" t="s">
        <v>3550</v>
      </c>
      <c r="BK4" s="1150" t="s">
        <v>3561</v>
      </c>
      <c r="BL4" s="1150" t="s">
        <v>3524</v>
      </c>
      <c r="BM4" s="1150" t="s">
        <v>3524</v>
      </c>
    </row>
    <row r="5" spans="1:65">
      <c r="A5" s="1150" t="s">
        <v>3562</v>
      </c>
      <c r="B5" s="1150" t="s">
        <v>3507</v>
      </c>
      <c r="C5" s="1150" t="s">
        <v>3508</v>
      </c>
      <c r="D5" s="1150" t="s">
        <v>3509</v>
      </c>
      <c r="E5" s="1150" t="s">
        <v>3563</v>
      </c>
      <c r="F5" s="1150" t="s">
        <v>3564</v>
      </c>
      <c r="G5" s="1150" t="s">
        <v>3564</v>
      </c>
      <c r="H5" s="1150" t="s">
        <v>3565</v>
      </c>
      <c r="I5" s="1150">
        <v>67135.210000000006</v>
      </c>
      <c r="J5" s="1150">
        <v>119514.23</v>
      </c>
      <c r="K5" s="1150">
        <v>0</v>
      </c>
      <c r="L5" s="1150">
        <v>0</v>
      </c>
      <c r="M5" s="1150">
        <v>0</v>
      </c>
      <c r="N5" s="1150">
        <v>0</v>
      </c>
      <c r="O5" s="1150" t="s">
        <v>3513</v>
      </c>
      <c r="P5" s="1150" t="s">
        <v>3566</v>
      </c>
      <c r="Q5" s="1150" t="s">
        <v>3567</v>
      </c>
      <c r="R5" s="1150" t="s">
        <v>3544</v>
      </c>
      <c r="S5" s="1150" t="s">
        <v>3568</v>
      </c>
      <c r="T5" s="1150">
        <v>2.8</v>
      </c>
      <c r="U5" s="1150">
        <v>27.9</v>
      </c>
      <c r="V5" s="1150" t="s">
        <v>3569</v>
      </c>
      <c r="W5" s="1150" t="s">
        <v>3524</v>
      </c>
      <c r="X5" s="1150" t="s">
        <v>3519</v>
      </c>
      <c r="Y5" s="1150" t="s">
        <v>3520</v>
      </c>
      <c r="Z5" s="1150" t="s">
        <v>3521</v>
      </c>
      <c r="AA5" s="1150" t="s">
        <v>3524</v>
      </c>
      <c r="AB5" s="1150" t="s">
        <v>3523</v>
      </c>
      <c r="AC5" s="1150" t="s">
        <v>3524</v>
      </c>
      <c r="AD5" s="3146">
        <v>45442.000497685185</v>
      </c>
      <c r="AE5" s="3146">
        <v>45462.000497685185</v>
      </c>
      <c r="AF5" s="3146">
        <v>45476.000497685185</v>
      </c>
      <c r="AG5" s="3146">
        <v>45476.000497685185</v>
      </c>
      <c r="AH5" s="1150" t="s">
        <v>3525</v>
      </c>
      <c r="AI5" s="1150" t="s">
        <v>3526</v>
      </c>
      <c r="AJ5" s="1150" t="s">
        <v>3570</v>
      </c>
      <c r="AK5" s="1150" t="s">
        <v>3571</v>
      </c>
      <c r="AL5" s="1150" t="s">
        <v>3572</v>
      </c>
      <c r="AM5" s="1150" t="s">
        <v>3573</v>
      </c>
      <c r="AN5" s="1150">
        <v>214600</v>
      </c>
      <c r="AO5" s="1150">
        <v>43000</v>
      </c>
      <c r="AP5" s="3146">
        <v>45475.708831018521</v>
      </c>
      <c r="AQ5" s="1150">
        <v>214600</v>
      </c>
      <c r="AR5" s="1150">
        <v>31965.34</v>
      </c>
      <c r="AS5" s="1150">
        <v>31965.34</v>
      </c>
      <c r="AT5" s="1150">
        <v>2131.02</v>
      </c>
      <c r="AU5" s="1150">
        <v>2131.02</v>
      </c>
      <c r="AV5" s="1150">
        <v>17956</v>
      </c>
      <c r="AW5" s="1150">
        <v>17956</v>
      </c>
      <c r="AX5" s="1150" t="s">
        <v>3524</v>
      </c>
      <c r="AY5" s="1150" t="s">
        <v>3524</v>
      </c>
      <c r="AZ5" s="1150">
        <v>0</v>
      </c>
      <c r="BA5" s="1150">
        <v>246790</v>
      </c>
      <c r="BB5" s="1150" t="s">
        <v>3531</v>
      </c>
      <c r="BC5" s="1150">
        <v>50000</v>
      </c>
      <c r="BD5" s="1150">
        <v>50000</v>
      </c>
      <c r="BE5" s="1150">
        <v>20649</v>
      </c>
      <c r="BF5" s="1150">
        <v>15</v>
      </c>
      <c r="BG5" s="1150">
        <v>31318</v>
      </c>
      <c r="BH5" s="1150" t="s">
        <v>3549</v>
      </c>
      <c r="BI5" s="1150" t="s">
        <v>3533</v>
      </c>
      <c r="BJ5" s="1150" t="s">
        <v>3550</v>
      </c>
      <c r="BK5" s="1150" t="s">
        <v>3574</v>
      </c>
      <c r="BL5" s="3146">
        <v>45508.000497685185</v>
      </c>
      <c r="BM5" s="1150">
        <v>214600</v>
      </c>
    </row>
    <row r="6" spans="1:65">
      <c r="A6" s="1150" t="s">
        <v>3575</v>
      </c>
      <c r="B6" s="1150" t="s">
        <v>3507</v>
      </c>
      <c r="C6" s="1150" t="s">
        <v>3508</v>
      </c>
      <c r="D6" s="1150" t="s">
        <v>3537</v>
      </c>
      <c r="E6" s="1150" t="s">
        <v>3576</v>
      </c>
      <c r="F6" s="1150" t="s">
        <v>3577</v>
      </c>
      <c r="G6" s="1150" t="s">
        <v>3577</v>
      </c>
      <c r="H6" s="1150" t="s">
        <v>3578</v>
      </c>
      <c r="I6" s="1150">
        <v>34786</v>
      </c>
      <c r="J6" s="1150">
        <v>84979</v>
      </c>
      <c r="K6" s="1150" t="s">
        <v>3524</v>
      </c>
      <c r="L6" s="1150" t="s">
        <v>3524</v>
      </c>
      <c r="M6" s="1150">
        <v>0</v>
      </c>
      <c r="N6" s="1150">
        <v>0</v>
      </c>
      <c r="O6" s="1150" t="s">
        <v>3513</v>
      </c>
      <c r="P6" s="1150" t="s">
        <v>3579</v>
      </c>
      <c r="Q6" s="1150" t="s">
        <v>3580</v>
      </c>
      <c r="R6" s="1150" t="s">
        <v>3581</v>
      </c>
      <c r="S6" s="1150" t="s">
        <v>3582</v>
      </c>
      <c r="T6" s="1150">
        <v>3</v>
      </c>
      <c r="U6" s="1150" t="s">
        <v>3524</v>
      </c>
      <c r="V6" s="1150">
        <v>30</v>
      </c>
      <c r="W6" s="1150" t="s">
        <v>3583</v>
      </c>
      <c r="X6" s="1150" t="s">
        <v>3519</v>
      </c>
      <c r="Y6" s="1150" t="s">
        <v>3520</v>
      </c>
      <c r="Z6" s="1150" t="s">
        <v>3521</v>
      </c>
      <c r="AA6" s="1150" t="s">
        <v>3584</v>
      </c>
      <c r="AB6" s="1150" t="s">
        <v>3524</v>
      </c>
      <c r="AC6" s="1150" t="s">
        <v>3524</v>
      </c>
      <c r="AD6" s="3146">
        <v>45320.000497685185</v>
      </c>
      <c r="AE6" s="3146">
        <v>45340.000497685185</v>
      </c>
      <c r="AF6" s="3146">
        <v>45412.000497685185</v>
      </c>
      <c r="AG6" s="3146">
        <v>45412.000497685185</v>
      </c>
      <c r="AH6" s="1150" t="s">
        <v>3525</v>
      </c>
      <c r="AI6" s="1150" t="s">
        <v>3585</v>
      </c>
      <c r="AJ6" s="1150" t="s">
        <v>3586</v>
      </c>
      <c r="AK6" s="1150" t="s">
        <v>3587</v>
      </c>
      <c r="AL6" s="1150" t="s">
        <v>3529</v>
      </c>
      <c r="AM6" s="1150" t="s">
        <v>3530</v>
      </c>
      <c r="AN6" s="1150">
        <v>160300</v>
      </c>
      <c r="AO6" s="1150">
        <v>33000</v>
      </c>
      <c r="AP6" s="3146">
        <v>45411.625497685185</v>
      </c>
      <c r="AQ6" s="1150">
        <v>160300</v>
      </c>
      <c r="AR6" s="1150">
        <v>46081.75</v>
      </c>
      <c r="AS6" s="1150">
        <v>46081.75</v>
      </c>
      <c r="AT6" s="1150">
        <v>3072.12</v>
      </c>
      <c r="AU6" s="1150">
        <v>3072.12</v>
      </c>
      <c r="AV6" s="1150">
        <v>18863</v>
      </c>
      <c r="AW6" s="1150">
        <v>18863</v>
      </c>
      <c r="AX6" s="1150" t="s">
        <v>3524</v>
      </c>
      <c r="AY6" s="1150" t="s">
        <v>3524</v>
      </c>
      <c r="AZ6" s="1150">
        <v>0</v>
      </c>
      <c r="BA6" s="1150">
        <v>184345</v>
      </c>
      <c r="BB6" s="1150" t="s">
        <v>3531</v>
      </c>
      <c r="BC6" s="1150">
        <v>48000</v>
      </c>
      <c r="BD6" s="1150">
        <v>48000</v>
      </c>
      <c r="BE6" s="1150">
        <v>21693</v>
      </c>
      <c r="BF6" s="1150">
        <v>15</v>
      </c>
      <c r="BG6" s="1150">
        <v>27965</v>
      </c>
      <c r="BH6" s="1150" t="s">
        <v>3560</v>
      </c>
      <c r="BI6" s="1150" t="s">
        <v>3533</v>
      </c>
      <c r="BJ6" s="1150" t="s">
        <v>3550</v>
      </c>
      <c r="BK6" s="1150" t="s">
        <v>3588</v>
      </c>
      <c r="BL6" s="1150" t="s">
        <v>3524</v>
      </c>
      <c r="BM6" s="1150" t="s">
        <v>3524</v>
      </c>
    </row>
    <row r="7" spans="1:65">
      <c r="A7" s="1150" t="s">
        <v>3589</v>
      </c>
      <c r="B7" s="1150" t="s">
        <v>3507</v>
      </c>
      <c r="C7" s="1150" t="s">
        <v>3508</v>
      </c>
      <c r="D7" s="1150" t="s">
        <v>3509</v>
      </c>
      <c r="E7" s="1150" t="s">
        <v>3510</v>
      </c>
      <c r="F7" s="1150" t="s">
        <v>3590</v>
      </c>
      <c r="G7" s="1150" t="s">
        <v>3590</v>
      </c>
      <c r="H7" s="1150" t="s">
        <v>3512</v>
      </c>
      <c r="I7" s="1150">
        <v>47035.47</v>
      </c>
      <c r="J7" s="1150">
        <v>117588.68</v>
      </c>
      <c r="K7" s="1150" t="s">
        <v>3524</v>
      </c>
      <c r="L7" s="1150" t="s">
        <v>3524</v>
      </c>
      <c r="M7" s="1150">
        <v>0</v>
      </c>
      <c r="N7" s="1150">
        <v>0</v>
      </c>
      <c r="O7" s="1150" t="s">
        <v>3513</v>
      </c>
      <c r="P7" s="1150" t="s">
        <v>3591</v>
      </c>
      <c r="Q7" s="1150" t="s">
        <v>3592</v>
      </c>
      <c r="R7" s="1150" t="s">
        <v>3593</v>
      </c>
      <c r="S7" s="1150">
        <v>2.5</v>
      </c>
      <c r="T7" s="1150">
        <v>2.5</v>
      </c>
      <c r="U7" s="1150">
        <v>42</v>
      </c>
      <c r="V7" s="1150">
        <v>30</v>
      </c>
      <c r="W7" s="1150">
        <v>45</v>
      </c>
      <c r="X7" s="1150" t="s">
        <v>3519</v>
      </c>
      <c r="Y7" s="1150" t="s">
        <v>3520</v>
      </c>
      <c r="Z7" s="1150" t="s">
        <v>3521</v>
      </c>
      <c r="AA7" s="1150" t="s">
        <v>3521</v>
      </c>
      <c r="AB7" s="1150" t="s">
        <v>3524</v>
      </c>
      <c r="AC7" s="1150" t="s">
        <v>3524</v>
      </c>
      <c r="AD7" s="3146">
        <v>45306.000497685185</v>
      </c>
      <c r="AE7" s="3146">
        <v>45326.000497685185</v>
      </c>
      <c r="AF7" s="3146">
        <v>45344.000497685185</v>
      </c>
      <c r="AG7" s="3146">
        <v>45344.000497685185</v>
      </c>
      <c r="AH7" s="1150" t="s">
        <v>3525</v>
      </c>
      <c r="AI7" s="1150" t="s">
        <v>3585</v>
      </c>
      <c r="AJ7" s="1150" t="s">
        <v>3594</v>
      </c>
      <c r="AK7" s="1150" t="s">
        <v>3595</v>
      </c>
      <c r="AL7" s="1150" t="s">
        <v>3596</v>
      </c>
      <c r="AM7" s="1150" t="s">
        <v>3524</v>
      </c>
      <c r="AN7" s="1150">
        <v>424000</v>
      </c>
      <c r="AO7" s="1150">
        <v>85000</v>
      </c>
      <c r="AP7" s="3146">
        <v>45340.625497685185</v>
      </c>
      <c r="AQ7" s="1150">
        <v>487600</v>
      </c>
      <c r="AR7" s="1150">
        <v>90144.73</v>
      </c>
      <c r="AS7" s="1150">
        <v>103666.44</v>
      </c>
      <c r="AT7" s="1150">
        <v>6009.65</v>
      </c>
      <c r="AU7" s="1150">
        <v>6911.1</v>
      </c>
      <c r="AV7" s="1150">
        <v>36058</v>
      </c>
      <c r="AW7" s="1150">
        <v>41467</v>
      </c>
      <c r="AX7" s="1150" t="s">
        <v>3524</v>
      </c>
      <c r="AY7" s="1150" t="s">
        <v>3524</v>
      </c>
      <c r="AZ7" s="1150">
        <v>15</v>
      </c>
      <c r="BA7" s="1150">
        <v>487600</v>
      </c>
      <c r="BB7" s="1150" t="s">
        <v>3597</v>
      </c>
      <c r="BC7" s="1150">
        <v>66000</v>
      </c>
      <c r="BD7" s="1150">
        <v>66000</v>
      </c>
      <c r="BE7" s="1150">
        <v>41467</v>
      </c>
      <c r="BF7" s="1150">
        <v>15</v>
      </c>
      <c r="BG7" s="1150">
        <v>24110</v>
      </c>
      <c r="BH7" s="1150" t="s">
        <v>3532</v>
      </c>
      <c r="BI7" s="1150" t="s">
        <v>3598</v>
      </c>
      <c r="BJ7" s="1150" t="s">
        <v>3550</v>
      </c>
      <c r="BK7" s="1150" t="s">
        <v>3599</v>
      </c>
      <c r="BL7" s="1150" t="s">
        <v>3524</v>
      </c>
      <c r="BM7" s="1150" t="s">
        <v>3524</v>
      </c>
    </row>
    <row r="8" spans="1:65">
      <c r="A8" s="1150" t="s">
        <v>3600</v>
      </c>
      <c r="B8" s="1150" t="s">
        <v>3507</v>
      </c>
      <c r="C8" s="1150" t="s">
        <v>3508</v>
      </c>
      <c r="D8" s="1150" t="s">
        <v>3509</v>
      </c>
      <c r="E8" s="1150" t="s">
        <v>3601</v>
      </c>
      <c r="F8" s="1150" t="s">
        <v>3602</v>
      </c>
      <c r="G8" s="1150" t="s">
        <v>3603</v>
      </c>
      <c r="H8" s="1150" t="s">
        <v>3604</v>
      </c>
      <c r="I8" s="1150">
        <v>147727.42000000001</v>
      </c>
      <c r="J8" s="1150">
        <v>332097.21000000002</v>
      </c>
      <c r="K8" s="1150" t="s">
        <v>3524</v>
      </c>
      <c r="L8" s="1150" t="s">
        <v>3524</v>
      </c>
      <c r="M8" s="1150">
        <v>0</v>
      </c>
      <c r="N8" s="1150">
        <v>0</v>
      </c>
      <c r="O8" s="1150" t="s">
        <v>3513</v>
      </c>
      <c r="P8" s="1150" t="s">
        <v>3605</v>
      </c>
      <c r="Q8" s="1150" t="s">
        <v>3606</v>
      </c>
      <c r="R8" s="1150" t="s">
        <v>3607</v>
      </c>
      <c r="S8" s="1150" t="s">
        <v>3608</v>
      </c>
      <c r="T8" s="1150">
        <v>2.5</v>
      </c>
      <c r="U8" s="1150">
        <v>36.35</v>
      </c>
      <c r="V8" s="1150" t="s">
        <v>3524</v>
      </c>
      <c r="W8" s="1150">
        <v>60</v>
      </c>
      <c r="X8" s="1150" t="s">
        <v>3519</v>
      </c>
      <c r="Y8" s="1150" t="s">
        <v>3520</v>
      </c>
      <c r="Z8" s="1150" t="s">
        <v>3521</v>
      </c>
      <c r="AA8" s="1150" t="s">
        <v>3524</v>
      </c>
      <c r="AB8" s="1150" t="s">
        <v>3523</v>
      </c>
      <c r="AC8" s="1150" t="s">
        <v>3524</v>
      </c>
      <c r="AD8" s="3146">
        <v>45289.000497685185</v>
      </c>
      <c r="AE8" s="3146">
        <v>45309.000497685185</v>
      </c>
      <c r="AF8" s="3146">
        <v>45323.000497685185</v>
      </c>
      <c r="AG8" s="3146">
        <v>45323.000497685185</v>
      </c>
      <c r="AH8" s="1150" t="s">
        <v>3525</v>
      </c>
      <c r="AI8" s="1150" t="s">
        <v>3526</v>
      </c>
      <c r="AJ8" s="1150" t="s">
        <v>3609</v>
      </c>
      <c r="AK8" s="1150" t="s">
        <v>3610</v>
      </c>
      <c r="AL8" s="1150" t="s">
        <v>3596</v>
      </c>
      <c r="AM8" s="1150" t="s">
        <v>3524</v>
      </c>
      <c r="AN8" s="1150">
        <v>750000</v>
      </c>
      <c r="AO8" s="1150">
        <v>150000</v>
      </c>
      <c r="AP8" s="1150" t="s">
        <v>3524</v>
      </c>
      <c r="AQ8" s="1150">
        <v>753800</v>
      </c>
      <c r="AR8" s="1150">
        <v>50769.18</v>
      </c>
      <c r="AS8" s="1150">
        <v>51026.41</v>
      </c>
      <c r="AT8" s="1150">
        <v>3384.61</v>
      </c>
      <c r="AU8" s="1150">
        <v>3401.76</v>
      </c>
      <c r="AV8" s="1150">
        <v>22584</v>
      </c>
      <c r="AW8" s="1150">
        <v>22698</v>
      </c>
      <c r="AX8" s="1150" t="s">
        <v>3524</v>
      </c>
      <c r="AY8" s="1150" t="s">
        <v>3524</v>
      </c>
      <c r="AZ8" s="1150">
        <v>0.51</v>
      </c>
      <c r="BA8" s="1150">
        <v>862500</v>
      </c>
      <c r="BB8" s="1150" t="s">
        <v>3531</v>
      </c>
      <c r="BC8" s="1150">
        <v>65000</v>
      </c>
      <c r="BD8" s="1150">
        <v>65000</v>
      </c>
      <c r="BE8" s="1150">
        <v>25971</v>
      </c>
      <c r="BF8" s="1150">
        <v>15</v>
      </c>
      <c r="BG8" s="1150">
        <v>21302</v>
      </c>
      <c r="BH8" s="1150" t="s">
        <v>3532</v>
      </c>
      <c r="BI8" s="1150" t="s">
        <v>3611</v>
      </c>
      <c r="BJ8" s="1150" t="s">
        <v>3550</v>
      </c>
      <c r="BK8" s="1150" t="s">
        <v>3612</v>
      </c>
      <c r="BL8" s="1150" t="s">
        <v>3524</v>
      </c>
      <c r="BM8" s="1150" t="s">
        <v>3524</v>
      </c>
    </row>
    <row r="9" spans="1:65">
      <c r="A9" s="1150" t="s">
        <v>3613</v>
      </c>
      <c r="B9" s="1150" t="s">
        <v>3507</v>
      </c>
      <c r="C9" s="1150" t="s">
        <v>3508</v>
      </c>
      <c r="D9" s="1150" t="s">
        <v>3509</v>
      </c>
      <c r="E9" s="1150" t="s">
        <v>3614</v>
      </c>
      <c r="F9" s="1150" t="s">
        <v>3615</v>
      </c>
      <c r="G9" s="1150" t="s">
        <v>3615</v>
      </c>
      <c r="H9" s="1150" t="s">
        <v>3616</v>
      </c>
      <c r="I9" s="1150">
        <v>28343.9</v>
      </c>
      <c r="J9" s="1150">
        <v>62356.59</v>
      </c>
      <c r="K9" s="1150" t="s">
        <v>3524</v>
      </c>
      <c r="L9" s="1150" t="s">
        <v>3524</v>
      </c>
      <c r="M9" s="1150">
        <v>52051.59</v>
      </c>
      <c r="N9" s="1150">
        <v>52051.59</v>
      </c>
      <c r="O9" s="1150" t="s">
        <v>3541</v>
      </c>
      <c r="P9" s="1150" t="s">
        <v>3617</v>
      </c>
      <c r="Q9" s="1150" t="s">
        <v>3543</v>
      </c>
      <c r="R9" s="1150" t="s">
        <v>3618</v>
      </c>
      <c r="S9" s="1150">
        <v>2.2000000000000002</v>
      </c>
      <c r="T9" s="1150">
        <v>2.2000000000000002</v>
      </c>
      <c r="U9" s="1150">
        <v>4.8099999999999996</v>
      </c>
      <c r="V9" s="1150">
        <v>30</v>
      </c>
      <c r="W9" s="1150">
        <v>45</v>
      </c>
      <c r="X9" s="1150" t="s">
        <v>3519</v>
      </c>
      <c r="Y9" s="1150" t="s">
        <v>3520</v>
      </c>
      <c r="Z9" s="1150" t="s">
        <v>3524</v>
      </c>
      <c r="AA9" s="1150" t="s">
        <v>3524</v>
      </c>
      <c r="AB9" s="1150" t="s">
        <v>3619</v>
      </c>
      <c r="AC9" s="1150" t="s">
        <v>3620</v>
      </c>
      <c r="AD9" s="3146">
        <v>45289.000497685185</v>
      </c>
      <c r="AE9" s="3146">
        <v>45302.000497685185</v>
      </c>
      <c r="AF9" s="3146">
        <v>45323.000497685185</v>
      </c>
      <c r="AG9" s="3146">
        <v>45323.000497685185</v>
      </c>
      <c r="AH9" s="1150" t="s">
        <v>3525</v>
      </c>
      <c r="AI9" s="1150" t="s">
        <v>3526</v>
      </c>
      <c r="AJ9" s="1150" t="s">
        <v>3621</v>
      </c>
      <c r="AK9" s="1150" t="s">
        <v>3571</v>
      </c>
      <c r="AL9" s="1150" t="s">
        <v>3572</v>
      </c>
      <c r="AM9" s="1150" t="s">
        <v>3573</v>
      </c>
      <c r="AN9" s="1150">
        <v>87823.02</v>
      </c>
      <c r="AO9" s="1150">
        <v>18000</v>
      </c>
      <c r="AP9" s="1150" t="s">
        <v>3524</v>
      </c>
      <c r="AQ9" s="1150">
        <v>95500</v>
      </c>
      <c r="AR9" s="1150">
        <v>30984.799999999999</v>
      </c>
      <c r="AS9" s="1150">
        <v>33693.31</v>
      </c>
      <c r="AT9" s="1150">
        <v>2065.65</v>
      </c>
      <c r="AU9" s="1150">
        <v>2246.2199999999998</v>
      </c>
      <c r="AV9" s="1150">
        <v>14084</v>
      </c>
      <c r="AW9" s="1150">
        <v>15315</v>
      </c>
      <c r="AX9" s="1150" t="s">
        <v>3524</v>
      </c>
      <c r="AY9" s="1150" t="s">
        <v>3524</v>
      </c>
      <c r="AZ9" s="1150">
        <v>8.74</v>
      </c>
      <c r="BA9" s="1150" t="s">
        <v>3524</v>
      </c>
      <c r="BB9" s="1150" t="s">
        <v>3524</v>
      </c>
      <c r="BC9" s="1150" t="s">
        <v>3524</v>
      </c>
      <c r="BD9" s="1150">
        <v>29000</v>
      </c>
      <c r="BE9" s="1150" t="s">
        <v>3524</v>
      </c>
      <c r="BF9" s="1150" t="s">
        <v>3524</v>
      </c>
      <c r="BG9" s="1150">
        <v>10653</v>
      </c>
      <c r="BH9" s="1150" t="s">
        <v>3560</v>
      </c>
      <c r="BI9" s="1150" t="s">
        <v>3622</v>
      </c>
      <c r="BJ9" s="1150" t="s">
        <v>3534</v>
      </c>
      <c r="BK9" s="1150" t="s">
        <v>3535</v>
      </c>
      <c r="BL9" s="1150" t="s">
        <v>3524</v>
      </c>
      <c r="BM9" s="1150" t="s">
        <v>3524</v>
      </c>
    </row>
    <row r="10" spans="1:65">
      <c r="A10" s="1150" t="s">
        <v>3623</v>
      </c>
      <c r="B10" s="1150" t="s">
        <v>3507</v>
      </c>
      <c r="C10" s="1150" t="s">
        <v>3508</v>
      </c>
      <c r="D10" s="1150" t="s">
        <v>3509</v>
      </c>
      <c r="E10" s="1150" t="s">
        <v>3624</v>
      </c>
      <c r="F10" s="1150" t="s">
        <v>3625</v>
      </c>
      <c r="G10" s="1150" t="s">
        <v>3625</v>
      </c>
      <c r="H10" s="1150" t="s">
        <v>3626</v>
      </c>
      <c r="I10" s="1150">
        <v>34525.83</v>
      </c>
      <c r="J10" s="1150">
        <v>86314.58</v>
      </c>
      <c r="K10" s="1150" t="s">
        <v>3524</v>
      </c>
      <c r="L10" s="1150" t="s">
        <v>3524</v>
      </c>
      <c r="M10" s="1150">
        <v>85584.58</v>
      </c>
      <c r="N10" s="1150">
        <v>85584.58</v>
      </c>
      <c r="O10" s="1150" t="s">
        <v>3541</v>
      </c>
      <c r="P10" s="1150" t="s">
        <v>3617</v>
      </c>
      <c r="Q10" s="1150" t="s">
        <v>3543</v>
      </c>
      <c r="R10" s="1150" t="s">
        <v>3618</v>
      </c>
      <c r="S10" s="1150">
        <v>2.5</v>
      </c>
      <c r="T10" s="1150">
        <v>2.5</v>
      </c>
      <c r="U10" s="1150" t="s">
        <v>3524</v>
      </c>
      <c r="V10" s="1150">
        <v>35</v>
      </c>
      <c r="W10" s="1150">
        <v>60</v>
      </c>
      <c r="X10" s="1150" t="s">
        <v>3519</v>
      </c>
      <c r="Y10" s="1150" t="s">
        <v>3520</v>
      </c>
      <c r="Z10" s="1150" t="s">
        <v>3524</v>
      </c>
      <c r="AA10" s="1150" t="s">
        <v>3524</v>
      </c>
      <c r="AB10" s="1150" t="s">
        <v>3619</v>
      </c>
      <c r="AC10" s="1150" t="s">
        <v>3620</v>
      </c>
      <c r="AD10" s="3146">
        <v>45289.000497685185</v>
      </c>
      <c r="AE10" s="3146">
        <v>45309.000497685185</v>
      </c>
      <c r="AF10" s="3146">
        <v>45323.000497685185</v>
      </c>
      <c r="AG10" s="3146">
        <v>45323.000497685185</v>
      </c>
      <c r="AH10" s="1150" t="s">
        <v>3525</v>
      </c>
      <c r="AI10" s="1150" t="s">
        <v>3526</v>
      </c>
      <c r="AJ10" s="1150" t="s">
        <v>3621</v>
      </c>
      <c r="AK10" s="1150" t="s">
        <v>3627</v>
      </c>
      <c r="AL10" s="1150" t="s">
        <v>3628</v>
      </c>
      <c r="AM10" s="1150" t="s">
        <v>3629</v>
      </c>
      <c r="AN10" s="1150">
        <v>127167</v>
      </c>
      <c r="AO10" s="1150">
        <v>26000</v>
      </c>
      <c r="AP10" s="1150" t="s">
        <v>3524</v>
      </c>
      <c r="AQ10" s="1150">
        <v>135500</v>
      </c>
      <c r="AR10" s="1150">
        <v>36832.42</v>
      </c>
      <c r="AS10" s="1150">
        <v>39245.980000000003</v>
      </c>
      <c r="AT10" s="1150">
        <v>2455.4899999999998</v>
      </c>
      <c r="AU10" s="1150">
        <v>2616.4</v>
      </c>
      <c r="AV10" s="1150">
        <v>14733</v>
      </c>
      <c r="AW10" s="1150">
        <v>15698</v>
      </c>
      <c r="AX10" s="1150" t="s">
        <v>3524</v>
      </c>
      <c r="AY10" s="1150" t="s">
        <v>3524</v>
      </c>
      <c r="AZ10" s="1150">
        <v>6.55</v>
      </c>
      <c r="BA10" s="1150" t="s">
        <v>3524</v>
      </c>
      <c r="BB10" s="1150" t="s">
        <v>3524</v>
      </c>
      <c r="BC10" s="1150" t="s">
        <v>3524</v>
      </c>
      <c r="BD10" s="1150">
        <v>30000</v>
      </c>
      <c r="BE10" s="1150" t="s">
        <v>3524</v>
      </c>
      <c r="BF10" s="1150" t="s">
        <v>3524</v>
      </c>
      <c r="BG10" s="1150">
        <v>14168</v>
      </c>
      <c r="BH10" s="1150" t="s">
        <v>3532</v>
      </c>
      <c r="BI10" s="1150" t="s">
        <v>3630</v>
      </c>
      <c r="BJ10" s="1150" t="s">
        <v>3534</v>
      </c>
      <c r="BK10" s="1150" t="s">
        <v>3535</v>
      </c>
      <c r="BL10" s="1150" t="s">
        <v>3524</v>
      </c>
      <c r="BM10" s="1150" t="s">
        <v>3524</v>
      </c>
    </row>
    <row r="11" spans="1:65">
      <c r="A11" s="1150" t="s">
        <v>3631</v>
      </c>
      <c r="B11" s="1150" t="s">
        <v>3507</v>
      </c>
      <c r="C11" s="1150" t="s">
        <v>3508</v>
      </c>
      <c r="D11" s="1150" t="s">
        <v>3537</v>
      </c>
      <c r="E11" s="1150" t="s">
        <v>3632</v>
      </c>
      <c r="F11" s="1150" t="s">
        <v>3633</v>
      </c>
      <c r="G11" s="1150" t="s">
        <v>3634</v>
      </c>
      <c r="H11" s="1150" t="s">
        <v>3635</v>
      </c>
      <c r="I11" s="1150">
        <v>91852.45</v>
      </c>
      <c r="J11" s="1150">
        <v>138184.41</v>
      </c>
      <c r="K11" s="1150" t="s">
        <v>3524</v>
      </c>
      <c r="L11" s="1150" t="s">
        <v>3524</v>
      </c>
      <c r="M11" s="1150">
        <v>0</v>
      </c>
      <c r="N11" s="1150">
        <v>0</v>
      </c>
      <c r="O11" s="1150" t="s">
        <v>3513</v>
      </c>
      <c r="P11" s="1150" t="s">
        <v>3542</v>
      </c>
      <c r="Q11" s="1150" t="s">
        <v>3543</v>
      </c>
      <c r="R11" s="1150" t="s">
        <v>3636</v>
      </c>
      <c r="S11" s="1150" t="s">
        <v>3637</v>
      </c>
      <c r="T11" s="1150">
        <v>1.6</v>
      </c>
      <c r="U11" s="1150" t="s">
        <v>3524</v>
      </c>
      <c r="V11" s="1150" t="s">
        <v>3638</v>
      </c>
      <c r="W11" s="1150" t="s">
        <v>3639</v>
      </c>
      <c r="X11" s="1150" t="s">
        <v>3519</v>
      </c>
      <c r="Y11" s="1150" t="s">
        <v>3520</v>
      </c>
      <c r="Z11" s="1150" t="s">
        <v>3521</v>
      </c>
      <c r="AA11" s="1150" t="s">
        <v>3524</v>
      </c>
      <c r="AB11" s="1150" t="s">
        <v>3524</v>
      </c>
      <c r="AC11" s="1150" t="s">
        <v>3524</v>
      </c>
      <c r="AD11" s="3146">
        <v>45257.000497685185</v>
      </c>
      <c r="AE11" s="3146">
        <v>45280.000497685185</v>
      </c>
      <c r="AF11" s="3146">
        <v>45295.000497685185</v>
      </c>
      <c r="AG11" s="3146">
        <v>45295.000497685185</v>
      </c>
      <c r="AH11" s="1150" t="s">
        <v>3525</v>
      </c>
      <c r="AI11" s="1150" t="s">
        <v>3585</v>
      </c>
      <c r="AJ11" s="1150" t="s">
        <v>3640</v>
      </c>
      <c r="AK11" s="1150" t="s">
        <v>3587</v>
      </c>
      <c r="AL11" s="1150" t="s">
        <v>3529</v>
      </c>
      <c r="AM11" s="1150" t="s">
        <v>3530</v>
      </c>
      <c r="AN11" s="1150">
        <v>228000</v>
      </c>
      <c r="AO11" s="1150">
        <v>46000</v>
      </c>
      <c r="AP11" s="3146">
        <v>45294.708831018521</v>
      </c>
      <c r="AQ11" s="1150">
        <v>228000</v>
      </c>
      <c r="AR11" s="1150">
        <v>24822.42</v>
      </c>
      <c r="AS11" s="1150">
        <v>24822.42</v>
      </c>
      <c r="AT11" s="1150">
        <v>1654.83</v>
      </c>
      <c r="AU11" s="1150">
        <v>1654.83</v>
      </c>
      <c r="AV11" s="1150">
        <v>16500</v>
      </c>
      <c r="AW11" s="1150">
        <v>16500</v>
      </c>
      <c r="AX11" s="1150" t="s">
        <v>3524</v>
      </c>
      <c r="AY11" s="1150" t="s">
        <v>3524</v>
      </c>
      <c r="AZ11" s="1150">
        <v>0</v>
      </c>
      <c r="BA11" s="1150">
        <v>262200</v>
      </c>
      <c r="BB11" s="1150" t="s">
        <v>3531</v>
      </c>
      <c r="BC11" s="1150">
        <v>45000</v>
      </c>
      <c r="BD11" s="1150">
        <v>45000</v>
      </c>
      <c r="BE11" s="1150">
        <v>18975</v>
      </c>
      <c r="BF11" s="1150">
        <v>15</v>
      </c>
      <c r="BG11" s="1150">
        <v>27996</v>
      </c>
      <c r="BH11" s="1150" t="s">
        <v>3560</v>
      </c>
      <c r="BI11" s="1150" t="s">
        <v>3533</v>
      </c>
      <c r="BJ11" s="1150" t="s">
        <v>3550</v>
      </c>
      <c r="BK11" s="1150" t="s">
        <v>3551</v>
      </c>
      <c r="BL11" s="1150" t="s">
        <v>3524</v>
      </c>
      <c r="BM11" s="1150" t="s">
        <v>3524</v>
      </c>
    </row>
    <row r="12" spans="1:65" s="3147" customFormat="1">
      <c r="A12" s="3147" t="s">
        <v>3641</v>
      </c>
      <c r="B12" s="3147" t="s">
        <v>3507</v>
      </c>
      <c r="C12" s="3147" t="s">
        <v>3508</v>
      </c>
      <c r="D12" s="3147" t="s">
        <v>3509</v>
      </c>
      <c r="E12" s="3147" t="s">
        <v>3642</v>
      </c>
      <c r="F12" s="3147" t="s">
        <v>3643</v>
      </c>
      <c r="G12" s="3147" t="s">
        <v>3643</v>
      </c>
      <c r="H12" s="3147" t="s">
        <v>3644</v>
      </c>
      <c r="I12" s="3147">
        <v>19113.12</v>
      </c>
      <c r="J12" s="3147">
        <v>38226.239999999998</v>
      </c>
      <c r="K12" s="3147" t="s">
        <v>3524</v>
      </c>
      <c r="L12" s="3147" t="s">
        <v>3524</v>
      </c>
      <c r="M12" s="3147">
        <v>0</v>
      </c>
      <c r="N12" s="3147">
        <v>0</v>
      </c>
      <c r="O12" s="3147" t="s">
        <v>3513</v>
      </c>
      <c r="P12" s="3147" t="s">
        <v>3645</v>
      </c>
      <c r="Q12" s="3147" t="s">
        <v>3646</v>
      </c>
      <c r="R12" s="3147" t="s">
        <v>3647</v>
      </c>
      <c r="S12" s="3147">
        <v>2</v>
      </c>
      <c r="T12" s="3147">
        <v>2</v>
      </c>
      <c r="U12" s="3147" t="s">
        <v>3524</v>
      </c>
      <c r="V12" s="3147">
        <v>30</v>
      </c>
      <c r="W12" s="3147">
        <v>45</v>
      </c>
      <c r="X12" s="3147" t="s">
        <v>3519</v>
      </c>
      <c r="Y12" s="3147" t="s">
        <v>3520</v>
      </c>
      <c r="Z12" s="3147" t="s">
        <v>3521</v>
      </c>
      <c r="AA12" s="3147" t="s">
        <v>3524</v>
      </c>
      <c r="AB12" s="3147" t="s">
        <v>3524</v>
      </c>
      <c r="AC12" s="3147" t="s">
        <v>3524</v>
      </c>
      <c r="AD12" s="3148">
        <v>45250.000497685185</v>
      </c>
      <c r="AE12" s="3148">
        <v>45272.000497685185</v>
      </c>
      <c r="AF12" s="3148">
        <v>45286.000497685185</v>
      </c>
      <c r="AG12" s="3148">
        <v>45286.000497685185</v>
      </c>
      <c r="AH12" s="3147" t="s">
        <v>3525</v>
      </c>
      <c r="AI12" s="3147" t="s">
        <v>3585</v>
      </c>
      <c r="AJ12" s="3147" t="s">
        <v>3648</v>
      </c>
      <c r="AK12" s="3147" t="s">
        <v>3649</v>
      </c>
      <c r="AL12" s="3147" t="s">
        <v>3650</v>
      </c>
      <c r="AM12" s="3147" t="s">
        <v>3524</v>
      </c>
      <c r="AN12" s="3147">
        <v>45000</v>
      </c>
      <c r="AO12" s="3147">
        <v>9000</v>
      </c>
      <c r="AP12" s="3148">
        <v>45285.708831018521</v>
      </c>
      <c r="AQ12" s="3147">
        <v>45000</v>
      </c>
      <c r="AR12" s="3147">
        <v>23544.03</v>
      </c>
      <c r="AS12" s="3147">
        <v>23544.03</v>
      </c>
      <c r="AT12" s="3147">
        <v>1569.6</v>
      </c>
      <c r="AU12" s="3147">
        <v>1569.6</v>
      </c>
      <c r="AV12" s="3147">
        <v>11772</v>
      </c>
      <c r="AW12" s="3147">
        <v>11772</v>
      </c>
      <c r="AX12" s="3147" t="s">
        <v>3524</v>
      </c>
      <c r="AY12" s="3147" t="s">
        <v>3524</v>
      </c>
      <c r="AZ12" s="3147">
        <v>0</v>
      </c>
      <c r="BA12" s="3147">
        <v>51750</v>
      </c>
      <c r="BB12" s="3147" t="s">
        <v>3531</v>
      </c>
      <c r="BC12" s="3147">
        <v>30000</v>
      </c>
      <c r="BD12" s="3147">
        <v>30000</v>
      </c>
      <c r="BE12" s="3147">
        <v>13538</v>
      </c>
      <c r="BF12" s="3147">
        <v>15</v>
      </c>
      <c r="BG12" s="3147">
        <v>15284</v>
      </c>
      <c r="BH12" s="3147" t="s">
        <v>3524</v>
      </c>
      <c r="BI12" s="3147" t="s">
        <v>3533</v>
      </c>
      <c r="BJ12" s="3147" t="s">
        <v>3550</v>
      </c>
      <c r="BK12" s="3147" t="s">
        <v>3651</v>
      </c>
      <c r="BL12" s="3147" t="s">
        <v>3524</v>
      </c>
      <c r="BM12" s="3147" t="s">
        <v>3524</v>
      </c>
    </row>
    <row r="13" spans="1:65">
      <c r="A13" s="1150" t="s">
        <v>3652</v>
      </c>
      <c r="B13" s="1150" t="s">
        <v>3507</v>
      </c>
      <c r="C13" s="1150" t="s">
        <v>3508</v>
      </c>
      <c r="D13" s="1150" t="s">
        <v>3537</v>
      </c>
      <c r="E13" s="1150" t="s">
        <v>3653</v>
      </c>
      <c r="F13" s="1150" t="s">
        <v>3654</v>
      </c>
      <c r="G13" s="1150" t="s">
        <v>3654</v>
      </c>
      <c r="H13" s="1150" t="s">
        <v>3655</v>
      </c>
      <c r="I13" s="1150">
        <v>34067.89</v>
      </c>
      <c r="J13" s="1150">
        <v>64113.760000000002</v>
      </c>
      <c r="K13" s="1150" t="s">
        <v>3524</v>
      </c>
      <c r="L13" s="1150" t="s">
        <v>3524</v>
      </c>
      <c r="M13" s="1150">
        <v>0</v>
      </c>
      <c r="N13" s="1150">
        <v>0</v>
      </c>
      <c r="O13" s="1150" t="s">
        <v>3541</v>
      </c>
      <c r="P13" s="1150" t="s">
        <v>3656</v>
      </c>
      <c r="Q13" s="1150" t="s">
        <v>3656</v>
      </c>
      <c r="R13" s="1150" t="s">
        <v>3657</v>
      </c>
      <c r="S13" s="1150" t="s">
        <v>3658</v>
      </c>
      <c r="T13" s="1150">
        <v>2.1</v>
      </c>
      <c r="U13" s="1150" t="s">
        <v>3524</v>
      </c>
      <c r="V13" s="1150">
        <v>35</v>
      </c>
      <c r="W13" s="1150">
        <v>36</v>
      </c>
      <c r="X13" s="1150" t="s">
        <v>3519</v>
      </c>
      <c r="Y13" s="1150" t="s">
        <v>3520</v>
      </c>
      <c r="Z13" s="1150" t="s">
        <v>3521</v>
      </c>
      <c r="AA13" s="1150" t="s">
        <v>3524</v>
      </c>
      <c r="AB13" s="1150" t="s">
        <v>3524</v>
      </c>
      <c r="AC13" s="1150" t="s">
        <v>3524</v>
      </c>
      <c r="AD13" s="3146">
        <v>45246.000497685185</v>
      </c>
      <c r="AE13" s="3146">
        <v>45266.000497685185</v>
      </c>
      <c r="AF13" s="3146">
        <v>45280.000497685185</v>
      </c>
      <c r="AG13" s="3146">
        <v>45280.000497685185</v>
      </c>
      <c r="AH13" s="1150" t="s">
        <v>3525</v>
      </c>
      <c r="AI13" s="1150" t="s">
        <v>3585</v>
      </c>
      <c r="AJ13" s="1150" t="s">
        <v>3640</v>
      </c>
      <c r="AK13" s="1150" t="s">
        <v>3587</v>
      </c>
      <c r="AL13" s="1150" t="s">
        <v>3529</v>
      </c>
      <c r="AM13" s="1150" t="s">
        <v>3530</v>
      </c>
      <c r="AN13" s="1150">
        <v>120000</v>
      </c>
      <c r="AO13" s="1150">
        <v>24000</v>
      </c>
      <c r="AP13" s="3146">
        <v>45280.625497685185</v>
      </c>
      <c r="AQ13" s="1150">
        <v>120000</v>
      </c>
      <c r="AR13" s="1150">
        <v>35223.78</v>
      </c>
      <c r="AS13" s="1150">
        <v>35223.78</v>
      </c>
      <c r="AT13" s="1150">
        <v>2348.25</v>
      </c>
      <c r="AU13" s="1150">
        <v>2348.25</v>
      </c>
      <c r="AV13" s="1150">
        <v>18717</v>
      </c>
      <c r="AW13" s="1150">
        <v>18717</v>
      </c>
      <c r="AX13" s="1150" t="s">
        <v>3524</v>
      </c>
      <c r="AY13" s="1150" t="s">
        <v>3524</v>
      </c>
      <c r="AZ13" s="1150">
        <v>0</v>
      </c>
      <c r="BA13" s="1150">
        <v>138000</v>
      </c>
      <c r="BB13" s="1150" t="s">
        <v>3531</v>
      </c>
      <c r="BC13" s="1150">
        <v>45000</v>
      </c>
      <c r="BD13" s="1150">
        <v>45000</v>
      </c>
      <c r="BE13" s="1150">
        <v>21524</v>
      </c>
      <c r="BF13" s="1150">
        <v>15</v>
      </c>
      <c r="BG13" s="1150">
        <v>26283</v>
      </c>
      <c r="BH13" s="1150" t="s">
        <v>3560</v>
      </c>
      <c r="BI13" s="1150" t="s">
        <v>3659</v>
      </c>
      <c r="BJ13" s="1150" t="s">
        <v>3550</v>
      </c>
      <c r="BK13" s="1150" t="s">
        <v>3588</v>
      </c>
      <c r="BL13" s="3146">
        <v>45312.000497685185</v>
      </c>
      <c r="BM13" s="1150">
        <v>120000</v>
      </c>
    </row>
    <row r="14" spans="1:65">
      <c r="A14" s="1150" t="s">
        <v>3660</v>
      </c>
      <c r="B14" s="1150" t="s">
        <v>3507</v>
      </c>
      <c r="C14" s="1150" t="s">
        <v>3508</v>
      </c>
      <c r="D14" s="1150" t="s">
        <v>3509</v>
      </c>
      <c r="E14" s="1150" t="s">
        <v>3661</v>
      </c>
      <c r="F14" s="1150" t="s">
        <v>3662</v>
      </c>
      <c r="G14" s="1150" t="s">
        <v>3662</v>
      </c>
      <c r="H14" s="1150" t="s">
        <v>3565</v>
      </c>
      <c r="I14" s="1150">
        <v>26969.65</v>
      </c>
      <c r="J14" s="1150">
        <v>70121.08</v>
      </c>
      <c r="K14" s="1150" t="s">
        <v>3524</v>
      </c>
      <c r="L14" s="1150" t="s">
        <v>3524</v>
      </c>
      <c r="M14" s="1150">
        <v>0</v>
      </c>
      <c r="N14" s="1150">
        <v>0</v>
      </c>
      <c r="O14" s="1150" t="s">
        <v>3541</v>
      </c>
      <c r="P14" s="1150" t="s">
        <v>3663</v>
      </c>
      <c r="Q14" s="1150" t="s">
        <v>3543</v>
      </c>
      <c r="R14" s="1150" t="s">
        <v>3618</v>
      </c>
      <c r="S14" s="1150">
        <v>2.6</v>
      </c>
      <c r="T14" s="1150">
        <v>2.6</v>
      </c>
      <c r="U14" s="1150" t="s">
        <v>3524</v>
      </c>
      <c r="V14" s="1150">
        <v>30</v>
      </c>
      <c r="W14" s="1150">
        <v>60</v>
      </c>
      <c r="X14" s="1150" t="s">
        <v>3519</v>
      </c>
      <c r="Y14" s="1150" t="s">
        <v>3520</v>
      </c>
      <c r="Z14" s="1150" t="s">
        <v>3521</v>
      </c>
      <c r="AA14" s="1150" t="s">
        <v>3524</v>
      </c>
      <c r="AB14" s="1150" t="s">
        <v>3524</v>
      </c>
      <c r="AC14" s="1150" t="s">
        <v>3524</v>
      </c>
      <c r="AD14" s="3146">
        <v>45232.000497685185</v>
      </c>
      <c r="AE14" s="3146">
        <v>45252.000497685185</v>
      </c>
      <c r="AF14" s="3146">
        <v>45266.000497685185</v>
      </c>
      <c r="AG14" s="3146">
        <v>45266.000497685185</v>
      </c>
      <c r="AH14" s="1150" t="s">
        <v>3525</v>
      </c>
      <c r="AI14" s="1150" t="s">
        <v>3585</v>
      </c>
      <c r="AJ14" s="1150" t="s">
        <v>3664</v>
      </c>
      <c r="AK14" s="1150" t="s">
        <v>3665</v>
      </c>
      <c r="AL14" s="1150" t="s">
        <v>3666</v>
      </c>
      <c r="AM14" s="1150" t="s">
        <v>3629</v>
      </c>
      <c r="AN14" s="1150">
        <v>188000</v>
      </c>
      <c r="AO14" s="1150">
        <v>38000</v>
      </c>
      <c r="AP14" s="3146">
        <v>45265.708831018521</v>
      </c>
      <c r="AQ14" s="1150">
        <v>190000</v>
      </c>
      <c r="AR14" s="1150">
        <v>69707.98</v>
      </c>
      <c r="AS14" s="1150">
        <v>70449.56</v>
      </c>
      <c r="AT14" s="1150">
        <v>4647.2</v>
      </c>
      <c r="AU14" s="1150">
        <v>4696.6400000000003</v>
      </c>
      <c r="AV14" s="1150">
        <v>26811</v>
      </c>
      <c r="AW14" s="1150">
        <v>27096</v>
      </c>
      <c r="AX14" s="1150" t="s">
        <v>3524</v>
      </c>
      <c r="AY14" s="1150" t="s">
        <v>3524</v>
      </c>
      <c r="AZ14" s="1150">
        <v>1.06</v>
      </c>
      <c r="BA14" s="1150">
        <v>216200</v>
      </c>
      <c r="BB14" s="1150" t="s">
        <v>3531</v>
      </c>
      <c r="BC14" s="1150">
        <v>59000</v>
      </c>
      <c r="BD14" s="1150">
        <v>59000</v>
      </c>
      <c r="BE14" s="1150">
        <v>30832</v>
      </c>
      <c r="BF14" s="1150">
        <v>15</v>
      </c>
      <c r="BG14" s="1150">
        <v>31904</v>
      </c>
      <c r="BH14" s="1150" t="s">
        <v>3532</v>
      </c>
      <c r="BI14" s="1150" t="s">
        <v>3667</v>
      </c>
      <c r="BJ14" s="1150" t="s">
        <v>3550</v>
      </c>
      <c r="BK14" s="1150" t="s">
        <v>3668</v>
      </c>
      <c r="BL14" s="1150" t="s">
        <v>3524</v>
      </c>
      <c r="BM14" s="1150" t="s">
        <v>3524</v>
      </c>
    </row>
    <row r="15" spans="1:65" s="3147" customFormat="1">
      <c r="A15" s="3147" t="s">
        <v>3669</v>
      </c>
      <c r="B15" s="3147" t="s">
        <v>3507</v>
      </c>
      <c r="C15" s="3147" t="s">
        <v>3508</v>
      </c>
      <c r="D15" s="3147" t="s">
        <v>3509</v>
      </c>
      <c r="E15" s="3147" t="s">
        <v>3642</v>
      </c>
      <c r="F15" s="3147" t="s">
        <v>3670</v>
      </c>
      <c r="G15" s="3147" t="s">
        <v>3670</v>
      </c>
      <c r="H15" s="3147" t="s">
        <v>3644</v>
      </c>
      <c r="I15" s="3147">
        <v>21672.98</v>
      </c>
      <c r="J15" s="3147">
        <v>43345.96</v>
      </c>
      <c r="K15" s="3147" t="s">
        <v>3524</v>
      </c>
      <c r="L15" s="3147" t="s">
        <v>3524</v>
      </c>
      <c r="M15" s="3147">
        <v>0</v>
      </c>
      <c r="N15" s="3147">
        <v>0</v>
      </c>
      <c r="O15" s="3147" t="s">
        <v>3541</v>
      </c>
      <c r="P15" s="3147" t="s">
        <v>3663</v>
      </c>
      <c r="Q15" s="3147" t="s">
        <v>3543</v>
      </c>
      <c r="R15" s="3147" t="s">
        <v>3618</v>
      </c>
      <c r="S15" s="3147">
        <v>2</v>
      </c>
      <c r="T15" s="3147">
        <v>2</v>
      </c>
      <c r="U15" s="3147" t="s">
        <v>3524</v>
      </c>
      <c r="V15" s="3147">
        <v>30</v>
      </c>
      <c r="W15" s="3147">
        <v>45</v>
      </c>
      <c r="X15" s="3147" t="s">
        <v>3519</v>
      </c>
      <c r="Y15" s="3147" t="s">
        <v>3520</v>
      </c>
      <c r="Z15" s="3147" t="s">
        <v>3521</v>
      </c>
      <c r="AA15" s="3147" t="s">
        <v>3524</v>
      </c>
      <c r="AB15" s="3147" t="s">
        <v>3524</v>
      </c>
      <c r="AC15" s="3147" t="s">
        <v>3524</v>
      </c>
      <c r="AD15" s="3148">
        <v>45231.000497685185</v>
      </c>
      <c r="AE15" s="3148">
        <v>45252.000497685185</v>
      </c>
      <c r="AF15" s="3148">
        <v>45266.000497685185</v>
      </c>
      <c r="AG15" s="3148">
        <v>45266.000497685185</v>
      </c>
      <c r="AH15" s="3147" t="s">
        <v>3525</v>
      </c>
      <c r="AI15" s="3147" t="s">
        <v>3585</v>
      </c>
      <c r="AJ15" s="3147" t="s">
        <v>3671</v>
      </c>
      <c r="AK15" s="3147" t="s">
        <v>3672</v>
      </c>
      <c r="AL15" s="3147" t="s">
        <v>3529</v>
      </c>
      <c r="AM15" s="3147" t="s">
        <v>3524</v>
      </c>
      <c r="AN15" s="3147">
        <v>50000</v>
      </c>
      <c r="AO15" s="3147">
        <v>10000</v>
      </c>
      <c r="AP15" s="3148">
        <v>45265.708831018521</v>
      </c>
      <c r="AQ15" s="3147">
        <v>50000</v>
      </c>
      <c r="AR15" s="3147">
        <v>23070.2</v>
      </c>
      <c r="AS15" s="3147">
        <v>23070.2</v>
      </c>
      <c r="AT15" s="3147">
        <v>1538.01</v>
      </c>
      <c r="AU15" s="3147">
        <v>1538.01</v>
      </c>
      <c r="AV15" s="3147">
        <v>11535</v>
      </c>
      <c r="AW15" s="3147">
        <v>11535</v>
      </c>
      <c r="AX15" s="3147" t="s">
        <v>3524</v>
      </c>
      <c r="AY15" s="3147" t="s">
        <v>3524</v>
      </c>
      <c r="AZ15" s="3147">
        <v>0</v>
      </c>
      <c r="BA15" s="3147">
        <v>57500</v>
      </c>
      <c r="BB15" s="3147" t="s">
        <v>3531</v>
      </c>
      <c r="BC15" s="3147">
        <v>30000</v>
      </c>
      <c r="BD15" s="3147">
        <v>30000</v>
      </c>
      <c r="BE15" s="3147">
        <v>13265</v>
      </c>
      <c r="BF15" s="3147">
        <v>15</v>
      </c>
      <c r="BG15" s="3147">
        <v>18275</v>
      </c>
      <c r="BH15" s="3147" t="s">
        <v>3673</v>
      </c>
      <c r="BI15" s="3147" t="s">
        <v>3533</v>
      </c>
      <c r="BJ15" s="3147" t="s">
        <v>3550</v>
      </c>
      <c r="BK15" s="3147" t="s">
        <v>3651</v>
      </c>
      <c r="BL15" s="3147" t="s">
        <v>3524</v>
      </c>
      <c r="BM15" s="3147" t="s">
        <v>3524</v>
      </c>
    </row>
    <row r="16" spans="1:65">
      <c r="A16" s="1150" t="s">
        <v>3674</v>
      </c>
      <c r="B16" s="1150" t="s">
        <v>3507</v>
      </c>
      <c r="C16" s="1150" t="s">
        <v>3508</v>
      </c>
      <c r="D16" s="1150" t="s">
        <v>3509</v>
      </c>
      <c r="E16" s="1150" t="s">
        <v>3563</v>
      </c>
      <c r="F16" s="1150" t="s">
        <v>3675</v>
      </c>
      <c r="G16" s="1150" t="s">
        <v>3675</v>
      </c>
      <c r="H16" s="1150" t="s">
        <v>3565</v>
      </c>
      <c r="I16" s="1150">
        <v>26907.21</v>
      </c>
      <c r="J16" s="1150">
        <v>43051.54</v>
      </c>
      <c r="K16" s="1150" t="s">
        <v>3524</v>
      </c>
      <c r="L16" s="1150" t="s">
        <v>3524</v>
      </c>
      <c r="M16" s="1150">
        <v>0</v>
      </c>
      <c r="N16" s="1150">
        <v>0</v>
      </c>
      <c r="O16" s="1150" t="s">
        <v>3541</v>
      </c>
      <c r="P16" s="1150" t="s">
        <v>3663</v>
      </c>
      <c r="Q16" s="1150" t="s">
        <v>3543</v>
      </c>
      <c r="R16" s="1150" t="s">
        <v>3618</v>
      </c>
      <c r="S16" s="1150">
        <v>1.6</v>
      </c>
      <c r="T16" s="1150">
        <v>1.6</v>
      </c>
      <c r="U16" s="1150" t="s">
        <v>3524</v>
      </c>
      <c r="V16" s="1150">
        <v>30</v>
      </c>
      <c r="W16" s="1150">
        <v>45</v>
      </c>
      <c r="X16" s="1150" t="s">
        <v>3519</v>
      </c>
      <c r="Y16" s="1150" t="s">
        <v>3520</v>
      </c>
      <c r="Z16" s="1150" t="s">
        <v>3521</v>
      </c>
      <c r="AA16" s="1150" t="s">
        <v>3524</v>
      </c>
      <c r="AB16" s="1150" t="s">
        <v>3524</v>
      </c>
      <c r="AC16" s="1150" t="s">
        <v>3524</v>
      </c>
      <c r="AD16" s="3146">
        <v>45218.000497685185</v>
      </c>
      <c r="AE16" s="3146">
        <v>45239.000497685185</v>
      </c>
      <c r="AF16" s="3146">
        <v>45253.000497685185</v>
      </c>
      <c r="AG16" s="3146">
        <v>45253.000497685185</v>
      </c>
      <c r="AH16" s="1150" t="s">
        <v>3525</v>
      </c>
      <c r="AI16" s="1150" t="s">
        <v>3585</v>
      </c>
      <c r="AJ16" s="1150" t="s">
        <v>3676</v>
      </c>
      <c r="AK16" s="1150" t="s">
        <v>3677</v>
      </c>
      <c r="AL16" s="1150" t="s">
        <v>3572</v>
      </c>
      <c r="AM16" s="1150" t="s">
        <v>3573</v>
      </c>
      <c r="AN16" s="1150">
        <v>97000</v>
      </c>
      <c r="AO16" s="1150">
        <v>20000</v>
      </c>
      <c r="AP16" s="3146">
        <v>45253.625497685185</v>
      </c>
      <c r="AQ16" s="1150">
        <v>97000</v>
      </c>
      <c r="AR16" s="1150">
        <v>36049.81</v>
      </c>
      <c r="AS16" s="1150">
        <v>36049.81</v>
      </c>
      <c r="AT16" s="1150">
        <v>2403.3200000000002</v>
      </c>
      <c r="AU16" s="1150">
        <v>2403.3200000000002</v>
      </c>
      <c r="AV16" s="1150">
        <v>22531</v>
      </c>
      <c r="AW16" s="1150">
        <v>22531</v>
      </c>
      <c r="AX16" s="1150" t="s">
        <v>3524</v>
      </c>
      <c r="AY16" s="1150" t="s">
        <v>3524</v>
      </c>
      <c r="AZ16" s="1150">
        <v>0</v>
      </c>
      <c r="BA16" s="1150">
        <v>111550</v>
      </c>
      <c r="BB16" s="1150" t="s">
        <v>3524</v>
      </c>
      <c r="BC16" s="1150">
        <v>50000</v>
      </c>
      <c r="BD16" s="1150">
        <v>50000</v>
      </c>
      <c r="BE16" s="1150">
        <v>25911</v>
      </c>
      <c r="BF16" s="1150">
        <v>15</v>
      </c>
      <c r="BG16" s="1150">
        <v>27468</v>
      </c>
      <c r="BH16" s="1150" t="s">
        <v>3549</v>
      </c>
      <c r="BI16" s="1150" t="s">
        <v>3533</v>
      </c>
      <c r="BJ16" s="1150" t="s">
        <v>3550</v>
      </c>
      <c r="BK16" s="1150" t="s">
        <v>3668</v>
      </c>
      <c r="BL16" s="3146">
        <v>45287.000497685185</v>
      </c>
      <c r="BM16" s="1150">
        <v>97000</v>
      </c>
    </row>
    <row r="17" spans="1:65">
      <c r="A17" s="1150" t="s">
        <v>3678</v>
      </c>
      <c r="B17" s="1150" t="s">
        <v>3507</v>
      </c>
      <c r="C17" s="1150" t="s">
        <v>3508</v>
      </c>
      <c r="D17" s="1150" t="s">
        <v>3537</v>
      </c>
      <c r="E17" s="1150" t="s">
        <v>3632</v>
      </c>
      <c r="F17" s="1150" t="s">
        <v>3679</v>
      </c>
      <c r="G17" s="1150" t="s">
        <v>3679</v>
      </c>
      <c r="H17" s="1150" t="s">
        <v>3680</v>
      </c>
      <c r="I17" s="1150">
        <v>46884.93</v>
      </c>
      <c r="J17" s="1150">
        <v>89859.67</v>
      </c>
      <c r="K17" s="1150" t="s">
        <v>3524</v>
      </c>
      <c r="L17" s="1150" t="s">
        <v>3524</v>
      </c>
      <c r="M17" s="1150">
        <v>0</v>
      </c>
      <c r="N17" s="1150">
        <v>0</v>
      </c>
      <c r="O17" s="1150" t="s">
        <v>3513</v>
      </c>
      <c r="P17" s="1150" t="s">
        <v>3580</v>
      </c>
      <c r="Q17" s="1150" t="s">
        <v>3580</v>
      </c>
      <c r="R17" s="1150" t="s">
        <v>3681</v>
      </c>
      <c r="S17" s="1150" t="s">
        <v>3682</v>
      </c>
      <c r="T17" s="1150">
        <v>2.1</v>
      </c>
      <c r="U17" s="1150" t="s">
        <v>3524</v>
      </c>
      <c r="V17" s="1150" t="s">
        <v>3524</v>
      </c>
      <c r="W17" s="1150" t="s">
        <v>3524</v>
      </c>
      <c r="X17" s="1150" t="s">
        <v>3519</v>
      </c>
      <c r="Y17" s="1150" t="s">
        <v>3520</v>
      </c>
      <c r="Z17" s="1150" t="s">
        <v>3521</v>
      </c>
      <c r="AA17" s="1150" t="s">
        <v>3524</v>
      </c>
      <c r="AB17" s="1150" t="s">
        <v>3524</v>
      </c>
      <c r="AC17" s="1150" t="s">
        <v>3524</v>
      </c>
      <c r="AD17" s="3146">
        <v>45169.000497685185</v>
      </c>
      <c r="AE17" s="3146">
        <v>45189.000497685185</v>
      </c>
      <c r="AF17" s="3146">
        <v>45209.000497685185</v>
      </c>
      <c r="AG17" s="3146">
        <v>45209.000497685185</v>
      </c>
      <c r="AH17" s="1150" t="s">
        <v>3525</v>
      </c>
      <c r="AI17" s="1150" t="s">
        <v>3585</v>
      </c>
      <c r="AJ17" s="1150" t="s">
        <v>3683</v>
      </c>
      <c r="AK17" s="1150" t="s">
        <v>3684</v>
      </c>
      <c r="AL17" s="1150" t="s">
        <v>3685</v>
      </c>
      <c r="AM17" s="1150" t="s">
        <v>3524</v>
      </c>
      <c r="AN17" s="1150">
        <v>137000</v>
      </c>
      <c r="AO17" s="1150">
        <v>28000</v>
      </c>
      <c r="AP17" s="3146">
        <v>45203.625497685185</v>
      </c>
      <c r="AQ17" s="1150">
        <v>151000</v>
      </c>
      <c r="AR17" s="1150">
        <v>29220.47</v>
      </c>
      <c r="AS17" s="1150">
        <v>32206.51</v>
      </c>
      <c r="AT17" s="1150">
        <v>1948.03</v>
      </c>
      <c r="AU17" s="1150">
        <v>2147.1</v>
      </c>
      <c r="AV17" s="1150">
        <v>15246</v>
      </c>
      <c r="AW17" s="1150">
        <v>16804</v>
      </c>
      <c r="AX17" s="1150" t="s">
        <v>3524</v>
      </c>
      <c r="AY17" s="1150" t="s">
        <v>3524</v>
      </c>
      <c r="AZ17" s="1150">
        <v>10.220000000000001</v>
      </c>
      <c r="BA17" s="1150">
        <v>157550</v>
      </c>
      <c r="BB17" s="1150" t="s">
        <v>3531</v>
      </c>
      <c r="BC17" s="1150">
        <v>45000</v>
      </c>
      <c r="BD17" s="1150">
        <v>45000</v>
      </c>
      <c r="BE17" s="1150">
        <v>17533</v>
      </c>
      <c r="BF17" s="1150">
        <v>15</v>
      </c>
      <c r="BG17" s="1150">
        <v>27523</v>
      </c>
      <c r="BH17" s="1150" t="s">
        <v>3560</v>
      </c>
      <c r="BI17" s="1150" t="s">
        <v>3686</v>
      </c>
      <c r="BJ17" s="1150" t="s">
        <v>3550</v>
      </c>
      <c r="BK17" s="1150" t="s">
        <v>3551</v>
      </c>
      <c r="BL17" s="3146">
        <v>45240.000497685185</v>
      </c>
      <c r="BM17" s="1150">
        <v>151000</v>
      </c>
    </row>
    <row r="18" spans="1:65" s="3147" customFormat="1">
      <c r="A18" s="3147" t="s">
        <v>3687</v>
      </c>
      <c r="B18" s="3147" t="s">
        <v>3507</v>
      </c>
      <c r="C18" s="3147" t="s">
        <v>3508</v>
      </c>
      <c r="D18" s="3147" t="s">
        <v>3537</v>
      </c>
      <c r="E18" s="3147" t="s">
        <v>3688</v>
      </c>
      <c r="F18" s="3147" t="s">
        <v>3689</v>
      </c>
      <c r="G18" s="3147" t="s">
        <v>3689</v>
      </c>
      <c r="H18" s="3147" t="s">
        <v>3690</v>
      </c>
      <c r="I18" s="3147">
        <v>69837.09</v>
      </c>
      <c r="J18" s="3147">
        <v>104756</v>
      </c>
      <c r="K18" s="3147" t="s">
        <v>3524</v>
      </c>
      <c r="L18" s="3147" t="s">
        <v>3524</v>
      </c>
      <c r="M18" s="3147">
        <v>0</v>
      </c>
      <c r="N18" s="3147">
        <v>0</v>
      </c>
      <c r="O18" s="3147" t="s">
        <v>3541</v>
      </c>
      <c r="P18" s="3147" t="s">
        <v>3663</v>
      </c>
      <c r="Q18" s="3147" t="s">
        <v>3543</v>
      </c>
      <c r="R18" s="3147" t="s">
        <v>3618</v>
      </c>
      <c r="S18" s="3147">
        <v>1.5</v>
      </c>
      <c r="T18" s="3147">
        <v>1.5</v>
      </c>
      <c r="U18" s="3147" t="s">
        <v>3524</v>
      </c>
      <c r="V18" s="3147">
        <v>0.3</v>
      </c>
      <c r="W18" s="3147">
        <v>24</v>
      </c>
      <c r="X18" s="3147" t="s">
        <v>3519</v>
      </c>
      <c r="Y18" s="3147" t="s">
        <v>3520</v>
      </c>
      <c r="Z18" s="3147" t="s">
        <v>3521</v>
      </c>
      <c r="AA18" s="3147" t="s">
        <v>3524</v>
      </c>
      <c r="AB18" s="3147" t="s">
        <v>3524</v>
      </c>
      <c r="AC18" s="3147" t="s">
        <v>3524</v>
      </c>
      <c r="AD18" s="3148">
        <v>45160.000497685185</v>
      </c>
      <c r="AE18" s="3148">
        <v>45181.000497685185</v>
      </c>
      <c r="AF18" s="3148">
        <v>45195.000497685185</v>
      </c>
      <c r="AG18" s="3148">
        <v>45195.000497685185</v>
      </c>
      <c r="AH18" s="3147" t="s">
        <v>3525</v>
      </c>
      <c r="AI18" s="3147" t="s">
        <v>3585</v>
      </c>
      <c r="AJ18" s="3147" t="s">
        <v>3691</v>
      </c>
      <c r="AK18" s="3147" t="s">
        <v>3692</v>
      </c>
      <c r="AL18" s="3147" t="s">
        <v>3685</v>
      </c>
      <c r="AM18" s="3147" t="s">
        <v>3524</v>
      </c>
      <c r="AN18" s="3147">
        <v>120000</v>
      </c>
      <c r="AO18" s="3147">
        <v>24000</v>
      </c>
      <c r="AP18" s="3147" t="s">
        <v>3524</v>
      </c>
      <c r="AQ18" s="3147">
        <v>120000</v>
      </c>
      <c r="AR18" s="3147">
        <v>17182.84</v>
      </c>
      <c r="AS18" s="3147">
        <v>17182.84</v>
      </c>
      <c r="AT18" s="3147">
        <v>1145.52</v>
      </c>
      <c r="AU18" s="3147">
        <v>1145.52</v>
      </c>
      <c r="AV18" s="3147">
        <v>11455</v>
      </c>
      <c r="AW18" s="3147">
        <v>11455</v>
      </c>
      <c r="AX18" s="3147" t="s">
        <v>3524</v>
      </c>
      <c r="AY18" s="3147" t="s">
        <v>3524</v>
      </c>
      <c r="AZ18" s="3147">
        <v>0</v>
      </c>
      <c r="BA18" s="3147">
        <v>138000</v>
      </c>
      <c r="BB18" s="3147" t="s">
        <v>3531</v>
      </c>
      <c r="BC18" s="3147">
        <v>37000</v>
      </c>
      <c r="BD18" s="3147">
        <v>37000</v>
      </c>
      <c r="BE18" s="3147">
        <v>13173</v>
      </c>
      <c r="BF18" s="3147">
        <v>15</v>
      </c>
      <c r="BG18" s="3147">
        <v>25544</v>
      </c>
      <c r="BH18" s="3147" t="s">
        <v>3673</v>
      </c>
      <c r="BI18" s="3147" t="s">
        <v>3693</v>
      </c>
      <c r="BJ18" s="3147" t="s">
        <v>3550</v>
      </c>
      <c r="BK18" s="3147" t="s">
        <v>3694</v>
      </c>
      <c r="BL18" s="3147" t="s">
        <v>3524</v>
      </c>
      <c r="BM18" s="3147" t="s">
        <v>3524</v>
      </c>
    </row>
    <row r="19" spans="1:65">
      <c r="A19" s="1150" t="s">
        <v>3695</v>
      </c>
      <c r="B19" s="1150" t="s">
        <v>3507</v>
      </c>
      <c r="C19" s="1150" t="s">
        <v>3508</v>
      </c>
      <c r="D19" s="1150" t="s">
        <v>3509</v>
      </c>
      <c r="E19" s="1150" t="s">
        <v>3696</v>
      </c>
      <c r="F19" s="1150" t="s">
        <v>3697</v>
      </c>
      <c r="G19" s="1150" t="s">
        <v>3697</v>
      </c>
      <c r="H19" s="1150" t="s">
        <v>3565</v>
      </c>
      <c r="I19" s="1150">
        <v>64837.47</v>
      </c>
      <c r="J19" s="1150">
        <v>124634.93</v>
      </c>
      <c r="K19" s="1150" t="s">
        <v>3524</v>
      </c>
      <c r="L19" s="1150" t="s">
        <v>3524</v>
      </c>
      <c r="M19" s="1150">
        <v>0</v>
      </c>
      <c r="N19" s="1150">
        <v>0</v>
      </c>
      <c r="O19" s="1150" t="s">
        <v>3513</v>
      </c>
      <c r="P19" s="1150" t="s">
        <v>3514</v>
      </c>
      <c r="Q19" s="1150" t="s">
        <v>3515</v>
      </c>
      <c r="R19" s="1150" t="s">
        <v>3698</v>
      </c>
      <c r="S19" s="1150" t="s">
        <v>3699</v>
      </c>
      <c r="T19" s="1150">
        <v>2</v>
      </c>
      <c r="U19" s="1150" t="s">
        <v>3524</v>
      </c>
      <c r="V19" s="1150">
        <v>0.3</v>
      </c>
      <c r="W19" s="1150" t="s">
        <v>3700</v>
      </c>
      <c r="X19" s="1150" t="s">
        <v>3519</v>
      </c>
      <c r="Y19" s="1150" t="s">
        <v>3520</v>
      </c>
      <c r="Z19" s="1150" t="s">
        <v>3521</v>
      </c>
      <c r="AA19" s="1150" t="s">
        <v>3701</v>
      </c>
      <c r="AB19" s="1150" t="s">
        <v>3524</v>
      </c>
      <c r="AC19" s="1150" t="s">
        <v>3524</v>
      </c>
      <c r="AD19" s="3146">
        <v>45107.000497685185</v>
      </c>
      <c r="AE19" s="3146">
        <v>45127.000497685185</v>
      </c>
      <c r="AF19" s="3146">
        <v>45141.000497685185</v>
      </c>
      <c r="AG19" s="3146">
        <v>45141.000497685185</v>
      </c>
      <c r="AH19" s="1150" t="s">
        <v>3525</v>
      </c>
      <c r="AI19" s="1150" t="s">
        <v>3526</v>
      </c>
      <c r="AJ19" s="1150" t="s">
        <v>3702</v>
      </c>
      <c r="AK19" s="1150" t="s">
        <v>3703</v>
      </c>
      <c r="AL19" s="1150" t="s">
        <v>3685</v>
      </c>
      <c r="AM19" s="1150" t="s">
        <v>3524</v>
      </c>
      <c r="AN19" s="1150">
        <v>332000</v>
      </c>
      <c r="AO19" s="1150">
        <v>67000</v>
      </c>
      <c r="AP19" s="1150" t="s">
        <v>3524</v>
      </c>
      <c r="AQ19" s="1150">
        <v>381800</v>
      </c>
      <c r="AR19" s="1150">
        <v>51204.959999999999</v>
      </c>
      <c r="AS19" s="1150">
        <v>58885.7</v>
      </c>
      <c r="AT19" s="1150">
        <v>3413.66</v>
      </c>
      <c r="AU19" s="1150">
        <v>3925.71</v>
      </c>
      <c r="AV19" s="1150">
        <v>26638</v>
      </c>
      <c r="AW19" s="1150">
        <v>30633</v>
      </c>
      <c r="AX19" s="1150" t="s">
        <v>3524</v>
      </c>
      <c r="AY19" s="1150" t="s">
        <v>3524</v>
      </c>
      <c r="AZ19" s="1150">
        <v>15</v>
      </c>
      <c r="BA19" s="1150">
        <v>381800</v>
      </c>
      <c r="BB19" s="1150" t="s">
        <v>3597</v>
      </c>
      <c r="BC19" s="1150">
        <v>59000</v>
      </c>
      <c r="BD19" s="1150">
        <v>59000</v>
      </c>
      <c r="BE19" s="1150">
        <v>30633</v>
      </c>
      <c r="BF19" s="1150">
        <v>15</v>
      </c>
      <c r="BG19" s="1150">
        <v>27517</v>
      </c>
      <c r="BH19" s="1150" t="s">
        <v>3532</v>
      </c>
      <c r="BI19" s="1150" t="s">
        <v>3704</v>
      </c>
      <c r="BJ19" s="1150" t="s">
        <v>3550</v>
      </c>
      <c r="BK19" s="1150" t="s">
        <v>3668</v>
      </c>
      <c r="BL19" s="1150" t="s">
        <v>3524</v>
      </c>
      <c r="BM19" s="1150" t="s">
        <v>3524</v>
      </c>
    </row>
    <row r="20" spans="1:65">
      <c r="A20" s="1150" t="s">
        <v>3705</v>
      </c>
      <c r="B20" s="1150" t="s">
        <v>3507</v>
      </c>
      <c r="C20" s="1150" t="s">
        <v>3508</v>
      </c>
      <c r="D20" s="1150" t="s">
        <v>3509</v>
      </c>
      <c r="E20" s="1150" t="s">
        <v>3553</v>
      </c>
      <c r="F20" s="1150" t="s">
        <v>3706</v>
      </c>
      <c r="G20" s="1150" t="s">
        <v>3706</v>
      </c>
      <c r="H20" s="1150" t="s">
        <v>3565</v>
      </c>
      <c r="I20" s="1150">
        <v>45954.22</v>
      </c>
      <c r="J20" s="1150">
        <v>91908.44</v>
      </c>
      <c r="K20" s="1150" t="s">
        <v>3524</v>
      </c>
      <c r="L20" s="1150" t="s">
        <v>3524</v>
      </c>
      <c r="M20" s="1150">
        <v>0</v>
      </c>
      <c r="N20" s="1150">
        <v>0</v>
      </c>
      <c r="O20" s="1150" t="s">
        <v>3541</v>
      </c>
      <c r="P20" s="1150" t="s">
        <v>3663</v>
      </c>
      <c r="Q20" s="1150" t="s">
        <v>3543</v>
      </c>
      <c r="R20" s="1150" t="s">
        <v>3618</v>
      </c>
      <c r="S20" s="1150">
        <v>2</v>
      </c>
      <c r="T20" s="1150">
        <v>2</v>
      </c>
      <c r="U20" s="1150" t="s">
        <v>3524</v>
      </c>
      <c r="V20" s="1150">
        <v>0.3</v>
      </c>
      <c r="W20" s="1150" t="s">
        <v>3707</v>
      </c>
      <c r="X20" s="1150" t="s">
        <v>3519</v>
      </c>
      <c r="Y20" s="1150" t="s">
        <v>3520</v>
      </c>
      <c r="Z20" s="1150" t="s">
        <v>3521</v>
      </c>
      <c r="AA20" s="1150" t="s">
        <v>3701</v>
      </c>
      <c r="AB20" s="1150" t="s">
        <v>3524</v>
      </c>
      <c r="AC20" s="1150" t="s">
        <v>3524</v>
      </c>
      <c r="AD20" s="3146">
        <v>45107.000497685185</v>
      </c>
      <c r="AE20" s="3146">
        <v>45127.000497685185</v>
      </c>
      <c r="AF20" s="3146">
        <v>45141.000497685185</v>
      </c>
      <c r="AG20" s="3146">
        <v>45141.000497685185</v>
      </c>
      <c r="AH20" s="1150" t="s">
        <v>3525</v>
      </c>
      <c r="AI20" s="1150" t="s">
        <v>3526</v>
      </c>
      <c r="AJ20" s="1150" t="s">
        <v>3594</v>
      </c>
      <c r="AK20" s="1150" t="s">
        <v>3595</v>
      </c>
      <c r="AL20" s="1150" t="s">
        <v>3596</v>
      </c>
      <c r="AM20" s="1150" t="s">
        <v>3524</v>
      </c>
      <c r="AN20" s="1150">
        <v>250000</v>
      </c>
      <c r="AO20" s="1150">
        <v>50000</v>
      </c>
      <c r="AP20" s="1150" t="s">
        <v>3524</v>
      </c>
      <c r="AQ20" s="1150">
        <v>287500</v>
      </c>
      <c r="AR20" s="1150">
        <v>54401.97</v>
      </c>
      <c r="AS20" s="1150">
        <v>62562.26</v>
      </c>
      <c r="AT20" s="1150">
        <v>3626.8</v>
      </c>
      <c r="AU20" s="1150">
        <v>4170.82</v>
      </c>
      <c r="AV20" s="1150">
        <v>27201</v>
      </c>
      <c r="AW20" s="1150">
        <v>31281</v>
      </c>
      <c r="AX20" s="1150" t="s">
        <v>3524</v>
      </c>
      <c r="AY20" s="1150" t="s">
        <v>3524</v>
      </c>
      <c r="AZ20" s="1150">
        <v>15</v>
      </c>
      <c r="BA20" s="1150">
        <v>287500</v>
      </c>
      <c r="BB20" s="1150" t="s">
        <v>3597</v>
      </c>
      <c r="BC20" s="1150">
        <v>59000</v>
      </c>
      <c r="BD20" s="1150">
        <v>59000</v>
      </c>
      <c r="BE20" s="1150">
        <v>31281</v>
      </c>
      <c r="BF20" s="1150">
        <v>15</v>
      </c>
      <c r="BG20" s="1150">
        <v>27718</v>
      </c>
      <c r="BH20" s="1150" t="s">
        <v>3560</v>
      </c>
      <c r="BI20" s="1150" t="s">
        <v>3708</v>
      </c>
      <c r="BJ20" s="1150" t="s">
        <v>3550</v>
      </c>
      <c r="BK20" s="1150" t="s">
        <v>3709</v>
      </c>
      <c r="BL20" s="1150" t="s">
        <v>3524</v>
      </c>
      <c r="BM20" s="1150" t="s">
        <v>3524</v>
      </c>
    </row>
    <row r="21" spans="1:65">
      <c r="A21" s="1150" t="s">
        <v>3710</v>
      </c>
      <c r="B21" s="1150" t="s">
        <v>3507</v>
      </c>
      <c r="C21" s="1150" t="s">
        <v>3508</v>
      </c>
      <c r="D21" s="1150" t="s">
        <v>3509</v>
      </c>
      <c r="E21" s="1150" t="s">
        <v>3510</v>
      </c>
      <c r="F21" s="1150" t="s">
        <v>3711</v>
      </c>
      <c r="G21" s="1150" t="s">
        <v>3711</v>
      </c>
      <c r="H21" s="1150" t="s">
        <v>3712</v>
      </c>
      <c r="I21" s="1150">
        <v>57292.65</v>
      </c>
      <c r="J21" s="1150">
        <v>134221.63</v>
      </c>
      <c r="K21" s="1150" t="s">
        <v>3524</v>
      </c>
      <c r="L21" s="1150" t="s">
        <v>3524</v>
      </c>
      <c r="M21" s="1150">
        <v>0</v>
      </c>
      <c r="N21" s="1150">
        <v>0</v>
      </c>
      <c r="O21" s="1150" t="s">
        <v>3513</v>
      </c>
      <c r="P21" s="1150" t="s">
        <v>3514</v>
      </c>
      <c r="Q21" s="1150" t="s">
        <v>3580</v>
      </c>
      <c r="R21" s="1150" t="s">
        <v>3698</v>
      </c>
      <c r="S21" s="1150" t="s">
        <v>3713</v>
      </c>
      <c r="T21" s="1150">
        <v>2.5</v>
      </c>
      <c r="U21" s="1150" t="s">
        <v>3524</v>
      </c>
      <c r="V21" s="1150" t="s">
        <v>3524</v>
      </c>
      <c r="W21" s="1150" t="s">
        <v>3714</v>
      </c>
      <c r="X21" s="1150" t="s">
        <v>3519</v>
      </c>
      <c r="Y21" s="1150" t="s">
        <v>3520</v>
      </c>
      <c r="Z21" s="1150" t="s">
        <v>3521</v>
      </c>
      <c r="AA21" s="1150" t="s">
        <v>3715</v>
      </c>
      <c r="AB21" s="1150" t="s">
        <v>3524</v>
      </c>
      <c r="AC21" s="1150" t="s">
        <v>3524</v>
      </c>
      <c r="AD21" s="3146">
        <v>45098.000497685185</v>
      </c>
      <c r="AE21" s="3146">
        <v>45118.000497685185</v>
      </c>
      <c r="AF21" s="3146">
        <v>45132.000497685185</v>
      </c>
      <c r="AG21" s="3146">
        <v>45132.000497685185</v>
      </c>
      <c r="AH21" s="1150" t="s">
        <v>3525</v>
      </c>
      <c r="AI21" s="1150" t="s">
        <v>3526</v>
      </c>
      <c r="AJ21" s="1150" t="s">
        <v>3716</v>
      </c>
      <c r="AK21" s="1150" t="s">
        <v>3717</v>
      </c>
      <c r="AL21" s="1150" t="s">
        <v>3596</v>
      </c>
      <c r="AM21" s="1150" t="s">
        <v>3524</v>
      </c>
      <c r="AN21" s="1150">
        <v>470000</v>
      </c>
      <c r="AO21" s="1150">
        <v>94000</v>
      </c>
      <c r="AP21" s="3146">
        <v>45132.625497685185</v>
      </c>
      <c r="AQ21" s="1150">
        <v>540500</v>
      </c>
      <c r="AR21" s="1150">
        <v>82034.95</v>
      </c>
      <c r="AS21" s="1150">
        <v>94340.19</v>
      </c>
      <c r="AT21" s="1150">
        <v>5469</v>
      </c>
      <c r="AU21" s="1150">
        <v>6289.35</v>
      </c>
      <c r="AV21" s="1150">
        <v>35017</v>
      </c>
      <c r="AW21" s="1150">
        <v>40269</v>
      </c>
      <c r="AX21" s="1150" t="s">
        <v>3524</v>
      </c>
      <c r="AY21" s="1150" t="s">
        <v>3524</v>
      </c>
      <c r="AZ21" s="1150">
        <v>15</v>
      </c>
      <c r="BA21" s="1150">
        <v>540500</v>
      </c>
      <c r="BB21" s="1150" t="s">
        <v>3597</v>
      </c>
      <c r="BC21" s="1150">
        <v>66000</v>
      </c>
      <c r="BD21" s="1150">
        <v>66000</v>
      </c>
      <c r="BE21" s="1150">
        <v>40269</v>
      </c>
      <c r="BF21" s="1150">
        <v>15</v>
      </c>
      <c r="BG21" s="1150">
        <v>24417</v>
      </c>
      <c r="BH21" s="1150" t="s">
        <v>3532</v>
      </c>
      <c r="BI21" s="1150" t="s">
        <v>3718</v>
      </c>
      <c r="BJ21" s="1150" t="s">
        <v>3550</v>
      </c>
      <c r="BK21" s="1150" t="s">
        <v>3599</v>
      </c>
      <c r="BL21" s="3146">
        <v>45161.000497685185</v>
      </c>
      <c r="BM21" s="1150">
        <v>540500</v>
      </c>
    </row>
    <row r="22" spans="1:65" s="3149" customFormat="1">
      <c r="A22" s="3149" t="s">
        <v>3719</v>
      </c>
      <c r="B22" s="3149" t="s">
        <v>3507</v>
      </c>
      <c r="C22" s="3149" t="s">
        <v>3508</v>
      </c>
      <c r="D22" s="3149" t="s">
        <v>3537</v>
      </c>
      <c r="E22" s="3149" t="s">
        <v>3720</v>
      </c>
      <c r="F22" s="3149" t="s">
        <v>3721</v>
      </c>
      <c r="G22" s="3149" t="s">
        <v>3721</v>
      </c>
      <c r="H22" s="3149" t="s">
        <v>3722</v>
      </c>
      <c r="I22" s="3149">
        <v>31558.240000000002</v>
      </c>
      <c r="J22" s="3149">
        <v>88363.07</v>
      </c>
      <c r="K22" s="3149" t="s">
        <v>3524</v>
      </c>
      <c r="L22" s="3149" t="s">
        <v>3524</v>
      </c>
      <c r="M22" s="3149">
        <v>0</v>
      </c>
      <c r="N22" s="3149">
        <v>0</v>
      </c>
      <c r="O22" s="3149" t="s">
        <v>3541</v>
      </c>
      <c r="P22" s="3149" t="s">
        <v>3663</v>
      </c>
      <c r="Q22" s="3149" t="s">
        <v>3543</v>
      </c>
      <c r="R22" s="3149" t="s">
        <v>3618</v>
      </c>
      <c r="S22" s="3149" t="s">
        <v>3723</v>
      </c>
      <c r="T22" s="3149">
        <v>2.8</v>
      </c>
      <c r="U22" s="3149" t="s">
        <v>3524</v>
      </c>
      <c r="V22" s="3149" t="s">
        <v>3524</v>
      </c>
      <c r="W22" s="3149">
        <v>60</v>
      </c>
      <c r="X22" s="3149" t="s">
        <v>3519</v>
      </c>
      <c r="Y22" s="3149" t="s">
        <v>3520</v>
      </c>
      <c r="Z22" s="3149" t="s">
        <v>3521</v>
      </c>
      <c r="AA22" s="3149" t="s">
        <v>3522</v>
      </c>
      <c r="AB22" s="3149" t="s">
        <v>3524</v>
      </c>
      <c r="AC22" s="3149" t="s">
        <v>3524</v>
      </c>
      <c r="AD22" s="3150">
        <v>45072.000497685185</v>
      </c>
      <c r="AE22" s="3150">
        <v>45092.000497685185</v>
      </c>
      <c r="AF22" s="3150">
        <v>45107.000497685185</v>
      </c>
      <c r="AG22" s="3150">
        <v>45107.000497685185</v>
      </c>
      <c r="AH22" s="3149" t="s">
        <v>3525</v>
      </c>
      <c r="AI22" s="3149" t="s">
        <v>3585</v>
      </c>
      <c r="AJ22" s="3149" t="s">
        <v>3724</v>
      </c>
      <c r="AK22" s="3149" t="s">
        <v>3548</v>
      </c>
      <c r="AL22" s="3149" t="s">
        <v>3529</v>
      </c>
      <c r="AM22" s="3149" t="s">
        <v>3530</v>
      </c>
      <c r="AN22" s="3149">
        <v>88100</v>
      </c>
      <c r="AO22" s="3149">
        <v>18000</v>
      </c>
      <c r="AP22" s="3150">
        <v>45106.708831018521</v>
      </c>
      <c r="AQ22" s="3149">
        <v>88100</v>
      </c>
      <c r="AR22" s="3149">
        <v>27916.63</v>
      </c>
      <c r="AS22" s="3149">
        <v>27916.63</v>
      </c>
      <c r="AT22" s="3149">
        <v>1861.11</v>
      </c>
      <c r="AU22" s="3149">
        <v>1861.11</v>
      </c>
      <c r="AV22" s="3149">
        <v>9970</v>
      </c>
      <c r="AW22" s="3149">
        <v>9970</v>
      </c>
      <c r="AX22" s="3149" t="s">
        <v>3524</v>
      </c>
      <c r="AY22" s="3149" t="s">
        <v>3524</v>
      </c>
      <c r="AZ22" s="3149">
        <v>0</v>
      </c>
      <c r="BA22" s="3149">
        <v>101315</v>
      </c>
      <c r="BB22" s="3149" t="s">
        <v>3531</v>
      </c>
      <c r="BC22" s="3149">
        <v>27000</v>
      </c>
      <c r="BD22" s="3149">
        <v>27000</v>
      </c>
      <c r="BE22" s="3149">
        <v>11466</v>
      </c>
      <c r="BF22" s="3149">
        <v>15</v>
      </c>
      <c r="BG22" s="3149">
        <v>17029</v>
      </c>
      <c r="BH22" s="3149" t="s">
        <v>3725</v>
      </c>
      <c r="BI22" s="3149" t="s">
        <v>3726</v>
      </c>
      <c r="BJ22" s="3149" t="s">
        <v>3550</v>
      </c>
      <c r="BK22" s="3149" t="s">
        <v>3727</v>
      </c>
      <c r="BL22" s="3150">
        <v>45136.000497685185</v>
      </c>
      <c r="BM22" s="3149">
        <v>88100</v>
      </c>
    </row>
    <row r="23" spans="1:65">
      <c r="A23" s="1150" t="s">
        <v>3728</v>
      </c>
      <c r="B23" s="1150" t="s">
        <v>3507</v>
      </c>
      <c r="C23" s="1150" t="s">
        <v>3508</v>
      </c>
      <c r="D23" s="1150" t="s">
        <v>3509</v>
      </c>
      <c r="E23" s="1150" t="s">
        <v>3563</v>
      </c>
      <c r="F23" s="1150" t="s">
        <v>3729</v>
      </c>
      <c r="G23" s="1150" t="s">
        <v>3729</v>
      </c>
      <c r="H23" s="1150" t="s">
        <v>3565</v>
      </c>
      <c r="I23" s="1150">
        <v>27822.39</v>
      </c>
      <c r="J23" s="1150">
        <v>44515.82</v>
      </c>
      <c r="K23" s="1150" t="s">
        <v>3524</v>
      </c>
      <c r="L23" s="1150" t="s">
        <v>3524</v>
      </c>
      <c r="M23" s="1150">
        <v>0</v>
      </c>
      <c r="N23" s="1150">
        <v>0</v>
      </c>
      <c r="O23" s="1150" t="s">
        <v>3541</v>
      </c>
      <c r="P23" s="1150" t="s">
        <v>3656</v>
      </c>
      <c r="Q23" s="1150" t="s">
        <v>3656</v>
      </c>
      <c r="R23" s="1150" t="s">
        <v>3657</v>
      </c>
      <c r="S23" s="1150">
        <v>1.6</v>
      </c>
      <c r="T23" s="1150">
        <v>1.6</v>
      </c>
      <c r="U23" s="1150" t="s">
        <v>3524</v>
      </c>
      <c r="V23" s="1150" t="s">
        <v>3730</v>
      </c>
      <c r="W23" s="1150">
        <v>45</v>
      </c>
      <c r="X23" s="1150" t="s">
        <v>3519</v>
      </c>
      <c r="Y23" s="1150" t="s">
        <v>3520</v>
      </c>
      <c r="Z23" s="1150" t="s">
        <v>3715</v>
      </c>
      <c r="AA23" s="1150" t="s">
        <v>3584</v>
      </c>
      <c r="AB23" s="1150" t="s">
        <v>3524</v>
      </c>
      <c r="AC23" s="1150" t="s">
        <v>3524</v>
      </c>
      <c r="AD23" s="3146">
        <v>45062.000497685185</v>
      </c>
      <c r="AE23" s="3146">
        <v>45083.000497685185</v>
      </c>
      <c r="AF23" s="3146">
        <v>45097.000497685185</v>
      </c>
      <c r="AG23" s="3146">
        <v>45097.000497685185</v>
      </c>
      <c r="AH23" s="1150" t="s">
        <v>3525</v>
      </c>
      <c r="AI23" s="1150" t="s">
        <v>3526</v>
      </c>
      <c r="AJ23" s="1150" t="s">
        <v>3731</v>
      </c>
      <c r="AK23" s="1150" t="s">
        <v>3732</v>
      </c>
      <c r="AL23" s="1150" t="s">
        <v>3733</v>
      </c>
      <c r="AM23" s="1150" t="s">
        <v>3573</v>
      </c>
      <c r="AN23" s="1150">
        <v>100000</v>
      </c>
      <c r="AO23" s="1150">
        <v>20000</v>
      </c>
      <c r="AP23" s="1150" t="s">
        <v>3524</v>
      </c>
      <c r="AQ23" s="1150">
        <v>100000</v>
      </c>
      <c r="AR23" s="1150">
        <v>35942.269999999997</v>
      </c>
      <c r="AS23" s="1150">
        <v>35942.269999999997</v>
      </c>
      <c r="AT23" s="1150">
        <v>2396.15</v>
      </c>
      <c r="AU23" s="1150">
        <v>2396.15</v>
      </c>
      <c r="AV23" s="1150">
        <v>22464</v>
      </c>
      <c r="AW23" s="1150">
        <v>22464</v>
      </c>
      <c r="AX23" s="1150" t="s">
        <v>3524</v>
      </c>
      <c r="AY23" s="1150" t="s">
        <v>3524</v>
      </c>
      <c r="AZ23" s="1150">
        <v>0</v>
      </c>
      <c r="BA23" s="1150">
        <v>115000</v>
      </c>
      <c r="BB23" s="1150" t="s">
        <v>3531</v>
      </c>
      <c r="BC23" s="1150">
        <v>50000</v>
      </c>
      <c r="BD23" s="1150">
        <v>50000</v>
      </c>
      <c r="BE23" s="1150">
        <v>25834</v>
      </c>
      <c r="BF23" s="1150">
        <v>15</v>
      </c>
      <c r="BG23" s="1150">
        <v>27151</v>
      </c>
      <c r="BH23" s="1150" t="s">
        <v>3549</v>
      </c>
      <c r="BI23" s="1150" t="s">
        <v>3734</v>
      </c>
      <c r="BJ23" s="1150" t="s">
        <v>3550</v>
      </c>
      <c r="BK23" s="1150" t="s">
        <v>3735</v>
      </c>
      <c r="BL23" s="1150" t="s">
        <v>3524</v>
      </c>
      <c r="BM23" s="1150" t="s">
        <v>3524</v>
      </c>
    </row>
    <row r="24" spans="1:65">
      <c r="A24" s="1150" t="s">
        <v>3736</v>
      </c>
      <c r="B24" s="1150" t="s">
        <v>3507</v>
      </c>
      <c r="C24" s="1150" t="s">
        <v>3508</v>
      </c>
      <c r="D24" s="1150" t="s">
        <v>3509</v>
      </c>
      <c r="E24" s="1150" t="s">
        <v>3737</v>
      </c>
      <c r="F24" s="1150" t="s">
        <v>3738</v>
      </c>
      <c r="G24" s="1150" t="s">
        <v>3738</v>
      </c>
      <c r="H24" s="1150" t="s">
        <v>3739</v>
      </c>
      <c r="I24" s="1150">
        <v>77391.100000000006</v>
      </c>
      <c r="J24" s="1150">
        <v>177999.53</v>
      </c>
      <c r="K24" s="1150" t="s">
        <v>3524</v>
      </c>
      <c r="L24" s="1150" t="s">
        <v>3524</v>
      </c>
      <c r="M24" s="1150">
        <v>0</v>
      </c>
      <c r="N24" s="1150">
        <v>0</v>
      </c>
      <c r="O24" s="1150" t="s">
        <v>3541</v>
      </c>
      <c r="P24" s="1150" t="s">
        <v>3663</v>
      </c>
      <c r="Q24" s="1150" t="s">
        <v>3543</v>
      </c>
      <c r="R24" s="1150" t="s">
        <v>3618</v>
      </c>
      <c r="S24" s="1150">
        <v>2.2999999999999998</v>
      </c>
      <c r="T24" s="1150">
        <v>2.2999999999999998</v>
      </c>
      <c r="U24" s="1150" t="s">
        <v>3524</v>
      </c>
      <c r="V24" s="1150" t="s">
        <v>3740</v>
      </c>
      <c r="W24" s="1150" t="s">
        <v>3741</v>
      </c>
      <c r="X24" s="1150" t="s">
        <v>3519</v>
      </c>
      <c r="Y24" s="1150" t="s">
        <v>3520</v>
      </c>
      <c r="Z24" s="1150" t="s">
        <v>3521</v>
      </c>
      <c r="AA24" s="1150" t="s">
        <v>3742</v>
      </c>
      <c r="AB24" s="1150" t="s">
        <v>3524</v>
      </c>
      <c r="AC24" s="1150" t="s">
        <v>3524</v>
      </c>
      <c r="AD24" s="3146">
        <v>45058.000497685185</v>
      </c>
      <c r="AE24" s="3146">
        <v>45079.000497685185</v>
      </c>
      <c r="AF24" s="3146">
        <v>45093.000497685185</v>
      </c>
      <c r="AG24" s="3146">
        <v>45093.000497685185</v>
      </c>
      <c r="AH24" s="1150" t="s">
        <v>3525</v>
      </c>
      <c r="AI24" s="1150" t="s">
        <v>3526</v>
      </c>
      <c r="AJ24" s="1150" t="s">
        <v>3743</v>
      </c>
      <c r="AK24" s="1150" t="s">
        <v>3744</v>
      </c>
      <c r="AL24" s="1150" t="s">
        <v>3529</v>
      </c>
      <c r="AM24" s="1150" t="s">
        <v>3530</v>
      </c>
      <c r="AN24" s="1150">
        <v>688000</v>
      </c>
      <c r="AO24" s="1150">
        <v>138000</v>
      </c>
      <c r="AP24" s="1150" t="s">
        <v>3524</v>
      </c>
      <c r="AQ24" s="1150">
        <v>791200</v>
      </c>
      <c r="AR24" s="1150">
        <v>88899.11</v>
      </c>
      <c r="AS24" s="1150">
        <v>102233.98</v>
      </c>
      <c r="AT24" s="1150">
        <v>5926.61</v>
      </c>
      <c r="AU24" s="1150">
        <v>6815.6</v>
      </c>
      <c r="AV24" s="1150">
        <v>38652</v>
      </c>
      <c r="AW24" s="1150">
        <v>44450</v>
      </c>
      <c r="AX24" s="1150" t="s">
        <v>3524</v>
      </c>
      <c r="AY24" s="1150" t="s">
        <v>3524</v>
      </c>
      <c r="AZ24" s="1150">
        <v>15</v>
      </c>
      <c r="BA24" s="1150">
        <v>791200</v>
      </c>
      <c r="BB24" s="1150" t="s">
        <v>3597</v>
      </c>
      <c r="BC24" s="1150">
        <v>77000</v>
      </c>
      <c r="BD24" s="1150">
        <v>77000</v>
      </c>
      <c r="BE24" s="1150">
        <v>44450</v>
      </c>
      <c r="BF24" s="1150">
        <v>15</v>
      </c>
      <c r="BG24" s="1150">
        <v>31878</v>
      </c>
      <c r="BH24" s="1150" t="s">
        <v>3560</v>
      </c>
      <c r="BI24" s="1150" t="s">
        <v>3745</v>
      </c>
      <c r="BJ24" s="1150" t="s">
        <v>3550</v>
      </c>
      <c r="BK24" s="1150" t="s">
        <v>3746</v>
      </c>
      <c r="BL24" s="1150" t="s">
        <v>3524</v>
      </c>
      <c r="BM24" s="1150" t="s">
        <v>3524</v>
      </c>
    </row>
    <row r="25" spans="1:65">
      <c r="A25" s="1150" t="s">
        <v>3747</v>
      </c>
      <c r="B25" s="1150" t="s">
        <v>3507</v>
      </c>
      <c r="C25" s="1150" t="s">
        <v>3508</v>
      </c>
      <c r="D25" s="1150" t="s">
        <v>3509</v>
      </c>
      <c r="E25" s="1150" t="s">
        <v>3748</v>
      </c>
      <c r="F25" s="1150" t="s">
        <v>3749</v>
      </c>
      <c r="G25" s="1150" t="s">
        <v>3749</v>
      </c>
      <c r="H25" s="1150" t="s">
        <v>3750</v>
      </c>
      <c r="I25" s="1150">
        <v>43400</v>
      </c>
      <c r="J25" s="1150">
        <v>86800</v>
      </c>
      <c r="K25" s="1150" t="s">
        <v>3524</v>
      </c>
      <c r="L25" s="1150" t="s">
        <v>3524</v>
      </c>
      <c r="M25" s="1150">
        <v>0</v>
      </c>
      <c r="N25" s="1150">
        <v>0</v>
      </c>
      <c r="O25" s="1150" t="s">
        <v>3541</v>
      </c>
      <c r="P25" s="1150" t="s">
        <v>3663</v>
      </c>
      <c r="Q25" s="1150" t="s">
        <v>3543</v>
      </c>
      <c r="R25" s="1150" t="s">
        <v>3618</v>
      </c>
      <c r="S25" s="1150">
        <v>2</v>
      </c>
      <c r="T25" s="1150">
        <v>2</v>
      </c>
      <c r="U25" s="1150" t="s">
        <v>3524</v>
      </c>
      <c r="V25" s="1150">
        <v>0.3</v>
      </c>
      <c r="W25" s="1150">
        <v>45</v>
      </c>
      <c r="X25" s="1150" t="s">
        <v>3519</v>
      </c>
      <c r="Y25" s="1150" t="s">
        <v>3520</v>
      </c>
      <c r="Z25" s="1150" t="s">
        <v>3521</v>
      </c>
      <c r="AA25" s="1150" t="s">
        <v>3522</v>
      </c>
      <c r="AB25" s="1150" t="s">
        <v>3524</v>
      </c>
      <c r="AC25" s="1150" t="s">
        <v>3524</v>
      </c>
      <c r="AD25" s="3146">
        <v>45044.000497685185</v>
      </c>
      <c r="AE25" s="3146">
        <v>45064.000497685185</v>
      </c>
      <c r="AF25" s="3146">
        <v>45078.000497685185</v>
      </c>
      <c r="AG25" s="3146">
        <v>45078.000497685185</v>
      </c>
      <c r="AH25" s="1150" t="s">
        <v>3525</v>
      </c>
      <c r="AI25" s="1150" t="s">
        <v>3526</v>
      </c>
      <c r="AJ25" s="1150" t="s">
        <v>3751</v>
      </c>
      <c r="AK25" s="1150" t="s">
        <v>3752</v>
      </c>
      <c r="AL25" s="1150" t="s">
        <v>3596</v>
      </c>
      <c r="AM25" s="1150" t="s">
        <v>3524</v>
      </c>
      <c r="AN25" s="1150">
        <v>287000</v>
      </c>
      <c r="AO25" s="1150">
        <v>58000</v>
      </c>
      <c r="AP25" s="1150" t="s">
        <v>3524</v>
      </c>
      <c r="AQ25" s="1150">
        <v>330050</v>
      </c>
      <c r="AR25" s="1150">
        <v>66129.03</v>
      </c>
      <c r="AS25" s="1150">
        <v>76048.39</v>
      </c>
      <c r="AT25" s="1150">
        <v>4408.6000000000004</v>
      </c>
      <c r="AU25" s="1150">
        <v>5069.8900000000003</v>
      </c>
      <c r="AV25" s="1150">
        <v>33065</v>
      </c>
      <c r="AW25" s="1150">
        <v>38024</v>
      </c>
      <c r="AX25" s="1150" t="s">
        <v>3524</v>
      </c>
      <c r="AY25" s="1150" t="s">
        <v>3524</v>
      </c>
      <c r="AZ25" s="1150">
        <v>15</v>
      </c>
      <c r="BA25" s="1150">
        <v>330050</v>
      </c>
      <c r="BB25" s="1150" t="s">
        <v>3597</v>
      </c>
      <c r="BC25" s="1150">
        <v>58000</v>
      </c>
      <c r="BD25" s="1150">
        <v>58000</v>
      </c>
      <c r="BE25" s="1150">
        <v>38024</v>
      </c>
      <c r="BF25" s="1150">
        <v>15</v>
      </c>
      <c r="BG25" s="1150">
        <v>19975</v>
      </c>
      <c r="BH25" s="1150" t="s">
        <v>3560</v>
      </c>
      <c r="BI25" s="1150" t="s">
        <v>3753</v>
      </c>
      <c r="BJ25" s="1150" t="s">
        <v>3550</v>
      </c>
      <c r="BK25" s="1150" t="s">
        <v>3754</v>
      </c>
      <c r="BL25" s="1150" t="s">
        <v>3524</v>
      </c>
      <c r="BM25" s="1150" t="s">
        <v>3524</v>
      </c>
    </row>
    <row r="26" spans="1:65">
      <c r="A26" s="1150" t="s">
        <v>3755</v>
      </c>
      <c r="B26" s="1150" t="s">
        <v>3507</v>
      </c>
      <c r="C26" s="1150" t="s">
        <v>3508</v>
      </c>
      <c r="D26" s="1150" t="s">
        <v>3509</v>
      </c>
      <c r="E26" s="1150" t="s">
        <v>3510</v>
      </c>
      <c r="F26" s="1150" t="s">
        <v>3756</v>
      </c>
      <c r="G26" s="1150" t="s">
        <v>3756</v>
      </c>
      <c r="H26" s="1150" t="s">
        <v>3757</v>
      </c>
      <c r="I26" s="1150">
        <v>41091.4</v>
      </c>
      <c r="J26" s="1150">
        <v>93718.5</v>
      </c>
      <c r="K26" s="1150" t="s">
        <v>3524</v>
      </c>
      <c r="L26" s="1150" t="s">
        <v>3524</v>
      </c>
      <c r="M26" s="1150">
        <v>0</v>
      </c>
      <c r="N26" s="1150">
        <v>0</v>
      </c>
      <c r="O26" s="1150" t="s">
        <v>3513</v>
      </c>
      <c r="P26" s="1150" t="s">
        <v>3514</v>
      </c>
      <c r="Q26" s="1150" t="s">
        <v>3580</v>
      </c>
      <c r="R26" s="1150" t="s">
        <v>3758</v>
      </c>
      <c r="S26" s="1150" t="s">
        <v>3759</v>
      </c>
      <c r="T26" s="1150">
        <v>0.8</v>
      </c>
      <c r="U26" s="1150" t="s">
        <v>3524</v>
      </c>
      <c r="V26" s="1150">
        <v>0.3</v>
      </c>
      <c r="W26" s="1150" t="s">
        <v>3524</v>
      </c>
      <c r="X26" s="1150" t="s">
        <v>3519</v>
      </c>
      <c r="Y26" s="1150" t="s">
        <v>3520</v>
      </c>
      <c r="Z26" s="1150" t="s">
        <v>3760</v>
      </c>
      <c r="AA26" s="1150" t="s">
        <v>3742</v>
      </c>
      <c r="AB26" s="1150" t="s">
        <v>3524</v>
      </c>
      <c r="AC26" s="1150" t="s">
        <v>3524</v>
      </c>
      <c r="AD26" s="3146">
        <v>45016.000497685185</v>
      </c>
      <c r="AE26" s="3146">
        <v>45036.000497685185</v>
      </c>
      <c r="AF26" s="3146">
        <v>45052.000497685185</v>
      </c>
      <c r="AG26" s="3146">
        <v>45052.000497685185</v>
      </c>
      <c r="AH26" s="1150" t="s">
        <v>3525</v>
      </c>
      <c r="AI26" s="1150" t="s">
        <v>3526</v>
      </c>
      <c r="AJ26" s="1150" t="s">
        <v>3761</v>
      </c>
      <c r="AK26" s="1150" t="s">
        <v>3762</v>
      </c>
      <c r="AL26" s="1150" t="s">
        <v>3763</v>
      </c>
      <c r="AM26" s="1150" t="s">
        <v>3524</v>
      </c>
      <c r="AN26" s="1150">
        <v>324000</v>
      </c>
      <c r="AO26" s="1150">
        <v>65000</v>
      </c>
      <c r="AP26" s="1150" t="s">
        <v>3524</v>
      </c>
      <c r="AQ26" s="1150">
        <v>372600</v>
      </c>
      <c r="AR26" s="1150">
        <v>78848.62</v>
      </c>
      <c r="AS26" s="1150">
        <v>90675.91</v>
      </c>
      <c r="AT26" s="1150">
        <v>5256.57</v>
      </c>
      <c r="AU26" s="1150">
        <v>6045.06</v>
      </c>
      <c r="AV26" s="1150">
        <v>34572</v>
      </c>
      <c r="AW26" s="1150">
        <v>39757</v>
      </c>
      <c r="AX26" s="1150" t="s">
        <v>3524</v>
      </c>
      <c r="AY26" s="1150" t="s">
        <v>3524</v>
      </c>
      <c r="AZ26" s="1150">
        <v>15</v>
      </c>
      <c r="BA26" s="1150">
        <v>372600</v>
      </c>
      <c r="BB26" s="1150" t="s">
        <v>3597</v>
      </c>
      <c r="BC26" s="1150">
        <v>66000</v>
      </c>
      <c r="BD26" s="1150">
        <v>66000</v>
      </c>
      <c r="BE26" s="1150">
        <v>39757</v>
      </c>
      <c r="BF26" s="1150">
        <v>15</v>
      </c>
      <c r="BG26" s="1150">
        <v>24350</v>
      </c>
      <c r="BH26" s="1150" t="s">
        <v>3532</v>
      </c>
      <c r="BI26" s="1150" t="s">
        <v>3764</v>
      </c>
      <c r="BJ26" s="1150" t="s">
        <v>3550</v>
      </c>
      <c r="BK26" s="1150" t="s">
        <v>3765</v>
      </c>
      <c r="BL26" s="1150" t="s">
        <v>3524</v>
      </c>
      <c r="BM26" s="1150" t="s">
        <v>3524</v>
      </c>
    </row>
    <row r="27" spans="1:65">
      <c r="A27" s="1150" t="s">
        <v>3766</v>
      </c>
      <c r="B27" s="1150" t="s">
        <v>3507</v>
      </c>
      <c r="C27" s="1150" t="s">
        <v>3508</v>
      </c>
      <c r="D27" s="1150" t="s">
        <v>3509</v>
      </c>
      <c r="E27" s="1150" t="s">
        <v>3767</v>
      </c>
      <c r="F27" s="1150" t="s">
        <v>3768</v>
      </c>
      <c r="G27" s="1150" t="s">
        <v>3768</v>
      </c>
      <c r="H27" s="1150" t="s">
        <v>3616</v>
      </c>
      <c r="I27" s="1150">
        <v>59523.360000000001</v>
      </c>
      <c r="J27" s="1150">
        <v>130951.38</v>
      </c>
      <c r="K27" s="1150" t="s">
        <v>3524</v>
      </c>
      <c r="L27" s="1150" t="s">
        <v>3524</v>
      </c>
      <c r="M27" s="1150">
        <v>0</v>
      </c>
      <c r="N27" s="1150">
        <v>0</v>
      </c>
      <c r="O27" s="1150" t="s">
        <v>3541</v>
      </c>
      <c r="P27" s="1150" t="s">
        <v>3769</v>
      </c>
      <c r="Q27" s="1150" t="s">
        <v>3543</v>
      </c>
      <c r="R27" s="1150" t="s">
        <v>3618</v>
      </c>
      <c r="S27" s="1150">
        <v>2.2000000000000002</v>
      </c>
      <c r="T27" s="1150">
        <v>2.2000000000000002</v>
      </c>
      <c r="U27" s="1150" t="s">
        <v>3524</v>
      </c>
      <c r="V27" s="1150" t="s">
        <v>3524</v>
      </c>
      <c r="W27" s="1150" t="s">
        <v>3524</v>
      </c>
      <c r="X27" s="1150" t="s">
        <v>3519</v>
      </c>
      <c r="Y27" s="1150" t="s">
        <v>3520</v>
      </c>
      <c r="Z27" s="1150" t="s">
        <v>3524</v>
      </c>
      <c r="AA27" s="1150" t="s">
        <v>3524</v>
      </c>
      <c r="AB27" s="1150" t="s">
        <v>3524</v>
      </c>
      <c r="AC27" s="1150" t="s">
        <v>3524</v>
      </c>
      <c r="AD27" s="3146">
        <v>45005.000497685185</v>
      </c>
      <c r="AE27" s="3146">
        <v>45027.000497685185</v>
      </c>
      <c r="AF27" s="3146">
        <v>45039.000497685185</v>
      </c>
      <c r="AG27" s="3146">
        <v>45039.000497685185</v>
      </c>
      <c r="AH27" s="1150" t="s">
        <v>3525</v>
      </c>
      <c r="AI27" s="1150" t="s">
        <v>3526</v>
      </c>
      <c r="AJ27" s="1150" t="s">
        <v>3770</v>
      </c>
      <c r="AK27" s="1150" t="s">
        <v>3771</v>
      </c>
      <c r="AL27" s="1150" t="s">
        <v>3733</v>
      </c>
      <c r="AM27" s="1150" t="s">
        <v>3573</v>
      </c>
      <c r="AN27" s="1150">
        <v>188205.82</v>
      </c>
      <c r="AO27" s="1150">
        <v>57000</v>
      </c>
      <c r="AP27" s="1150" t="s">
        <v>3524</v>
      </c>
      <c r="AQ27" s="1150">
        <v>188205.82</v>
      </c>
      <c r="AR27" s="1150">
        <v>31618.81</v>
      </c>
      <c r="AS27" s="1150">
        <v>31618.81</v>
      </c>
      <c r="AT27" s="1150">
        <v>2107.92</v>
      </c>
      <c r="AU27" s="1150">
        <v>2107.92</v>
      </c>
      <c r="AV27" s="1150">
        <v>14372</v>
      </c>
      <c r="AW27" s="1150">
        <v>14372</v>
      </c>
      <c r="AX27" s="1150" t="s">
        <v>3524</v>
      </c>
      <c r="AY27" s="1150" t="s">
        <v>3524</v>
      </c>
      <c r="AZ27" s="1150">
        <v>0</v>
      </c>
      <c r="BA27" s="1150" t="s">
        <v>3524</v>
      </c>
      <c r="BB27" s="1150" t="s">
        <v>3524</v>
      </c>
      <c r="BC27" s="1150">
        <v>29000</v>
      </c>
      <c r="BD27" s="1150">
        <v>29000</v>
      </c>
      <c r="BE27" s="1150" t="s">
        <v>3524</v>
      </c>
      <c r="BF27" s="1150" t="s">
        <v>3524</v>
      </c>
      <c r="BG27" s="1150" t="s">
        <v>3524</v>
      </c>
      <c r="BH27" s="1150" t="s">
        <v>3560</v>
      </c>
      <c r="BI27" s="1150" t="s">
        <v>3533</v>
      </c>
      <c r="BJ27" s="1150" t="s">
        <v>3534</v>
      </c>
      <c r="BK27" s="1150" t="s">
        <v>3535</v>
      </c>
      <c r="BL27" s="1150" t="s">
        <v>3524</v>
      </c>
      <c r="BM27" s="1150" t="s">
        <v>3524</v>
      </c>
    </row>
    <row r="28" spans="1:65">
      <c r="A28" s="1150" t="s">
        <v>3772</v>
      </c>
      <c r="B28" s="1150" t="s">
        <v>3507</v>
      </c>
      <c r="C28" s="1150" t="s">
        <v>3508</v>
      </c>
      <c r="D28" s="1150" t="s">
        <v>3509</v>
      </c>
      <c r="E28" s="1150" t="s">
        <v>3767</v>
      </c>
      <c r="F28" s="1150" t="s">
        <v>3773</v>
      </c>
      <c r="G28" s="1150" t="s">
        <v>3773</v>
      </c>
      <c r="H28" s="1150" t="s">
        <v>3774</v>
      </c>
      <c r="I28" s="1150">
        <v>87287.8</v>
      </c>
      <c r="J28" s="1150">
        <v>192033.17</v>
      </c>
      <c r="K28" s="1150" t="s">
        <v>3524</v>
      </c>
      <c r="L28" s="1150" t="s">
        <v>3524</v>
      </c>
      <c r="M28" s="1150">
        <v>0</v>
      </c>
      <c r="N28" s="1150">
        <v>0</v>
      </c>
      <c r="O28" s="1150" t="s">
        <v>3541</v>
      </c>
      <c r="P28" s="1150" t="s">
        <v>3769</v>
      </c>
      <c r="Q28" s="1150" t="s">
        <v>3543</v>
      </c>
      <c r="R28" s="1150" t="s">
        <v>3618</v>
      </c>
      <c r="S28" s="1150">
        <v>2.2000000000000002</v>
      </c>
      <c r="T28" s="1150">
        <v>2.2000000000000002</v>
      </c>
      <c r="U28" s="1150" t="s">
        <v>3524</v>
      </c>
      <c r="V28" s="1150" t="s">
        <v>3524</v>
      </c>
      <c r="W28" s="1150" t="s">
        <v>3524</v>
      </c>
      <c r="X28" s="1150" t="s">
        <v>3519</v>
      </c>
      <c r="Y28" s="1150" t="s">
        <v>3520</v>
      </c>
      <c r="Z28" s="1150" t="s">
        <v>3524</v>
      </c>
      <c r="AA28" s="1150" t="s">
        <v>3524</v>
      </c>
      <c r="AB28" s="1150" t="s">
        <v>3524</v>
      </c>
      <c r="AC28" s="1150" t="s">
        <v>3524</v>
      </c>
      <c r="AD28" s="3146">
        <v>45005.000497685185</v>
      </c>
      <c r="AE28" s="3146">
        <v>45025.000497685185</v>
      </c>
      <c r="AF28" s="3146">
        <v>45040.000497685185</v>
      </c>
      <c r="AG28" s="3146">
        <v>45040.000497685185</v>
      </c>
      <c r="AH28" s="1150" t="s">
        <v>3525</v>
      </c>
      <c r="AI28" s="1150" t="s">
        <v>3526</v>
      </c>
      <c r="AJ28" s="1150" t="s">
        <v>3621</v>
      </c>
      <c r="AK28" s="1150" t="s">
        <v>3627</v>
      </c>
      <c r="AL28" s="1150" t="s">
        <v>3628</v>
      </c>
      <c r="AM28" s="1150" t="s">
        <v>3629</v>
      </c>
      <c r="AN28" s="1150">
        <v>275143.78999999998</v>
      </c>
      <c r="AO28" s="1150">
        <v>83000</v>
      </c>
      <c r="AP28" s="1150" t="s">
        <v>3524</v>
      </c>
      <c r="AQ28" s="1150">
        <v>275143.78999999998</v>
      </c>
      <c r="AR28" s="1150">
        <v>31521.45</v>
      </c>
      <c r="AS28" s="1150">
        <v>31521.45</v>
      </c>
      <c r="AT28" s="1150">
        <v>2101.4299999999998</v>
      </c>
      <c r="AU28" s="1150">
        <v>2101.4299999999998</v>
      </c>
      <c r="AV28" s="1150">
        <v>14328</v>
      </c>
      <c r="AW28" s="1150">
        <v>14328</v>
      </c>
      <c r="AX28" s="1150" t="s">
        <v>3524</v>
      </c>
      <c r="AY28" s="1150" t="s">
        <v>3524</v>
      </c>
      <c r="AZ28" s="1150">
        <v>0</v>
      </c>
      <c r="BA28" s="1150" t="s">
        <v>3524</v>
      </c>
      <c r="BB28" s="1150" t="s">
        <v>3524</v>
      </c>
      <c r="BC28" s="1150" t="s">
        <v>3524</v>
      </c>
      <c r="BD28" s="1150">
        <v>29000</v>
      </c>
      <c r="BE28" s="1150" t="s">
        <v>3524</v>
      </c>
      <c r="BF28" s="1150" t="s">
        <v>3524</v>
      </c>
      <c r="BG28" s="1150" t="s">
        <v>3524</v>
      </c>
      <c r="BH28" s="1150" t="s">
        <v>3560</v>
      </c>
      <c r="BI28" s="1150" t="s">
        <v>3775</v>
      </c>
      <c r="BJ28" s="1150" t="s">
        <v>3534</v>
      </c>
      <c r="BK28" s="1150" t="s">
        <v>3535</v>
      </c>
      <c r="BL28" s="1150" t="s">
        <v>3524</v>
      </c>
      <c r="BM28" s="1150" t="s">
        <v>3524</v>
      </c>
    </row>
    <row r="29" spans="1:65">
      <c r="A29" s="1150" t="s">
        <v>3776</v>
      </c>
      <c r="B29" s="1150" t="s">
        <v>3507</v>
      </c>
      <c r="C29" s="1150" t="s">
        <v>3508</v>
      </c>
      <c r="D29" s="1150" t="s">
        <v>3537</v>
      </c>
      <c r="E29" s="1150" t="s">
        <v>3538</v>
      </c>
      <c r="F29" s="1150" t="s">
        <v>3777</v>
      </c>
      <c r="G29" s="1150" t="s">
        <v>3777</v>
      </c>
      <c r="H29" s="1150" t="s">
        <v>3778</v>
      </c>
      <c r="I29" s="1150">
        <v>31231.38</v>
      </c>
      <c r="J29" s="1150">
        <v>78078.45</v>
      </c>
      <c r="K29" s="1150" t="s">
        <v>3524</v>
      </c>
      <c r="L29" s="1150" t="s">
        <v>3524</v>
      </c>
      <c r="M29" s="1150">
        <v>0</v>
      </c>
      <c r="N29" s="1150">
        <v>0</v>
      </c>
      <c r="O29" s="1150" t="s">
        <v>3541</v>
      </c>
      <c r="P29" s="1150" t="s">
        <v>3656</v>
      </c>
      <c r="Q29" s="1150" t="s">
        <v>3656</v>
      </c>
      <c r="R29" s="1150" t="s">
        <v>3657</v>
      </c>
      <c r="S29" s="1150">
        <v>2.5</v>
      </c>
      <c r="T29" s="1150">
        <v>2.5</v>
      </c>
      <c r="U29" s="1150" t="s">
        <v>3524</v>
      </c>
      <c r="V29" s="1150">
        <v>0.3</v>
      </c>
      <c r="W29" s="1150" t="s">
        <v>3779</v>
      </c>
      <c r="X29" s="1150" t="s">
        <v>3519</v>
      </c>
      <c r="Y29" s="1150" t="s">
        <v>3780</v>
      </c>
      <c r="Z29" s="1150" t="s">
        <v>3781</v>
      </c>
      <c r="AA29" s="1150" t="s">
        <v>3584</v>
      </c>
      <c r="AB29" s="1150" t="s">
        <v>3524</v>
      </c>
      <c r="AC29" s="1150" t="s">
        <v>3524</v>
      </c>
      <c r="AD29" s="3146">
        <v>44925.000497685185</v>
      </c>
      <c r="AE29" s="3146">
        <v>44945.000497685185</v>
      </c>
      <c r="AF29" s="3146">
        <v>44964.000497685185</v>
      </c>
      <c r="AG29" s="3146">
        <v>44964.000497685185</v>
      </c>
      <c r="AH29" s="1150" t="s">
        <v>3525</v>
      </c>
      <c r="AI29" s="1150" t="s">
        <v>3526</v>
      </c>
      <c r="AJ29" s="1150" t="s">
        <v>3782</v>
      </c>
      <c r="AK29" s="1150" t="s">
        <v>3783</v>
      </c>
      <c r="AL29" s="1150" t="s">
        <v>3596</v>
      </c>
      <c r="AM29" s="1150" t="s">
        <v>3524</v>
      </c>
      <c r="AN29" s="1150">
        <v>172000</v>
      </c>
      <c r="AO29" s="1150">
        <v>35000</v>
      </c>
      <c r="AP29" s="3146">
        <v>44963.708831018521</v>
      </c>
      <c r="AQ29" s="1150">
        <v>172000</v>
      </c>
      <c r="AR29" s="1150">
        <v>55072.81</v>
      </c>
      <c r="AS29" s="1150">
        <v>55072.81</v>
      </c>
      <c r="AT29" s="1150">
        <v>3671.52</v>
      </c>
      <c r="AU29" s="1150">
        <v>3671.52</v>
      </c>
      <c r="AV29" s="1150">
        <v>22029</v>
      </c>
      <c r="AW29" s="1150">
        <v>22029</v>
      </c>
      <c r="AX29" s="1150" t="s">
        <v>3524</v>
      </c>
      <c r="AY29" s="1150" t="s">
        <v>3524</v>
      </c>
      <c r="AZ29" s="1150">
        <v>0</v>
      </c>
      <c r="BA29" s="1150">
        <v>197800</v>
      </c>
      <c r="BB29" s="1150" t="s">
        <v>3531</v>
      </c>
      <c r="BC29" s="1150">
        <v>45000</v>
      </c>
      <c r="BD29" s="1150">
        <v>45000</v>
      </c>
      <c r="BE29" s="1150">
        <v>25333</v>
      </c>
      <c r="BF29" s="1150">
        <v>15</v>
      </c>
      <c r="BG29" s="1150">
        <v>22970</v>
      </c>
      <c r="BH29" s="1150" t="s">
        <v>3560</v>
      </c>
      <c r="BI29" s="1150" t="s">
        <v>3784</v>
      </c>
      <c r="BJ29" s="1150" t="s">
        <v>3534</v>
      </c>
      <c r="BK29" s="1150" t="s">
        <v>3535</v>
      </c>
      <c r="BL29" s="3146">
        <v>44994.000497685185</v>
      </c>
      <c r="BM29" s="1150">
        <v>172000</v>
      </c>
    </row>
    <row r="30" spans="1:65">
      <c r="A30" s="1150" t="s">
        <v>3785</v>
      </c>
      <c r="B30" s="1150" t="s">
        <v>3507</v>
      </c>
      <c r="C30" s="1150" t="s">
        <v>3508</v>
      </c>
      <c r="D30" s="1150" t="s">
        <v>3509</v>
      </c>
      <c r="E30" s="1150" t="s">
        <v>3786</v>
      </c>
      <c r="F30" s="1150" t="s">
        <v>3787</v>
      </c>
      <c r="G30" s="1150" t="s">
        <v>3787</v>
      </c>
      <c r="H30" s="1150" t="s">
        <v>3788</v>
      </c>
      <c r="I30" s="1150">
        <v>71668</v>
      </c>
      <c r="J30" s="1150">
        <v>194641.99</v>
      </c>
      <c r="K30" s="1150" t="s">
        <v>3524</v>
      </c>
      <c r="L30" s="1150" t="s">
        <v>3524</v>
      </c>
      <c r="M30" s="1150">
        <v>0</v>
      </c>
      <c r="N30" s="1150">
        <v>0</v>
      </c>
      <c r="O30" s="1150" t="s">
        <v>3513</v>
      </c>
      <c r="P30" s="1150" t="s">
        <v>3789</v>
      </c>
      <c r="Q30" s="1150" t="s">
        <v>3790</v>
      </c>
      <c r="R30" s="1150" t="s">
        <v>3791</v>
      </c>
      <c r="S30" s="1150" t="s">
        <v>3792</v>
      </c>
      <c r="T30" s="1150">
        <v>3.5</v>
      </c>
      <c r="U30" s="1150" t="s">
        <v>3524</v>
      </c>
      <c r="V30" s="1150" t="s">
        <v>3793</v>
      </c>
      <c r="W30" s="1150" t="s">
        <v>3794</v>
      </c>
      <c r="X30" s="1150" t="s">
        <v>3519</v>
      </c>
      <c r="Y30" s="1150" t="s">
        <v>3780</v>
      </c>
      <c r="Z30" s="1150" t="s">
        <v>3795</v>
      </c>
      <c r="AA30" s="1150" t="s">
        <v>3584</v>
      </c>
      <c r="AB30" s="1150" t="s">
        <v>3523</v>
      </c>
      <c r="AC30" s="1150" t="s">
        <v>3524</v>
      </c>
      <c r="AD30" s="3146">
        <v>44925.000497685185</v>
      </c>
      <c r="AE30" s="3146">
        <v>44945.000497685185</v>
      </c>
      <c r="AF30" s="3146">
        <v>44964.000497685185</v>
      </c>
      <c r="AG30" s="3146">
        <v>44964.000497685185</v>
      </c>
      <c r="AH30" s="1150" t="s">
        <v>3525</v>
      </c>
      <c r="AI30" s="1150" t="s">
        <v>3526</v>
      </c>
      <c r="AJ30" s="1150" t="s">
        <v>3796</v>
      </c>
      <c r="AK30" s="1150" t="s">
        <v>3797</v>
      </c>
      <c r="AL30" s="1150" t="s">
        <v>3685</v>
      </c>
      <c r="AM30" s="1150" t="s">
        <v>3524</v>
      </c>
      <c r="AN30" s="1150">
        <v>311200</v>
      </c>
      <c r="AO30" s="1150">
        <v>63000</v>
      </c>
      <c r="AP30" s="1150" t="s">
        <v>3524</v>
      </c>
      <c r="AQ30" s="1150">
        <v>311200</v>
      </c>
      <c r="AR30" s="1150">
        <v>43422.45</v>
      </c>
      <c r="AS30" s="1150">
        <v>43422.45</v>
      </c>
      <c r="AT30" s="1150">
        <v>2894.83</v>
      </c>
      <c r="AU30" s="1150">
        <v>2894.83</v>
      </c>
      <c r="AV30" s="1150">
        <v>15988</v>
      </c>
      <c r="AW30" s="1150">
        <v>15988</v>
      </c>
      <c r="AX30" s="1150" t="s">
        <v>3524</v>
      </c>
      <c r="AY30" s="1150" t="s">
        <v>3524</v>
      </c>
      <c r="AZ30" s="1150">
        <v>0</v>
      </c>
      <c r="BA30" s="1150">
        <v>357880</v>
      </c>
      <c r="BB30" s="1150" t="s">
        <v>3531</v>
      </c>
      <c r="BC30" s="1150">
        <v>58000</v>
      </c>
      <c r="BD30" s="1150">
        <v>58000</v>
      </c>
      <c r="BE30" s="1150">
        <v>18387</v>
      </c>
      <c r="BF30" s="1150">
        <v>15</v>
      </c>
      <c r="BG30" s="1150">
        <v>-5640</v>
      </c>
      <c r="BH30" s="1150" t="s">
        <v>3532</v>
      </c>
      <c r="BI30" s="1150" t="s">
        <v>3533</v>
      </c>
      <c r="BJ30" s="1150" t="s">
        <v>3534</v>
      </c>
      <c r="BK30" s="1150" t="s">
        <v>3535</v>
      </c>
      <c r="BL30" s="1150" t="s">
        <v>3524</v>
      </c>
      <c r="BM30" s="1150" t="s">
        <v>3524</v>
      </c>
    </row>
    <row r="31" spans="1:65">
      <c r="A31" s="1150" t="s">
        <v>3798</v>
      </c>
      <c r="B31" s="1150" t="s">
        <v>3507</v>
      </c>
      <c r="C31" s="1150" t="s">
        <v>3508</v>
      </c>
      <c r="D31" s="1150" t="s">
        <v>3537</v>
      </c>
      <c r="E31" s="1150" t="s">
        <v>3632</v>
      </c>
      <c r="F31" s="1150" t="s">
        <v>3799</v>
      </c>
      <c r="G31" s="1150" t="s">
        <v>3799</v>
      </c>
      <c r="H31" s="1150" t="s">
        <v>3800</v>
      </c>
      <c r="I31" s="1150">
        <v>17779.03</v>
      </c>
      <c r="J31" s="1150">
        <v>18677</v>
      </c>
      <c r="K31" s="1150" t="s">
        <v>3524</v>
      </c>
      <c r="L31" s="1150" t="s">
        <v>3524</v>
      </c>
      <c r="M31" s="1150">
        <v>0</v>
      </c>
      <c r="N31" s="1150">
        <v>0</v>
      </c>
      <c r="O31" s="1150" t="s">
        <v>3513</v>
      </c>
      <c r="P31" s="1150" t="s">
        <v>3580</v>
      </c>
      <c r="Q31" s="1150" t="s">
        <v>3580</v>
      </c>
      <c r="R31" s="1150" t="s">
        <v>3801</v>
      </c>
      <c r="S31" s="1150" t="s">
        <v>3802</v>
      </c>
      <c r="T31" s="1150">
        <v>1.1299999999999999</v>
      </c>
      <c r="U31" s="1150" t="s">
        <v>3524</v>
      </c>
      <c r="V31" s="1150" t="s">
        <v>3803</v>
      </c>
      <c r="W31" s="1150" t="s">
        <v>3804</v>
      </c>
      <c r="X31" s="1150" t="s">
        <v>3519</v>
      </c>
      <c r="Y31" s="1150" t="s">
        <v>3805</v>
      </c>
      <c r="Z31" s="1150" t="s">
        <v>3521</v>
      </c>
      <c r="AA31" s="1150" t="s">
        <v>3522</v>
      </c>
      <c r="AB31" s="1150" t="s">
        <v>3524</v>
      </c>
      <c r="AC31" s="1150" t="s">
        <v>3524</v>
      </c>
      <c r="AD31" s="3146">
        <v>44791.000497685185</v>
      </c>
      <c r="AE31" s="3146">
        <v>44811.000497685185</v>
      </c>
      <c r="AF31" s="3146">
        <v>44826.000497685185</v>
      </c>
      <c r="AG31" s="3146">
        <v>44826.000497685185</v>
      </c>
      <c r="AH31" s="1150" t="s">
        <v>3525</v>
      </c>
      <c r="AI31" s="1150" t="s">
        <v>3526</v>
      </c>
      <c r="AJ31" s="1150" t="s">
        <v>3806</v>
      </c>
      <c r="AK31" s="1150" t="s">
        <v>3807</v>
      </c>
      <c r="AL31" s="1150" t="s">
        <v>3529</v>
      </c>
      <c r="AM31" s="1150" t="s">
        <v>3530</v>
      </c>
      <c r="AN31" s="1150">
        <v>43000</v>
      </c>
      <c r="AO31" s="1150">
        <v>8600</v>
      </c>
      <c r="AP31" s="3146">
        <v>44825.625497685185</v>
      </c>
      <c r="AQ31" s="1150">
        <v>43000</v>
      </c>
      <c r="AR31" s="1150">
        <v>24185.79</v>
      </c>
      <c r="AS31" s="1150">
        <v>24185.79</v>
      </c>
      <c r="AT31" s="1150">
        <v>1612.39</v>
      </c>
      <c r="AU31" s="1150">
        <v>1612.39</v>
      </c>
      <c r="AV31" s="1150">
        <v>23023</v>
      </c>
      <c r="AW31" s="1150">
        <v>23023</v>
      </c>
      <c r="AX31" s="1150" t="s">
        <v>3524</v>
      </c>
      <c r="AY31" s="1150" t="s">
        <v>3524</v>
      </c>
      <c r="AZ31" s="1150">
        <v>0</v>
      </c>
      <c r="BA31" s="1150">
        <v>49450</v>
      </c>
      <c r="BB31" s="1150" t="s">
        <v>3531</v>
      </c>
      <c r="BC31" s="1150">
        <v>49000</v>
      </c>
      <c r="BD31" s="1150">
        <v>49000</v>
      </c>
      <c r="BE31" s="1150">
        <v>26476</v>
      </c>
      <c r="BF31" s="1150">
        <v>15</v>
      </c>
      <c r="BG31" s="1150">
        <v>20906</v>
      </c>
      <c r="BH31" s="1150" t="s">
        <v>3560</v>
      </c>
      <c r="BI31" s="1150" t="s">
        <v>3808</v>
      </c>
      <c r="BJ31" s="1150" t="s">
        <v>3534</v>
      </c>
      <c r="BK31" s="1150" t="s">
        <v>3535</v>
      </c>
      <c r="BL31" s="3146">
        <v>44827.000497685185</v>
      </c>
      <c r="BM31" s="1150">
        <v>43000</v>
      </c>
    </row>
    <row r="32" spans="1:65">
      <c r="A32" s="1150" t="s">
        <v>3809</v>
      </c>
      <c r="B32" s="1150" t="s">
        <v>3507</v>
      </c>
      <c r="C32" s="1150" t="s">
        <v>3508</v>
      </c>
      <c r="D32" s="1150" t="s">
        <v>3509</v>
      </c>
      <c r="E32" s="1150" t="s">
        <v>3748</v>
      </c>
      <c r="F32" s="1150" t="s">
        <v>3810</v>
      </c>
      <c r="G32" s="1150" t="s">
        <v>3810</v>
      </c>
      <c r="H32" s="1150" t="s">
        <v>3811</v>
      </c>
      <c r="I32" s="1150">
        <v>21625</v>
      </c>
      <c r="J32" s="1150">
        <v>43250</v>
      </c>
      <c r="K32" s="1150" t="s">
        <v>3524</v>
      </c>
      <c r="L32" s="1150" t="s">
        <v>3524</v>
      </c>
      <c r="M32" s="1150">
        <v>0</v>
      </c>
      <c r="N32" s="1150">
        <v>0</v>
      </c>
      <c r="O32" s="1150" t="s">
        <v>3541</v>
      </c>
      <c r="P32" s="1150" t="s">
        <v>3656</v>
      </c>
      <c r="Q32" s="1150" t="s">
        <v>3656</v>
      </c>
      <c r="R32" s="1150" t="s">
        <v>3657</v>
      </c>
      <c r="S32" s="1150" t="s">
        <v>3812</v>
      </c>
      <c r="T32" s="1150">
        <v>2</v>
      </c>
      <c r="U32" s="1150" t="s">
        <v>3524</v>
      </c>
      <c r="V32" s="1150">
        <v>0.3</v>
      </c>
      <c r="W32" s="1150" t="s">
        <v>3707</v>
      </c>
      <c r="X32" s="1150" t="s">
        <v>3519</v>
      </c>
      <c r="Y32" s="1150" t="s">
        <v>3805</v>
      </c>
      <c r="Z32" s="1150" t="s">
        <v>3813</v>
      </c>
      <c r="AA32" s="1150" t="s">
        <v>3814</v>
      </c>
      <c r="AB32" s="1150" t="s">
        <v>3524</v>
      </c>
      <c r="AC32" s="1150" t="s">
        <v>3524</v>
      </c>
      <c r="AD32" s="3146">
        <v>44791.000497685185</v>
      </c>
      <c r="AE32" s="3146">
        <v>44811.000497685185</v>
      </c>
      <c r="AF32" s="3146">
        <v>44826.000497685185</v>
      </c>
      <c r="AG32" s="3146">
        <v>44826.000497685185</v>
      </c>
      <c r="AH32" s="1150" t="s">
        <v>3525</v>
      </c>
      <c r="AI32" s="1150" t="s">
        <v>3526</v>
      </c>
      <c r="AJ32" s="1150" t="s">
        <v>3815</v>
      </c>
      <c r="AK32" s="1150" t="s">
        <v>3816</v>
      </c>
      <c r="AL32" s="1150" t="s">
        <v>3529</v>
      </c>
      <c r="AM32" s="1150" t="s">
        <v>3530</v>
      </c>
      <c r="AN32" s="1150">
        <v>143000</v>
      </c>
      <c r="AO32" s="1150">
        <v>29000</v>
      </c>
      <c r="AP32" s="3146">
        <v>44825.625497685185</v>
      </c>
      <c r="AQ32" s="1150">
        <v>143000</v>
      </c>
      <c r="AR32" s="1150">
        <v>66127.16</v>
      </c>
      <c r="AS32" s="1150">
        <v>66127.16</v>
      </c>
      <c r="AT32" s="1150">
        <v>4408.4799999999996</v>
      </c>
      <c r="AU32" s="1150">
        <v>4408.4799999999996</v>
      </c>
      <c r="AV32" s="1150">
        <v>33064</v>
      </c>
      <c r="AW32" s="1150">
        <v>33064</v>
      </c>
      <c r="AX32" s="1150" t="s">
        <v>3524</v>
      </c>
      <c r="AY32" s="1150" t="s">
        <v>3524</v>
      </c>
      <c r="AZ32" s="1150">
        <v>0</v>
      </c>
      <c r="BA32" s="1150">
        <v>164450</v>
      </c>
      <c r="BB32" s="1150" t="s">
        <v>3531</v>
      </c>
      <c r="BC32" s="1150">
        <v>59000</v>
      </c>
      <c r="BD32" s="1150">
        <v>59000</v>
      </c>
      <c r="BE32" s="1150">
        <v>38023</v>
      </c>
      <c r="BF32" s="1150">
        <v>15</v>
      </c>
      <c r="BG32" s="1150">
        <v>25936</v>
      </c>
      <c r="BH32" s="1150" t="s">
        <v>3560</v>
      </c>
      <c r="BI32" s="1150" t="s">
        <v>3817</v>
      </c>
      <c r="BJ32" s="1150" t="s">
        <v>3534</v>
      </c>
      <c r="BK32" s="1150" t="s">
        <v>3535</v>
      </c>
      <c r="BL32" s="1150" t="s">
        <v>3524</v>
      </c>
      <c r="BM32" s="1150" t="s">
        <v>3524</v>
      </c>
    </row>
    <row r="33" spans="1:65">
      <c r="A33" s="1150" t="s">
        <v>3818</v>
      </c>
      <c r="B33" s="1150" t="s">
        <v>3507</v>
      </c>
      <c r="C33" s="1150" t="s">
        <v>3508</v>
      </c>
      <c r="D33" s="1150" t="s">
        <v>3537</v>
      </c>
      <c r="E33" s="1150" t="s">
        <v>3538</v>
      </c>
      <c r="F33" s="1150" t="s">
        <v>3819</v>
      </c>
      <c r="G33" s="1150" t="s">
        <v>3819</v>
      </c>
      <c r="H33" s="1150" t="s">
        <v>3820</v>
      </c>
      <c r="I33" s="1150">
        <v>48701.2</v>
      </c>
      <c r="J33" s="1150">
        <v>111831</v>
      </c>
      <c r="K33" s="1150" t="s">
        <v>3524</v>
      </c>
      <c r="L33" s="1150" t="s">
        <v>3524</v>
      </c>
      <c r="M33" s="1150">
        <v>0</v>
      </c>
      <c r="N33" s="1150">
        <v>0</v>
      </c>
      <c r="O33" s="1150" t="s">
        <v>3513</v>
      </c>
      <c r="P33" s="1150" t="s">
        <v>3580</v>
      </c>
      <c r="Q33" s="1150" t="s">
        <v>3515</v>
      </c>
      <c r="R33" s="1150" t="s">
        <v>3801</v>
      </c>
      <c r="S33" s="1150" t="s">
        <v>3821</v>
      </c>
      <c r="T33" s="1150">
        <v>2.4</v>
      </c>
      <c r="U33" s="1150" t="s">
        <v>3524</v>
      </c>
      <c r="V33" s="1150" t="s">
        <v>3822</v>
      </c>
      <c r="W33" s="1150" t="s">
        <v>3823</v>
      </c>
      <c r="X33" s="1150" t="s">
        <v>3519</v>
      </c>
      <c r="Y33" s="1150" t="s">
        <v>3805</v>
      </c>
      <c r="Z33" s="1150" t="s">
        <v>3824</v>
      </c>
      <c r="AA33" s="1150" t="s">
        <v>3522</v>
      </c>
      <c r="AB33" s="1150" t="s">
        <v>3524</v>
      </c>
      <c r="AC33" s="1150" t="s">
        <v>3524</v>
      </c>
      <c r="AD33" s="3146">
        <v>44791.000497685185</v>
      </c>
      <c r="AE33" s="3146">
        <v>44811.000497685185</v>
      </c>
      <c r="AF33" s="3146">
        <v>44826.000497685185</v>
      </c>
      <c r="AG33" s="3146">
        <v>44826.000497685185</v>
      </c>
      <c r="AH33" s="1150" t="s">
        <v>3525</v>
      </c>
      <c r="AI33" s="1150" t="s">
        <v>3526</v>
      </c>
      <c r="AJ33" s="1150" t="s">
        <v>3724</v>
      </c>
      <c r="AK33" s="1150" t="s">
        <v>3548</v>
      </c>
      <c r="AL33" s="1150" t="s">
        <v>3529</v>
      </c>
      <c r="AM33" s="1150" t="s">
        <v>3530</v>
      </c>
      <c r="AN33" s="1150">
        <v>167000</v>
      </c>
      <c r="AO33" s="1150">
        <v>34000</v>
      </c>
      <c r="AP33" s="3146">
        <v>44825.625497685185</v>
      </c>
      <c r="AQ33" s="1150">
        <v>167000</v>
      </c>
      <c r="AR33" s="1150">
        <v>34290.730000000003</v>
      </c>
      <c r="AS33" s="1150">
        <v>34290.730000000003</v>
      </c>
      <c r="AT33" s="1150">
        <v>2286.0500000000002</v>
      </c>
      <c r="AU33" s="1150">
        <v>2286.0500000000002</v>
      </c>
      <c r="AV33" s="1150">
        <v>14933</v>
      </c>
      <c r="AW33" s="1150">
        <v>14933</v>
      </c>
      <c r="AX33" s="1150" t="s">
        <v>3524</v>
      </c>
      <c r="AY33" s="1150" t="s">
        <v>3524</v>
      </c>
      <c r="AZ33" s="1150">
        <v>0</v>
      </c>
      <c r="BA33" s="1150">
        <v>192050</v>
      </c>
      <c r="BB33" s="1150" t="s">
        <v>3531</v>
      </c>
      <c r="BC33" s="1150">
        <v>45000</v>
      </c>
      <c r="BD33" s="1150">
        <v>45000</v>
      </c>
      <c r="BE33" s="1150">
        <v>17173</v>
      </c>
      <c r="BF33" s="1150">
        <v>15</v>
      </c>
      <c r="BG33" s="1150">
        <v>29721</v>
      </c>
      <c r="BH33" s="1150" t="s">
        <v>3560</v>
      </c>
      <c r="BI33" s="1150" t="s">
        <v>3825</v>
      </c>
      <c r="BJ33" s="1150" t="s">
        <v>3534</v>
      </c>
      <c r="BK33" s="1150" t="s">
        <v>3535</v>
      </c>
      <c r="BL33" s="3146">
        <v>44827.000497685185</v>
      </c>
      <c r="BM33" s="1150">
        <v>167000</v>
      </c>
    </row>
    <row r="34" spans="1:65">
      <c r="A34" s="1150" t="s">
        <v>3826</v>
      </c>
      <c r="B34" s="1150" t="s">
        <v>3507</v>
      </c>
      <c r="C34" s="1150" t="s">
        <v>3508</v>
      </c>
      <c r="D34" s="1150" t="s">
        <v>3509</v>
      </c>
      <c r="E34" s="1150" t="s">
        <v>3510</v>
      </c>
      <c r="F34" s="1150" t="s">
        <v>3827</v>
      </c>
      <c r="G34" s="1150" t="s">
        <v>3827</v>
      </c>
      <c r="H34" s="1150" t="s">
        <v>3512</v>
      </c>
      <c r="I34" s="1150">
        <v>27876.52</v>
      </c>
      <c r="J34" s="1150">
        <v>69691.3</v>
      </c>
      <c r="K34" s="1150" t="s">
        <v>3524</v>
      </c>
      <c r="L34" s="1150" t="s">
        <v>3524</v>
      </c>
      <c r="M34" s="1150">
        <v>0</v>
      </c>
      <c r="N34" s="1150">
        <v>0</v>
      </c>
      <c r="O34" s="1150" t="s">
        <v>3513</v>
      </c>
      <c r="P34" s="1150" t="s">
        <v>3828</v>
      </c>
      <c r="Q34" s="1150" t="s">
        <v>3829</v>
      </c>
      <c r="R34" s="1150" t="s">
        <v>3830</v>
      </c>
      <c r="S34" s="1150">
        <v>2.5</v>
      </c>
      <c r="T34" s="1150">
        <v>2.5</v>
      </c>
      <c r="U34" s="1150">
        <v>5.74</v>
      </c>
      <c r="V34" s="1150" t="s">
        <v>3524</v>
      </c>
      <c r="W34" s="1150">
        <v>45</v>
      </c>
      <c r="X34" s="1150" t="s">
        <v>3519</v>
      </c>
      <c r="Y34" s="1150" t="s">
        <v>3805</v>
      </c>
      <c r="Z34" s="1150" t="s">
        <v>3824</v>
      </c>
      <c r="AA34" s="1150" t="s">
        <v>3522</v>
      </c>
      <c r="AB34" s="1150" t="s">
        <v>3524</v>
      </c>
      <c r="AC34" s="1150" t="s">
        <v>3524</v>
      </c>
      <c r="AD34" s="3146">
        <v>44791.000497685185</v>
      </c>
      <c r="AE34" s="3146">
        <v>44811.000497685185</v>
      </c>
      <c r="AF34" s="3146">
        <v>44826.000497685185</v>
      </c>
      <c r="AG34" s="3146">
        <v>44826.000497685185</v>
      </c>
      <c r="AH34" s="1150" t="s">
        <v>3525</v>
      </c>
      <c r="AI34" s="1150" t="s">
        <v>3526</v>
      </c>
      <c r="AJ34" s="1150" t="s">
        <v>3831</v>
      </c>
      <c r="AK34" s="1150" t="s">
        <v>3832</v>
      </c>
      <c r="AL34" s="1150" t="s">
        <v>3833</v>
      </c>
      <c r="AM34" s="1150" t="s">
        <v>3834</v>
      </c>
      <c r="AN34" s="1150">
        <v>250000</v>
      </c>
      <c r="AO34" s="1150">
        <v>50000</v>
      </c>
      <c r="AP34" s="3146">
        <v>44825.625497685185</v>
      </c>
      <c r="AQ34" s="1150">
        <v>250000</v>
      </c>
      <c r="AR34" s="1150">
        <v>89681.21</v>
      </c>
      <c r="AS34" s="1150">
        <v>89681.21</v>
      </c>
      <c r="AT34" s="1150">
        <v>5978.75</v>
      </c>
      <c r="AU34" s="1150">
        <v>5978.75</v>
      </c>
      <c r="AV34" s="1150">
        <v>35872</v>
      </c>
      <c r="AW34" s="1150">
        <v>35872</v>
      </c>
      <c r="AX34" s="1150" t="s">
        <v>3524</v>
      </c>
      <c r="AY34" s="1150" t="s">
        <v>3524</v>
      </c>
      <c r="AZ34" s="1150">
        <v>0</v>
      </c>
      <c r="BA34" s="1150">
        <v>287500</v>
      </c>
      <c r="BB34" s="1150" t="s">
        <v>3531</v>
      </c>
      <c r="BC34" s="1150">
        <v>66000</v>
      </c>
      <c r="BD34" s="1150">
        <v>66000</v>
      </c>
      <c r="BE34" s="1150">
        <v>41253</v>
      </c>
      <c r="BF34" s="1150">
        <v>15</v>
      </c>
      <c r="BG34" s="1150">
        <v>27699</v>
      </c>
      <c r="BH34" s="1150" t="s">
        <v>3532</v>
      </c>
      <c r="BI34" s="1150" t="s">
        <v>3764</v>
      </c>
      <c r="BJ34" s="1150" t="s">
        <v>3534</v>
      </c>
      <c r="BK34" s="1150" t="s">
        <v>3535</v>
      </c>
      <c r="BL34" s="3146">
        <v>44827.000497685185</v>
      </c>
      <c r="BM34" s="1150">
        <v>250000</v>
      </c>
    </row>
    <row r="35" spans="1:65">
      <c r="A35" s="1150" t="s">
        <v>3835</v>
      </c>
      <c r="B35" s="1150" t="s">
        <v>3507</v>
      </c>
      <c r="C35" s="1150" t="s">
        <v>3508</v>
      </c>
      <c r="D35" s="1150" t="s">
        <v>3509</v>
      </c>
      <c r="E35" s="1150" t="s">
        <v>3748</v>
      </c>
      <c r="F35" s="1150" t="s">
        <v>3836</v>
      </c>
      <c r="G35" s="1150" t="s">
        <v>3836</v>
      </c>
      <c r="H35" s="1150" t="s">
        <v>3837</v>
      </c>
      <c r="I35" s="1150">
        <v>22115.200000000001</v>
      </c>
      <c r="J35" s="1150">
        <v>44230.400000000001</v>
      </c>
      <c r="K35" s="1150" t="s">
        <v>3524</v>
      </c>
      <c r="L35" s="1150" t="s">
        <v>3524</v>
      </c>
      <c r="M35" s="1150">
        <v>0</v>
      </c>
      <c r="N35" s="1150">
        <v>0</v>
      </c>
      <c r="O35" s="1150" t="s">
        <v>3541</v>
      </c>
      <c r="P35" s="1150" t="s">
        <v>3656</v>
      </c>
      <c r="Q35" s="1150" t="s">
        <v>3656</v>
      </c>
      <c r="R35" s="1150" t="s">
        <v>3618</v>
      </c>
      <c r="S35" s="1150">
        <v>2</v>
      </c>
      <c r="T35" s="1150">
        <v>2</v>
      </c>
      <c r="U35" s="1150" t="s">
        <v>3524</v>
      </c>
      <c r="V35" s="1150">
        <v>0.3</v>
      </c>
      <c r="W35" s="1150">
        <v>45</v>
      </c>
      <c r="X35" s="1150" t="s">
        <v>3519</v>
      </c>
      <c r="Y35" s="1150" t="s">
        <v>3838</v>
      </c>
      <c r="Z35" s="1150" t="s">
        <v>3839</v>
      </c>
      <c r="AA35" s="1150" t="s">
        <v>3840</v>
      </c>
      <c r="AB35" s="1150" t="s">
        <v>3524</v>
      </c>
      <c r="AC35" s="1150" t="s">
        <v>3524</v>
      </c>
      <c r="AD35" s="3146">
        <v>44568.000497685185</v>
      </c>
      <c r="AE35" s="3146">
        <v>44589.000497685185</v>
      </c>
      <c r="AF35" s="3146">
        <v>44608.000497685185</v>
      </c>
      <c r="AG35" s="3146">
        <v>44609.000497685185</v>
      </c>
      <c r="AH35" s="1150" t="s">
        <v>3525</v>
      </c>
      <c r="AI35" s="1150" t="s">
        <v>3526</v>
      </c>
      <c r="AJ35" s="1150" t="s">
        <v>3841</v>
      </c>
      <c r="AK35" s="1150" t="s">
        <v>3842</v>
      </c>
      <c r="AL35" s="1150" t="s">
        <v>3843</v>
      </c>
      <c r="AM35" s="1150" t="s">
        <v>3524</v>
      </c>
      <c r="AN35" s="1150">
        <v>146000</v>
      </c>
      <c r="AO35" s="1150">
        <v>30000</v>
      </c>
      <c r="AP35" s="3146">
        <v>44607.625497685185</v>
      </c>
      <c r="AQ35" s="1150">
        <v>147600</v>
      </c>
      <c r="AR35" s="1150">
        <v>66017.94</v>
      </c>
      <c r="AS35" s="1150">
        <v>66741.429999999993</v>
      </c>
      <c r="AT35" s="1150">
        <v>4401.2</v>
      </c>
      <c r="AU35" s="1150">
        <v>4449.43</v>
      </c>
      <c r="AV35" s="1150">
        <v>33009</v>
      </c>
      <c r="AW35" s="1150">
        <v>33371</v>
      </c>
      <c r="AX35" s="1150" t="s">
        <v>3524</v>
      </c>
      <c r="AY35" s="1150" t="s">
        <v>3524</v>
      </c>
      <c r="AZ35" s="1150">
        <v>1.1000000000000001</v>
      </c>
      <c r="BA35" s="1150">
        <v>153300</v>
      </c>
      <c r="BB35" s="1150" t="s">
        <v>3531</v>
      </c>
      <c r="BC35" s="1150">
        <v>58000</v>
      </c>
      <c r="BD35" s="1150">
        <v>58000</v>
      </c>
      <c r="BE35" s="1150">
        <v>34659</v>
      </c>
      <c r="BF35" s="1150">
        <v>5</v>
      </c>
      <c r="BG35" s="1150">
        <v>24629</v>
      </c>
      <c r="BH35" s="1150" t="s">
        <v>3560</v>
      </c>
      <c r="BI35" s="1150" t="s">
        <v>3844</v>
      </c>
      <c r="BJ35" s="1150" t="s">
        <v>3534</v>
      </c>
      <c r="BK35" s="1150" t="s">
        <v>3535</v>
      </c>
      <c r="BL35" s="3146">
        <v>44639.000497685185</v>
      </c>
      <c r="BM35" s="1150">
        <v>147600</v>
      </c>
    </row>
    <row r="36" spans="1:65">
      <c r="A36" s="1150" t="s">
        <v>3845</v>
      </c>
      <c r="B36" s="1150" t="s">
        <v>3507</v>
      </c>
      <c r="C36" s="1150" t="s">
        <v>3508</v>
      </c>
      <c r="D36" s="1150" t="s">
        <v>3537</v>
      </c>
      <c r="E36" s="1150" t="s">
        <v>3632</v>
      </c>
      <c r="F36" s="1150" t="s">
        <v>3846</v>
      </c>
      <c r="G36" s="1150" t="s">
        <v>3846</v>
      </c>
      <c r="H36" s="1150" t="s">
        <v>3847</v>
      </c>
      <c r="I36" s="1150">
        <v>32057.19</v>
      </c>
      <c r="J36" s="1150">
        <v>51292</v>
      </c>
      <c r="K36" s="1150" t="s">
        <v>3524</v>
      </c>
      <c r="L36" s="1150" t="s">
        <v>3524</v>
      </c>
      <c r="M36" s="1150">
        <v>0</v>
      </c>
      <c r="N36" s="1150">
        <v>0</v>
      </c>
      <c r="O36" s="1150" t="s">
        <v>3541</v>
      </c>
      <c r="P36" s="1150" t="s">
        <v>3656</v>
      </c>
      <c r="Q36" s="1150" t="s">
        <v>3656</v>
      </c>
      <c r="R36" s="1150" t="s">
        <v>3618</v>
      </c>
      <c r="S36" s="1150">
        <v>1.6</v>
      </c>
      <c r="T36" s="1150">
        <v>1.6</v>
      </c>
      <c r="U36" s="1150" t="s">
        <v>3524</v>
      </c>
      <c r="V36" s="1150">
        <v>0.3</v>
      </c>
      <c r="W36" s="1150">
        <v>18</v>
      </c>
      <c r="X36" s="1150" t="s">
        <v>3519</v>
      </c>
      <c r="Y36" s="1150" t="s">
        <v>3838</v>
      </c>
      <c r="Z36" s="1150" t="s">
        <v>3848</v>
      </c>
      <c r="AA36" s="1150" t="s">
        <v>3849</v>
      </c>
      <c r="AB36" s="1150" t="s">
        <v>3524</v>
      </c>
      <c r="AC36" s="1150" t="s">
        <v>3524</v>
      </c>
      <c r="AD36" s="3146">
        <v>44568.000497685185</v>
      </c>
      <c r="AE36" s="3146">
        <v>44589.000497685185</v>
      </c>
      <c r="AF36" s="3146">
        <v>44608.000497685185</v>
      </c>
      <c r="AG36" s="3146">
        <v>44608.000497685185</v>
      </c>
      <c r="AH36" s="1150" t="s">
        <v>3525</v>
      </c>
      <c r="AI36" s="1150" t="s">
        <v>3526</v>
      </c>
      <c r="AJ36" s="1150" t="s">
        <v>3782</v>
      </c>
      <c r="AK36" s="1150" t="s">
        <v>3783</v>
      </c>
      <c r="AL36" s="1150" t="s">
        <v>3596</v>
      </c>
      <c r="AM36" s="1150" t="s">
        <v>3524</v>
      </c>
      <c r="AN36" s="1150">
        <v>81000</v>
      </c>
      <c r="AO36" s="1150">
        <v>17000</v>
      </c>
      <c r="AP36" s="3146">
        <v>44607.625497685185</v>
      </c>
      <c r="AQ36" s="1150">
        <v>81000</v>
      </c>
      <c r="AR36" s="1150">
        <v>25267.34</v>
      </c>
      <c r="AS36" s="1150">
        <v>25267.34</v>
      </c>
      <c r="AT36" s="1150">
        <v>1684.49</v>
      </c>
      <c r="AU36" s="1150">
        <v>1684.49</v>
      </c>
      <c r="AV36" s="1150">
        <v>15792</v>
      </c>
      <c r="AW36" s="1150">
        <v>15792</v>
      </c>
      <c r="AX36" s="1150" t="s">
        <v>3524</v>
      </c>
      <c r="AY36" s="1150" t="s">
        <v>3524</v>
      </c>
      <c r="AZ36" s="1150">
        <v>0</v>
      </c>
      <c r="BA36" s="1150">
        <v>93150</v>
      </c>
      <c r="BB36" s="1150" t="s">
        <v>3531</v>
      </c>
      <c r="BC36" s="1150">
        <v>45000</v>
      </c>
      <c r="BD36" s="1150">
        <v>45000</v>
      </c>
      <c r="BE36" s="1150">
        <v>18161</v>
      </c>
      <c r="BF36" s="1150">
        <v>15</v>
      </c>
      <c r="BG36" s="1150">
        <v>29208</v>
      </c>
      <c r="BH36" s="1150" t="s">
        <v>3560</v>
      </c>
      <c r="BI36" s="1150" t="s">
        <v>3850</v>
      </c>
      <c r="BJ36" s="1150" t="s">
        <v>3534</v>
      </c>
      <c r="BK36" s="1150" t="s">
        <v>3535</v>
      </c>
      <c r="BL36" s="3146">
        <v>44640.000497685185</v>
      </c>
      <c r="BM36" s="1150">
        <v>81000</v>
      </c>
    </row>
    <row r="37" spans="1:65">
      <c r="A37" s="1150" t="s">
        <v>3851</v>
      </c>
      <c r="B37" s="1150" t="s">
        <v>3507</v>
      </c>
      <c r="C37" s="1150" t="s">
        <v>3508</v>
      </c>
      <c r="D37" s="1150" t="s">
        <v>3509</v>
      </c>
      <c r="E37" s="1150" t="s">
        <v>3852</v>
      </c>
      <c r="F37" s="1150" t="s">
        <v>3853</v>
      </c>
      <c r="G37" s="1150" t="s">
        <v>3854</v>
      </c>
      <c r="H37" s="1150" t="s">
        <v>3855</v>
      </c>
      <c r="I37" s="1150">
        <v>23519.8</v>
      </c>
      <c r="J37" s="1150">
        <v>58799.5</v>
      </c>
      <c r="K37" s="1150" t="s">
        <v>3524</v>
      </c>
      <c r="L37" s="1150" t="s">
        <v>3524</v>
      </c>
      <c r="M37" s="1150">
        <v>0</v>
      </c>
      <c r="N37" s="1150">
        <v>0</v>
      </c>
      <c r="O37" s="1150" t="s">
        <v>3541</v>
      </c>
      <c r="P37" s="1150" t="s">
        <v>3656</v>
      </c>
      <c r="Q37" s="1150" t="s">
        <v>3656</v>
      </c>
      <c r="R37" s="1150" t="s">
        <v>3618</v>
      </c>
      <c r="S37" s="1150">
        <v>2.5</v>
      </c>
      <c r="T37" s="1150">
        <v>2.5</v>
      </c>
      <c r="U37" s="1150">
        <v>0</v>
      </c>
      <c r="V37" s="1150" t="s">
        <v>3524</v>
      </c>
      <c r="W37" s="1150">
        <v>60</v>
      </c>
      <c r="X37" s="1150" t="s">
        <v>3519</v>
      </c>
      <c r="Y37" s="1150" t="s">
        <v>3838</v>
      </c>
      <c r="Z37" s="1150" t="s">
        <v>3856</v>
      </c>
      <c r="AA37" s="1150" t="s">
        <v>3849</v>
      </c>
      <c r="AB37" s="1150" t="s">
        <v>3524</v>
      </c>
      <c r="AC37" s="1150" t="s">
        <v>3524</v>
      </c>
      <c r="AD37" s="3146">
        <v>44568.000497685185</v>
      </c>
      <c r="AE37" s="3146">
        <v>44589.000497685185</v>
      </c>
      <c r="AF37" s="3146">
        <v>44608.000497685185</v>
      </c>
      <c r="AG37" s="3146">
        <v>44609.000497685185</v>
      </c>
      <c r="AH37" s="1150" t="s">
        <v>3525</v>
      </c>
      <c r="AI37" s="1150" t="s">
        <v>3526</v>
      </c>
      <c r="AJ37" s="1150" t="s">
        <v>3857</v>
      </c>
      <c r="AK37" s="1150" t="s">
        <v>3858</v>
      </c>
      <c r="AL37" s="1150" t="s">
        <v>3596</v>
      </c>
      <c r="AM37" s="1150" t="s">
        <v>3524</v>
      </c>
      <c r="AN37" s="1150">
        <v>223000</v>
      </c>
      <c r="AO37" s="1150">
        <v>45000</v>
      </c>
      <c r="AP37" s="3146">
        <v>44607.625497685185</v>
      </c>
      <c r="AQ37" s="1150">
        <v>248000</v>
      </c>
      <c r="AR37" s="1150">
        <v>94813.73</v>
      </c>
      <c r="AS37" s="1150">
        <v>105443.07</v>
      </c>
      <c r="AT37" s="1150">
        <v>6320.92</v>
      </c>
      <c r="AU37" s="1150">
        <v>7029.54</v>
      </c>
      <c r="AV37" s="1150">
        <v>37925</v>
      </c>
      <c r="AW37" s="1150">
        <v>42177</v>
      </c>
      <c r="AX37" s="1150" t="s">
        <v>3524</v>
      </c>
      <c r="AY37" s="1150" t="s">
        <v>3524</v>
      </c>
      <c r="AZ37" s="1150">
        <v>11.21</v>
      </c>
      <c r="BA37" s="1150">
        <v>256450</v>
      </c>
      <c r="BB37" s="1150" t="s">
        <v>3531</v>
      </c>
      <c r="BC37" s="1150">
        <v>73000</v>
      </c>
      <c r="BD37" s="1150">
        <v>73000</v>
      </c>
      <c r="BE37" s="1150">
        <v>43614</v>
      </c>
      <c r="BF37" s="1150">
        <v>15</v>
      </c>
      <c r="BG37" s="1150">
        <v>30822</v>
      </c>
      <c r="BH37" s="1150" t="s">
        <v>3859</v>
      </c>
      <c r="BI37" s="1150" t="s">
        <v>3860</v>
      </c>
      <c r="BJ37" s="1150" t="s">
        <v>3534</v>
      </c>
      <c r="BK37" s="1150" t="s">
        <v>3535</v>
      </c>
      <c r="BL37" s="1150" t="s">
        <v>3524</v>
      </c>
      <c r="BM37" s="1150" t="s">
        <v>3524</v>
      </c>
    </row>
    <row r="38" spans="1:65">
      <c r="A38" s="1150" t="s">
        <v>3861</v>
      </c>
      <c r="B38" s="1150" t="s">
        <v>3507</v>
      </c>
      <c r="C38" s="1150" t="s">
        <v>3508</v>
      </c>
      <c r="D38" s="1150" t="s">
        <v>3509</v>
      </c>
      <c r="E38" s="1150" t="s">
        <v>3696</v>
      </c>
      <c r="F38" s="1150" t="s">
        <v>3862</v>
      </c>
      <c r="G38" s="1150" t="s">
        <v>3862</v>
      </c>
      <c r="H38" s="1150" t="s">
        <v>3565</v>
      </c>
      <c r="I38" s="1150">
        <v>78176.460000000006</v>
      </c>
      <c r="J38" s="1150">
        <v>178342.9</v>
      </c>
      <c r="K38" s="1150" t="s">
        <v>3524</v>
      </c>
      <c r="L38" s="1150" t="s">
        <v>3524</v>
      </c>
      <c r="M38" s="1150">
        <v>0</v>
      </c>
      <c r="N38" s="1150">
        <v>0</v>
      </c>
      <c r="O38" s="1150" t="s">
        <v>3513</v>
      </c>
      <c r="P38" s="1150" t="s">
        <v>3863</v>
      </c>
      <c r="Q38" s="1150" t="s">
        <v>3515</v>
      </c>
      <c r="R38" s="1150" t="s">
        <v>3864</v>
      </c>
      <c r="S38" s="1150" t="s">
        <v>3865</v>
      </c>
      <c r="T38" s="1150">
        <v>2.5</v>
      </c>
      <c r="U38" s="1150">
        <v>0</v>
      </c>
      <c r="V38" s="1150">
        <v>0.3</v>
      </c>
      <c r="W38" s="1150" t="s">
        <v>3866</v>
      </c>
      <c r="X38" s="1150" t="s">
        <v>3519</v>
      </c>
      <c r="Y38" s="1150" t="s">
        <v>3838</v>
      </c>
      <c r="Z38" s="1150" t="s">
        <v>3867</v>
      </c>
      <c r="AA38" s="1150" t="s">
        <v>3849</v>
      </c>
      <c r="AB38" s="1150" t="s">
        <v>3524</v>
      </c>
      <c r="AC38" s="1150" t="s">
        <v>3524</v>
      </c>
      <c r="AD38" s="3146">
        <v>44568.000497685185</v>
      </c>
      <c r="AE38" s="3146">
        <v>44589.000497685185</v>
      </c>
      <c r="AF38" s="3146">
        <v>44608.000497685185</v>
      </c>
      <c r="AG38" s="3146">
        <v>44608.000497685185</v>
      </c>
      <c r="AH38" s="1150" t="s">
        <v>3525</v>
      </c>
      <c r="AI38" s="1150" t="s">
        <v>3526</v>
      </c>
      <c r="AJ38" s="1150" t="s">
        <v>3527</v>
      </c>
      <c r="AK38" s="1150" t="s">
        <v>3868</v>
      </c>
      <c r="AL38" s="1150" t="s">
        <v>3529</v>
      </c>
      <c r="AM38" s="1150" t="s">
        <v>3530</v>
      </c>
      <c r="AN38" s="1150">
        <v>482000</v>
      </c>
      <c r="AO38" s="1150">
        <v>97000</v>
      </c>
      <c r="AP38" s="3146">
        <v>44607.625497685185</v>
      </c>
      <c r="AQ38" s="1150">
        <v>482000</v>
      </c>
      <c r="AR38" s="1150">
        <v>61655.38</v>
      </c>
      <c r="AS38" s="1150">
        <v>61655.38</v>
      </c>
      <c r="AT38" s="1150">
        <v>4110.3599999999997</v>
      </c>
      <c r="AU38" s="1150">
        <v>4110.3599999999997</v>
      </c>
      <c r="AV38" s="1150">
        <v>27027</v>
      </c>
      <c r="AW38" s="1150">
        <v>27027</v>
      </c>
      <c r="AX38" s="1150" t="s">
        <v>3524</v>
      </c>
      <c r="AY38" s="1150" t="s">
        <v>3524</v>
      </c>
      <c r="AZ38" s="1150">
        <v>0</v>
      </c>
      <c r="BA38" s="1150">
        <v>554300</v>
      </c>
      <c r="BB38" s="1150" t="s">
        <v>3531</v>
      </c>
      <c r="BC38" s="1150">
        <v>59000</v>
      </c>
      <c r="BD38" s="1150">
        <v>59000</v>
      </c>
      <c r="BE38" s="1150">
        <v>31081</v>
      </c>
      <c r="BF38" s="1150">
        <v>15</v>
      </c>
      <c r="BG38" s="1150">
        <v>26939</v>
      </c>
      <c r="BH38" s="1150" t="s">
        <v>3532</v>
      </c>
      <c r="BI38" s="1150" t="s">
        <v>3869</v>
      </c>
      <c r="BJ38" s="1150" t="s">
        <v>3534</v>
      </c>
      <c r="BK38" s="1150" t="s">
        <v>3535</v>
      </c>
      <c r="BL38" s="3146">
        <v>44613.000497685185</v>
      </c>
      <c r="BM38" s="1150">
        <v>482000</v>
      </c>
    </row>
    <row r="39" spans="1:65">
      <c r="A39" s="1150" t="s">
        <v>3870</v>
      </c>
      <c r="B39" s="1150" t="s">
        <v>3507</v>
      </c>
      <c r="C39" s="1150" t="s">
        <v>3508</v>
      </c>
      <c r="D39" s="1150" t="s">
        <v>3509</v>
      </c>
      <c r="E39" s="1150" t="s">
        <v>3510</v>
      </c>
      <c r="F39" s="1150" t="s">
        <v>3871</v>
      </c>
      <c r="G39" s="1150" t="s">
        <v>3871</v>
      </c>
      <c r="H39" s="1150" t="s">
        <v>3512</v>
      </c>
      <c r="I39" s="1150">
        <v>104108.28</v>
      </c>
      <c r="J39" s="1150">
        <v>211367.4</v>
      </c>
      <c r="K39" s="1150" t="s">
        <v>3524</v>
      </c>
      <c r="L39" s="1150" t="s">
        <v>3524</v>
      </c>
      <c r="M39" s="1150">
        <v>0</v>
      </c>
      <c r="N39" s="1150">
        <v>0</v>
      </c>
      <c r="O39" s="1150" t="s">
        <v>3513</v>
      </c>
      <c r="P39" s="1150" t="s">
        <v>3872</v>
      </c>
      <c r="Q39" s="1150" t="s">
        <v>3873</v>
      </c>
      <c r="R39" s="1150" t="s">
        <v>3874</v>
      </c>
      <c r="S39" s="1150" t="s">
        <v>3875</v>
      </c>
      <c r="T39" s="1150">
        <v>2.1</v>
      </c>
      <c r="U39" s="1150" t="s">
        <v>3524</v>
      </c>
      <c r="V39" s="1150" t="s">
        <v>3876</v>
      </c>
      <c r="W39" s="1150" t="s">
        <v>3877</v>
      </c>
      <c r="X39" s="1150" t="s">
        <v>3519</v>
      </c>
      <c r="Y39" s="1150" t="s">
        <v>3838</v>
      </c>
      <c r="Z39" s="1150" t="s">
        <v>3867</v>
      </c>
      <c r="AA39" s="1150" t="s">
        <v>3849</v>
      </c>
      <c r="AB39" s="1150" t="s">
        <v>3524</v>
      </c>
      <c r="AC39" s="1150" t="s">
        <v>3524</v>
      </c>
      <c r="AD39" s="3146">
        <v>44568.000497685185</v>
      </c>
      <c r="AE39" s="3146">
        <v>44589.000497685185</v>
      </c>
      <c r="AF39" s="3146">
        <v>44608.000497685185</v>
      </c>
      <c r="AG39" s="3146">
        <v>44608.000497685185</v>
      </c>
      <c r="AH39" s="1150" t="s">
        <v>3525</v>
      </c>
      <c r="AI39" s="1150" t="s">
        <v>3526</v>
      </c>
      <c r="AJ39" s="1150" t="s">
        <v>3878</v>
      </c>
      <c r="AK39" s="1150" t="s">
        <v>3732</v>
      </c>
      <c r="AL39" s="1150" t="s">
        <v>3733</v>
      </c>
      <c r="AM39" s="1150" t="s">
        <v>3573</v>
      </c>
      <c r="AN39" s="1150">
        <v>357000</v>
      </c>
      <c r="AO39" s="1150">
        <v>72000</v>
      </c>
      <c r="AP39" s="3146">
        <v>44607.625497685185</v>
      </c>
      <c r="AQ39" s="1150">
        <v>357000</v>
      </c>
      <c r="AR39" s="1150">
        <v>34291.22</v>
      </c>
      <c r="AS39" s="1150">
        <v>34291.22</v>
      </c>
      <c r="AT39" s="1150">
        <v>2286.08</v>
      </c>
      <c r="AU39" s="1150">
        <v>2286.08</v>
      </c>
      <c r="AV39" s="1150">
        <v>16890</v>
      </c>
      <c r="AW39" s="1150">
        <v>16890</v>
      </c>
      <c r="AX39" s="1150" t="s">
        <v>3524</v>
      </c>
      <c r="AY39" s="1150" t="s">
        <v>3524</v>
      </c>
      <c r="AZ39" s="1150">
        <v>0</v>
      </c>
      <c r="BA39" s="1150">
        <v>410550</v>
      </c>
      <c r="BB39" s="1150" t="s">
        <v>3531</v>
      </c>
      <c r="BC39" s="1150">
        <v>66000</v>
      </c>
      <c r="BD39" s="1150">
        <v>66000</v>
      </c>
      <c r="BE39" s="1150">
        <v>19424</v>
      </c>
      <c r="BF39" s="1150">
        <v>15</v>
      </c>
      <c r="BG39" s="1150">
        <v>31662</v>
      </c>
      <c r="BH39" s="1150" t="s">
        <v>3532</v>
      </c>
      <c r="BI39" s="1150" t="s">
        <v>3879</v>
      </c>
      <c r="BJ39" s="1150" t="s">
        <v>3534</v>
      </c>
      <c r="BK39" s="1150" t="s">
        <v>3535</v>
      </c>
      <c r="BL39" s="3146">
        <v>44613.000497685185</v>
      </c>
      <c r="BM39" s="1150">
        <v>357000</v>
      </c>
    </row>
    <row r="40" spans="1:65">
      <c r="A40" s="1150" t="s">
        <v>3880</v>
      </c>
      <c r="B40" s="1150" t="s">
        <v>3507</v>
      </c>
      <c r="C40" s="1150" t="s">
        <v>3508</v>
      </c>
      <c r="D40" s="1150" t="s">
        <v>3537</v>
      </c>
      <c r="E40" s="1150" t="s">
        <v>3632</v>
      </c>
      <c r="F40" s="1150" t="s">
        <v>3881</v>
      </c>
      <c r="G40" s="1150" t="s">
        <v>3881</v>
      </c>
      <c r="H40" s="1150" t="s">
        <v>3680</v>
      </c>
      <c r="I40" s="1150">
        <v>45509.77</v>
      </c>
      <c r="J40" s="1150">
        <v>113774</v>
      </c>
      <c r="K40" s="1150" t="s">
        <v>3524</v>
      </c>
      <c r="L40" s="1150">
        <v>11400</v>
      </c>
      <c r="M40" s="1150">
        <v>0</v>
      </c>
      <c r="N40" s="1150">
        <v>0</v>
      </c>
      <c r="O40" s="1150" t="s">
        <v>3541</v>
      </c>
      <c r="P40" s="1150" t="s">
        <v>3656</v>
      </c>
      <c r="Q40" s="1150" t="s">
        <v>3656</v>
      </c>
      <c r="R40" s="1150" t="s">
        <v>3882</v>
      </c>
      <c r="S40" s="1150">
        <v>2.5</v>
      </c>
      <c r="T40" s="1150">
        <v>2.5</v>
      </c>
      <c r="U40" s="1150" t="s">
        <v>3524</v>
      </c>
      <c r="V40" s="1150">
        <v>0.25</v>
      </c>
      <c r="W40" s="1150">
        <v>45</v>
      </c>
      <c r="X40" s="1150" t="s">
        <v>3519</v>
      </c>
      <c r="Y40" s="1150" t="s">
        <v>3883</v>
      </c>
      <c r="Z40" s="1150" t="s">
        <v>3848</v>
      </c>
      <c r="AA40" s="1150" t="s">
        <v>3884</v>
      </c>
      <c r="AB40" s="1150" t="s">
        <v>3885</v>
      </c>
      <c r="AC40" s="1150" t="s">
        <v>3886</v>
      </c>
      <c r="AD40" s="3146">
        <v>44519.000497685185</v>
      </c>
      <c r="AE40" s="3146">
        <v>44540.000497685185</v>
      </c>
      <c r="AF40" s="3146">
        <v>44554.000497685185</v>
      </c>
      <c r="AG40" s="3146">
        <v>44557.000497685185</v>
      </c>
      <c r="AH40" s="1150" t="s">
        <v>3525</v>
      </c>
      <c r="AI40" s="1150" t="s">
        <v>3526</v>
      </c>
      <c r="AJ40" s="1150" t="s">
        <v>3782</v>
      </c>
      <c r="AK40" s="1150" t="s">
        <v>3783</v>
      </c>
      <c r="AL40" s="1150" t="s">
        <v>3596</v>
      </c>
      <c r="AM40" s="1150" t="s">
        <v>3524</v>
      </c>
      <c r="AN40" s="1150">
        <v>162000</v>
      </c>
      <c r="AO40" s="1150">
        <v>33000</v>
      </c>
      <c r="AP40" s="3146">
        <v>44553.625497685185</v>
      </c>
      <c r="AQ40" s="1150">
        <v>186300</v>
      </c>
      <c r="AR40" s="1150">
        <v>35596.75</v>
      </c>
      <c r="AS40" s="1150">
        <v>40936.26</v>
      </c>
      <c r="AT40" s="1150">
        <v>2373.12</v>
      </c>
      <c r="AU40" s="1150">
        <v>2729.08</v>
      </c>
      <c r="AV40" s="1150">
        <v>14239</v>
      </c>
      <c r="AW40" s="1150">
        <v>16375</v>
      </c>
      <c r="AX40" s="1150" t="s">
        <v>3524</v>
      </c>
      <c r="AY40" s="1150">
        <v>18198</v>
      </c>
      <c r="AZ40" s="1150">
        <v>15</v>
      </c>
      <c r="BA40" s="1150">
        <v>186300</v>
      </c>
      <c r="BB40" s="1150" t="s">
        <v>3597</v>
      </c>
      <c r="BC40" s="1150">
        <v>45000</v>
      </c>
      <c r="BD40" s="1150">
        <v>45000</v>
      </c>
      <c r="BE40" s="1150">
        <v>16375</v>
      </c>
      <c r="BF40" s="1150">
        <v>15</v>
      </c>
      <c r="BG40" s="1150">
        <v>26802</v>
      </c>
      <c r="BH40" s="1150" t="s">
        <v>3560</v>
      </c>
      <c r="BI40" s="1150" t="s">
        <v>3887</v>
      </c>
      <c r="BJ40" s="1150" t="s">
        <v>3534</v>
      </c>
      <c r="BK40" s="1150" t="s">
        <v>3535</v>
      </c>
      <c r="BL40" s="1150" t="s">
        <v>3524</v>
      </c>
      <c r="BM40" s="1150" t="s">
        <v>3524</v>
      </c>
    </row>
    <row r="41" spans="1:65">
      <c r="A41" s="1150" t="s">
        <v>3888</v>
      </c>
      <c r="B41" s="1150" t="s">
        <v>3507</v>
      </c>
      <c r="C41" s="1150" t="s">
        <v>3508</v>
      </c>
      <c r="D41" s="1150" t="s">
        <v>3509</v>
      </c>
      <c r="E41" s="1150" t="s">
        <v>3767</v>
      </c>
      <c r="F41" s="1150" t="s">
        <v>3889</v>
      </c>
      <c r="G41" s="1150" t="s">
        <v>3890</v>
      </c>
      <c r="H41" s="1150" t="s">
        <v>3891</v>
      </c>
      <c r="I41" s="1150">
        <v>40082.199999999997</v>
      </c>
      <c r="J41" s="1150">
        <v>60123.3</v>
      </c>
      <c r="K41" s="1150" t="s">
        <v>3524</v>
      </c>
      <c r="L41" s="1150" t="s">
        <v>3524</v>
      </c>
      <c r="M41" s="1150">
        <v>0</v>
      </c>
      <c r="N41" s="1150">
        <v>0</v>
      </c>
      <c r="O41" s="1150" t="s">
        <v>3541</v>
      </c>
      <c r="P41" s="1150" t="s">
        <v>3892</v>
      </c>
      <c r="Q41" s="1150" t="s">
        <v>3543</v>
      </c>
      <c r="R41" s="1150">
        <v>50</v>
      </c>
      <c r="S41" s="1150">
        <v>1.5</v>
      </c>
      <c r="T41" s="1150">
        <v>1.5</v>
      </c>
      <c r="U41" s="1150" t="s">
        <v>3524</v>
      </c>
      <c r="V41" s="1150">
        <v>30</v>
      </c>
      <c r="W41" s="1150" t="s">
        <v>3524</v>
      </c>
      <c r="X41" s="1150" t="s">
        <v>3519</v>
      </c>
      <c r="Y41" s="1150" t="s">
        <v>3520</v>
      </c>
      <c r="Z41" s="1150" t="s">
        <v>3524</v>
      </c>
      <c r="AA41" s="1150" t="s">
        <v>3524</v>
      </c>
      <c r="AB41" s="1150" t="s">
        <v>3524</v>
      </c>
      <c r="AC41" s="1150" t="s">
        <v>3524</v>
      </c>
      <c r="AD41" s="3146">
        <v>44516.000497685185</v>
      </c>
      <c r="AE41" s="3146">
        <v>44536.000497685185</v>
      </c>
      <c r="AF41" s="3146">
        <v>44550.000497685185</v>
      </c>
      <c r="AG41" s="3146">
        <v>44550.000497685185</v>
      </c>
      <c r="AH41" s="1150" t="s">
        <v>3525</v>
      </c>
      <c r="AI41" s="1150" t="s">
        <v>3893</v>
      </c>
      <c r="AJ41" s="1150" t="s">
        <v>3894</v>
      </c>
      <c r="AK41" s="1150" t="s">
        <v>3895</v>
      </c>
      <c r="AL41" s="1150" t="s">
        <v>3529</v>
      </c>
      <c r="AM41" s="1150" t="s">
        <v>3524</v>
      </c>
      <c r="AN41" s="1150">
        <v>81924.009999999995</v>
      </c>
      <c r="AO41" s="1150">
        <v>16400</v>
      </c>
      <c r="AP41" s="1150" t="s">
        <v>3524</v>
      </c>
      <c r="AQ41" s="1150">
        <v>81924.009999999995</v>
      </c>
      <c r="AR41" s="1150">
        <v>20439</v>
      </c>
      <c r="AS41" s="1150">
        <v>20439</v>
      </c>
      <c r="AT41" s="1150">
        <v>1362.6</v>
      </c>
      <c r="AU41" s="1150">
        <v>1362.6</v>
      </c>
      <c r="AV41" s="1150">
        <v>13626</v>
      </c>
      <c r="AW41" s="1150">
        <v>13626</v>
      </c>
      <c r="AX41" s="1150" t="s">
        <v>3524</v>
      </c>
      <c r="AY41" s="1150" t="s">
        <v>3524</v>
      </c>
      <c r="AZ41" s="1150">
        <v>0</v>
      </c>
      <c r="BA41" s="1150" t="s">
        <v>3524</v>
      </c>
      <c r="BB41" s="1150" t="s">
        <v>3524</v>
      </c>
      <c r="BC41" s="1150" t="s">
        <v>3524</v>
      </c>
      <c r="BD41" s="1150" t="s">
        <v>3524</v>
      </c>
      <c r="BE41" s="1150" t="s">
        <v>3524</v>
      </c>
      <c r="BF41" s="1150" t="s">
        <v>3524</v>
      </c>
      <c r="BG41" s="1150" t="s">
        <v>3524</v>
      </c>
      <c r="BH41" s="1150" t="s">
        <v>3560</v>
      </c>
      <c r="BI41" s="1150" t="s">
        <v>3533</v>
      </c>
      <c r="BJ41" s="1150" t="s">
        <v>3534</v>
      </c>
      <c r="BK41" s="1150" t="s">
        <v>3535</v>
      </c>
      <c r="BL41" s="1150" t="s">
        <v>3524</v>
      </c>
      <c r="BM41" s="1150" t="s">
        <v>3524</v>
      </c>
    </row>
    <row r="42" spans="1:65">
      <c r="A42" s="1150" t="s">
        <v>3896</v>
      </c>
      <c r="B42" s="1150" t="s">
        <v>3507</v>
      </c>
      <c r="C42" s="1150" t="s">
        <v>3508</v>
      </c>
      <c r="D42" s="1150" t="s">
        <v>3509</v>
      </c>
      <c r="E42" s="1150" t="s">
        <v>3661</v>
      </c>
      <c r="F42" s="1150" t="s">
        <v>3897</v>
      </c>
      <c r="G42" s="1150" t="s">
        <v>3897</v>
      </c>
      <c r="H42" s="1150" t="s">
        <v>3565</v>
      </c>
      <c r="I42" s="1150">
        <v>54389.09</v>
      </c>
      <c r="J42" s="1150">
        <v>123172</v>
      </c>
      <c r="K42" s="1150" t="s">
        <v>3524</v>
      </c>
      <c r="L42" s="1150" t="s">
        <v>3524</v>
      </c>
      <c r="M42" s="1150">
        <v>0</v>
      </c>
      <c r="N42" s="1150">
        <v>0</v>
      </c>
      <c r="O42" s="1150" t="s">
        <v>3513</v>
      </c>
      <c r="P42" s="1150" t="s">
        <v>3898</v>
      </c>
      <c r="Q42" s="1150" t="s">
        <v>3515</v>
      </c>
      <c r="R42" s="1150" t="s">
        <v>3899</v>
      </c>
      <c r="S42" s="1150" t="s">
        <v>3900</v>
      </c>
      <c r="T42" s="1150">
        <v>2.5</v>
      </c>
      <c r="U42" s="1150">
        <v>1.79</v>
      </c>
      <c r="V42" s="1150" t="s">
        <v>3901</v>
      </c>
      <c r="W42" s="1150" t="s">
        <v>3902</v>
      </c>
      <c r="X42" s="1150" t="s">
        <v>3519</v>
      </c>
      <c r="Y42" s="1150" t="s">
        <v>3903</v>
      </c>
      <c r="Z42" s="1150" t="s">
        <v>3848</v>
      </c>
      <c r="AA42" s="1150" t="s">
        <v>3904</v>
      </c>
      <c r="AB42" s="1150" t="s">
        <v>3524</v>
      </c>
      <c r="AC42" s="1150" t="s">
        <v>3524</v>
      </c>
      <c r="AD42" s="3146">
        <v>44438.000497685185</v>
      </c>
      <c r="AE42" s="3146">
        <v>44462.000497685185</v>
      </c>
      <c r="AF42" s="3146">
        <v>44482.000497685185</v>
      </c>
      <c r="AG42" s="3146">
        <v>44482.000497685185</v>
      </c>
      <c r="AH42" s="1150" t="s">
        <v>3525</v>
      </c>
      <c r="AI42" s="1150" t="s">
        <v>3526</v>
      </c>
      <c r="AJ42" s="1150" t="s">
        <v>3905</v>
      </c>
      <c r="AK42" s="1150" t="s">
        <v>3906</v>
      </c>
      <c r="AL42" s="1150" t="s">
        <v>3733</v>
      </c>
      <c r="AM42" s="1150" t="s">
        <v>3573</v>
      </c>
      <c r="AN42" s="1150">
        <v>344000</v>
      </c>
      <c r="AO42" s="1150">
        <v>69000</v>
      </c>
      <c r="AP42" s="3146">
        <v>44480.625497685185</v>
      </c>
      <c r="AQ42" s="1150">
        <v>378400</v>
      </c>
      <c r="AR42" s="1150">
        <v>63247.98</v>
      </c>
      <c r="AS42" s="1150">
        <v>69572.77</v>
      </c>
      <c r="AT42" s="1150">
        <v>4216.53</v>
      </c>
      <c r="AU42" s="1150">
        <v>4638.1899999999996</v>
      </c>
      <c r="AV42" s="1150">
        <v>27928</v>
      </c>
      <c r="AW42" s="1150">
        <v>30721</v>
      </c>
      <c r="AX42" s="1150" t="s">
        <v>3524</v>
      </c>
      <c r="AY42" s="1150" t="s">
        <v>3524</v>
      </c>
      <c r="AZ42" s="1150">
        <v>10</v>
      </c>
      <c r="BA42" s="1150">
        <v>378400</v>
      </c>
      <c r="BB42" s="1150" t="s">
        <v>3597</v>
      </c>
      <c r="BC42" s="1150">
        <v>59000</v>
      </c>
      <c r="BD42" s="1150">
        <v>59000</v>
      </c>
      <c r="BE42" s="1150">
        <v>30721</v>
      </c>
      <c r="BF42" s="1150">
        <v>10</v>
      </c>
      <c r="BG42" s="1150">
        <v>25798</v>
      </c>
      <c r="BH42" s="1150" t="s">
        <v>3532</v>
      </c>
      <c r="BI42" s="1150" t="s">
        <v>3907</v>
      </c>
      <c r="BJ42" s="1150" t="s">
        <v>3534</v>
      </c>
      <c r="BK42" s="1150" t="s">
        <v>3535</v>
      </c>
      <c r="BL42" s="1150" t="s">
        <v>3524</v>
      </c>
      <c r="BM42" s="1150" t="s">
        <v>3524</v>
      </c>
    </row>
    <row r="43" spans="1:65">
      <c r="A43" s="1150" t="s">
        <v>3908</v>
      </c>
      <c r="B43" s="1150" t="s">
        <v>3507</v>
      </c>
      <c r="C43" s="1150" t="s">
        <v>3508</v>
      </c>
      <c r="D43" s="1150" t="s">
        <v>3509</v>
      </c>
      <c r="E43" s="1150" t="s">
        <v>3510</v>
      </c>
      <c r="F43" s="1150" t="s">
        <v>3909</v>
      </c>
      <c r="G43" s="1150" t="s">
        <v>3909</v>
      </c>
      <c r="H43" s="1150" t="s">
        <v>3512</v>
      </c>
      <c r="I43" s="1150">
        <v>71316.899999999994</v>
      </c>
      <c r="J43" s="1150">
        <v>178292.25</v>
      </c>
      <c r="K43" s="1150" t="s">
        <v>3524</v>
      </c>
      <c r="L43" s="1150">
        <v>17800</v>
      </c>
      <c r="M43" s="1150">
        <v>0</v>
      </c>
      <c r="N43" s="1150">
        <v>0</v>
      </c>
      <c r="O43" s="1150" t="s">
        <v>3541</v>
      </c>
      <c r="P43" s="1150" t="s">
        <v>3656</v>
      </c>
      <c r="Q43" s="1150" t="s">
        <v>3656</v>
      </c>
      <c r="R43" s="1150" t="s">
        <v>3910</v>
      </c>
      <c r="S43" s="1150" t="s">
        <v>3911</v>
      </c>
      <c r="T43" s="1150">
        <v>2.5</v>
      </c>
      <c r="U43" s="1150" t="s">
        <v>3524</v>
      </c>
      <c r="V43" s="1150" t="s">
        <v>3901</v>
      </c>
      <c r="W43" s="1150" t="s">
        <v>3912</v>
      </c>
      <c r="X43" s="1150" t="s">
        <v>3519</v>
      </c>
      <c r="Y43" s="1150" t="s">
        <v>3903</v>
      </c>
      <c r="Z43" s="1150" t="s">
        <v>3884</v>
      </c>
      <c r="AA43" s="1150" t="s">
        <v>3849</v>
      </c>
      <c r="AB43" s="1150" t="s">
        <v>3885</v>
      </c>
      <c r="AC43" s="1150" t="s">
        <v>3886</v>
      </c>
      <c r="AD43" s="3146">
        <v>44438.000497685185</v>
      </c>
      <c r="AE43" s="3146">
        <v>44462.000497685185</v>
      </c>
      <c r="AF43" s="3146">
        <v>44481.000497685185</v>
      </c>
      <c r="AG43" s="3146">
        <v>44481.000497685185</v>
      </c>
      <c r="AH43" s="1150" t="s">
        <v>3525</v>
      </c>
      <c r="AI43" s="1150" t="s">
        <v>3526</v>
      </c>
      <c r="AJ43" s="1150" t="s">
        <v>3761</v>
      </c>
      <c r="AK43" s="1150" t="s">
        <v>3913</v>
      </c>
      <c r="AL43" s="1150" t="s">
        <v>3763</v>
      </c>
      <c r="AM43" s="1150" t="s">
        <v>3524</v>
      </c>
      <c r="AN43" s="1150">
        <v>685000</v>
      </c>
      <c r="AO43" s="1150">
        <v>137000</v>
      </c>
      <c r="AP43" s="3146">
        <v>44480.625497685185</v>
      </c>
      <c r="AQ43" s="1150">
        <v>685000</v>
      </c>
      <c r="AR43" s="1150">
        <v>96050.16</v>
      </c>
      <c r="AS43" s="1150">
        <v>96050.16</v>
      </c>
      <c r="AT43" s="1150">
        <v>6403.34</v>
      </c>
      <c r="AU43" s="1150">
        <v>6403.34</v>
      </c>
      <c r="AV43" s="1150">
        <v>38420</v>
      </c>
      <c r="AW43" s="1150">
        <v>38420</v>
      </c>
      <c r="AX43" s="1150" t="s">
        <v>3524</v>
      </c>
      <c r="AY43" s="1150">
        <v>42681</v>
      </c>
      <c r="AZ43" s="1150">
        <v>0</v>
      </c>
      <c r="BA43" s="1150">
        <v>787750</v>
      </c>
      <c r="BB43" s="1150" t="s">
        <v>3531</v>
      </c>
      <c r="BC43" s="1150">
        <v>66000</v>
      </c>
      <c r="BD43" s="1150">
        <v>66000</v>
      </c>
      <c r="BE43" s="1150">
        <v>44183</v>
      </c>
      <c r="BF43" s="1150">
        <v>15</v>
      </c>
      <c r="BG43" s="1150">
        <v>23318</v>
      </c>
      <c r="BH43" s="1150" t="s">
        <v>3532</v>
      </c>
      <c r="BI43" s="1150" t="s">
        <v>3764</v>
      </c>
      <c r="BJ43" s="1150" t="s">
        <v>3534</v>
      </c>
      <c r="BK43" s="1150" t="s">
        <v>3535</v>
      </c>
      <c r="BL43" s="1150" t="s">
        <v>3524</v>
      </c>
      <c r="BM43" s="1150" t="s">
        <v>3524</v>
      </c>
    </row>
    <row r="44" spans="1:65">
      <c r="A44" s="1150" t="s">
        <v>3914</v>
      </c>
      <c r="B44" s="1150" t="s">
        <v>3507</v>
      </c>
      <c r="C44" s="1150" t="s">
        <v>3508</v>
      </c>
      <c r="D44" s="1150" t="s">
        <v>3537</v>
      </c>
      <c r="E44" s="1150" t="s">
        <v>3632</v>
      </c>
      <c r="F44" s="1150" t="s">
        <v>3915</v>
      </c>
      <c r="G44" s="1150" t="s">
        <v>3915</v>
      </c>
      <c r="H44" s="1150" t="s">
        <v>3800</v>
      </c>
      <c r="I44" s="1150">
        <v>41530.480000000003</v>
      </c>
      <c r="J44" s="1150">
        <v>90206</v>
      </c>
      <c r="K44" s="1150" t="s">
        <v>3524</v>
      </c>
      <c r="L44" s="1150">
        <v>21500</v>
      </c>
      <c r="M44" s="1150">
        <v>0</v>
      </c>
      <c r="N44" s="1150">
        <v>0</v>
      </c>
      <c r="O44" s="1150" t="s">
        <v>3513</v>
      </c>
      <c r="P44" s="1150" t="s">
        <v>3916</v>
      </c>
      <c r="Q44" s="1150" t="s">
        <v>3515</v>
      </c>
      <c r="R44" s="1150" t="s">
        <v>3917</v>
      </c>
      <c r="S44" s="1150" t="s">
        <v>3918</v>
      </c>
      <c r="T44" s="1150">
        <v>2.5</v>
      </c>
      <c r="U44" s="1150" t="s">
        <v>3524</v>
      </c>
      <c r="V44" s="1150" t="s">
        <v>3919</v>
      </c>
      <c r="W44" s="1150" t="s">
        <v>3920</v>
      </c>
      <c r="X44" s="1150" t="s">
        <v>3519</v>
      </c>
      <c r="Y44" s="1150" t="s">
        <v>3903</v>
      </c>
      <c r="Z44" s="1150" t="s">
        <v>3884</v>
      </c>
      <c r="AA44" s="1150" t="s">
        <v>3849</v>
      </c>
      <c r="AB44" s="1150" t="s">
        <v>3885</v>
      </c>
      <c r="AC44" s="1150" t="s">
        <v>3886</v>
      </c>
      <c r="AD44" s="3146">
        <v>44438.000497685185</v>
      </c>
      <c r="AE44" s="3146">
        <v>44462.000497685185</v>
      </c>
      <c r="AF44" s="3146">
        <v>44482.000497685185</v>
      </c>
      <c r="AG44" s="3146">
        <v>44482.000497685185</v>
      </c>
      <c r="AH44" s="1150" t="s">
        <v>3525</v>
      </c>
      <c r="AI44" s="1150" t="s">
        <v>3526</v>
      </c>
      <c r="AJ44" s="1150" t="s">
        <v>3782</v>
      </c>
      <c r="AK44" s="1150" t="s">
        <v>3783</v>
      </c>
      <c r="AL44" s="1150" t="s">
        <v>3596</v>
      </c>
      <c r="AM44" s="1150" t="s">
        <v>3524</v>
      </c>
      <c r="AN44" s="1150">
        <v>135000</v>
      </c>
      <c r="AO44" s="1150">
        <v>27000</v>
      </c>
      <c r="AP44" s="3146">
        <v>44480.625497685185</v>
      </c>
      <c r="AQ44" s="1150">
        <v>146000</v>
      </c>
      <c r="AR44" s="1150">
        <v>32506.240000000002</v>
      </c>
      <c r="AS44" s="1150">
        <v>35154.9</v>
      </c>
      <c r="AT44" s="1150">
        <v>2167.08</v>
      </c>
      <c r="AU44" s="1150">
        <v>2343.66</v>
      </c>
      <c r="AV44" s="1150">
        <v>14966</v>
      </c>
      <c r="AW44" s="1150">
        <v>16185</v>
      </c>
      <c r="AX44" s="1150" t="s">
        <v>3524</v>
      </c>
      <c r="AY44" s="1150">
        <v>21250</v>
      </c>
      <c r="AZ44" s="1150">
        <v>8.15</v>
      </c>
      <c r="BA44" s="1150">
        <v>155250</v>
      </c>
      <c r="BB44" s="1150" t="s">
        <v>3531</v>
      </c>
      <c r="BC44" s="1150">
        <v>45000</v>
      </c>
      <c r="BD44" s="1150">
        <v>45000</v>
      </c>
      <c r="BE44" s="1150">
        <v>17211</v>
      </c>
      <c r="BF44" s="1150">
        <v>15</v>
      </c>
      <c r="BG44" s="1150">
        <v>22330</v>
      </c>
      <c r="BH44" s="1150" t="s">
        <v>3560</v>
      </c>
      <c r="BI44" s="1150" t="s">
        <v>3921</v>
      </c>
      <c r="BJ44" s="1150" t="s">
        <v>3534</v>
      </c>
      <c r="BK44" s="1150" t="s">
        <v>3535</v>
      </c>
      <c r="BL44" s="1150" t="s">
        <v>3524</v>
      </c>
      <c r="BM44" s="1150" t="s">
        <v>3524</v>
      </c>
    </row>
    <row r="45" spans="1:65">
      <c r="A45" s="1150" t="s">
        <v>3922</v>
      </c>
      <c r="B45" s="1150" t="s">
        <v>3507</v>
      </c>
      <c r="C45" s="1150" t="s">
        <v>3508</v>
      </c>
      <c r="D45" s="1150" t="s">
        <v>3537</v>
      </c>
      <c r="E45" s="1150" t="s">
        <v>3923</v>
      </c>
      <c r="F45" s="1150" t="s">
        <v>3924</v>
      </c>
      <c r="G45" s="1150" t="s">
        <v>3924</v>
      </c>
      <c r="H45" s="1150" t="s">
        <v>3925</v>
      </c>
      <c r="I45" s="1150">
        <v>72250</v>
      </c>
      <c r="J45" s="1150">
        <v>79475</v>
      </c>
      <c r="K45" s="1150" t="s">
        <v>3524</v>
      </c>
      <c r="L45" s="1150" t="s">
        <v>3524</v>
      </c>
      <c r="M45" s="1150">
        <v>0</v>
      </c>
      <c r="N45" s="1150">
        <v>0</v>
      </c>
      <c r="O45" s="1150" t="s">
        <v>3541</v>
      </c>
      <c r="P45" s="1150" t="s">
        <v>3656</v>
      </c>
      <c r="Q45" s="1150" t="s">
        <v>3656</v>
      </c>
      <c r="R45" s="1150" t="s">
        <v>3618</v>
      </c>
      <c r="S45" s="1150">
        <v>1.1000000000000001</v>
      </c>
      <c r="T45" s="1150">
        <v>1.1000000000000001</v>
      </c>
      <c r="U45" s="1150" t="s">
        <v>3524</v>
      </c>
      <c r="V45" s="1150" t="s">
        <v>3524</v>
      </c>
      <c r="W45" s="1150" t="s">
        <v>3524</v>
      </c>
      <c r="X45" s="1150" t="s">
        <v>3519</v>
      </c>
      <c r="Y45" s="1150" t="s">
        <v>3903</v>
      </c>
      <c r="Z45" s="1150" t="s">
        <v>3884</v>
      </c>
      <c r="AA45" s="1150" t="s">
        <v>3849</v>
      </c>
      <c r="AB45" s="1150" t="s">
        <v>3524</v>
      </c>
      <c r="AC45" s="1150" t="s">
        <v>3524</v>
      </c>
      <c r="AD45" s="3146">
        <v>44438.000497685185</v>
      </c>
      <c r="AE45" s="3146">
        <v>44462.000497685185</v>
      </c>
      <c r="AF45" s="3146">
        <v>44481.000497685185</v>
      </c>
      <c r="AG45" s="3146">
        <v>44481.000497685185</v>
      </c>
      <c r="AH45" s="1150" t="s">
        <v>3525</v>
      </c>
      <c r="AI45" s="1150" t="s">
        <v>3585</v>
      </c>
      <c r="AJ45" s="1150" t="s">
        <v>3640</v>
      </c>
      <c r="AK45" s="1150" t="s">
        <v>3587</v>
      </c>
      <c r="AL45" s="1150" t="s">
        <v>3529</v>
      </c>
      <c r="AM45" s="1150" t="s">
        <v>3530</v>
      </c>
      <c r="AN45" s="1150">
        <v>98300</v>
      </c>
      <c r="AO45" s="1150">
        <v>20000</v>
      </c>
      <c r="AP45" s="3146">
        <v>44480.625497685185</v>
      </c>
      <c r="AQ45" s="1150">
        <v>98300</v>
      </c>
      <c r="AR45" s="1150">
        <v>13605.53</v>
      </c>
      <c r="AS45" s="1150">
        <v>13605.53</v>
      </c>
      <c r="AT45" s="1150">
        <v>907.04</v>
      </c>
      <c r="AU45" s="1150">
        <v>907.04</v>
      </c>
      <c r="AV45" s="1150">
        <v>12369</v>
      </c>
      <c r="AW45" s="1150">
        <v>12369</v>
      </c>
      <c r="AX45" s="1150" t="s">
        <v>3524</v>
      </c>
      <c r="AY45" s="1150" t="s">
        <v>3524</v>
      </c>
      <c r="AZ45" s="1150">
        <v>0</v>
      </c>
      <c r="BA45" s="1150">
        <v>103215</v>
      </c>
      <c r="BB45" s="1150" t="s">
        <v>3531</v>
      </c>
      <c r="BC45" s="1150">
        <v>27000</v>
      </c>
      <c r="BD45" s="1150">
        <v>27000</v>
      </c>
      <c r="BE45" s="1150">
        <v>12987</v>
      </c>
      <c r="BF45" s="1150">
        <v>5</v>
      </c>
      <c r="BG45" s="1150">
        <v>14631</v>
      </c>
      <c r="BH45" s="1150" t="s">
        <v>3926</v>
      </c>
      <c r="BI45" s="1150" t="s">
        <v>3533</v>
      </c>
      <c r="BJ45" s="1150" t="s">
        <v>3534</v>
      </c>
      <c r="BK45" s="1150" t="s">
        <v>3535</v>
      </c>
      <c r="BL45" s="3146">
        <v>44483.000497685185</v>
      </c>
      <c r="BM45" s="1150">
        <v>98300</v>
      </c>
    </row>
    <row r="46" spans="1:65">
      <c r="A46" s="1150" t="s">
        <v>3927</v>
      </c>
      <c r="B46" s="1150" t="s">
        <v>3507</v>
      </c>
      <c r="C46" s="1150" t="s">
        <v>3508</v>
      </c>
      <c r="D46" s="1150" t="s">
        <v>3537</v>
      </c>
      <c r="E46" s="1150" t="s">
        <v>3928</v>
      </c>
      <c r="F46" s="1150" t="s">
        <v>3929</v>
      </c>
      <c r="G46" s="1150" t="s">
        <v>3929</v>
      </c>
      <c r="H46" s="1150" t="s">
        <v>3578</v>
      </c>
      <c r="I46" s="1150">
        <v>40514.839999999997</v>
      </c>
      <c r="J46" s="1150">
        <v>92680</v>
      </c>
      <c r="K46" s="1150" t="s">
        <v>3524</v>
      </c>
      <c r="L46" s="1150" t="s">
        <v>3524</v>
      </c>
      <c r="M46" s="1150">
        <v>0</v>
      </c>
      <c r="N46" s="1150">
        <v>0</v>
      </c>
      <c r="O46" s="1150" t="s">
        <v>3513</v>
      </c>
      <c r="P46" s="1150" t="s">
        <v>3930</v>
      </c>
      <c r="Q46" s="1150" t="s">
        <v>3580</v>
      </c>
      <c r="R46" s="1150" t="s">
        <v>3758</v>
      </c>
      <c r="S46" s="1150" t="s">
        <v>3931</v>
      </c>
      <c r="T46" s="1150">
        <v>2.5</v>
      </c>
      <c r="U46" s="1150" t="s">
        <v>3524</v>
      </c>
      <c r="V46" s="1150" t="s">
        <v>3730</v>
      </c>
      <c r="W46" s="1150" t="s">
        <v>3932</v>
      </c>
      <c r="X46" s="1150" t="s">
        <v>3933</v>
      </c>
      <c r="Y46" s="1150" t="s">
        <v>3934</v>
      </c>
      <c r="Z46" s="1150" t="s">
        <v>3522</v>
      </c>
      <c r="AA46" s="1150" t="s">
        <v>3522</v>
      </c>
      <c r="AB46" s="1150" t="s">
        <v>3935</v>
      </c>
      <c r="AC46" s="1150" t="s">
        <v>3936</v>
      </c>
      <c r="AD46" s="3146">
        <v>44286.000497685185</v>
      </c>
      <c r="AE46" s="3146">
        <v>44308.000497685185</v>
      </c>
      <c r="AF46" s="3146">
        <v>44308.000497685185</v>
      </c>
      <c r="AG46" s="3146">
        <v>44308.000497685185</v>
      </c>
      <c r="AH46" s="1150" t="s">
        <v>3525</v>
      </c>
      <c r="AI46" s="1150" t="s">
        <v>3526</v>
      </c>
      <c r="AJ46" s="1150" t="s">
        <v>3937</v>
      </c>
      <c r="AK46" s="1150" t="s">
        <v>3938</v>
      </c>
      <c r="AL46" s="1150" t="s">
        <v>3529</v>
      </c>
      <c r="AM46" s="1150" t="s">
        <v>3524</v>
      </c>
      <c r="AN46" s="1150" t="s">
        <v>3524</v>
      </c>
      <c r="AO46" s="1150">
        <v>15000</v>
      </c>
      <c r="AP46" s="3146">
        <v>44302.625497685185</v>
      </c>
      <c r="AQ46" s="1150">
        <v>75000</v>
      </c>
      <c r="AR46" s="1150" t="s">
        <v>3524</v>
      </c>
      <c r="AS46" s="1150">
        <v>18511.73</v>
      </c>
      <c r="AT46" s="1150" t="s">
        <v>3524</v>
      </c>
      <c r="AU46" s="1150">
        <v>1234.1199999999999</v>
      </c>
      <c r="AV46" s="1150" t="s">
        <v>3524</v>
      </c>
      <c r="AW46" s="1150">
        <v>8092</v>
      </c>
      <c r="AX46" s="1150" t="s">
        <v>3524</v>
      </c>
      <c r="AY46" s="1150" t="s">
        <v>3524</v>
      </c>
      <c r="AZ46" s="1150">
        <v>0</v>
      </c>
      <c r="BA46" s="1150">
        <v>403700</v>
      </c>
      <c r="BB46" s="1150" t="s">
        <v>3531</v>
      </c>
      <c r="BC46" s="1150">
        <v>27000</v>
      </c>
      <c r="BD46" s="1150">
        <v>27000</v>
      </c>
      <c r="BE46" s="1150">
        <v>43558</v>
      </c>
      <c r="BF46" s="1150" t="s">
        <v>3524</v>
      </c>
      <c r="BG46" s="1150">
        <v>15067</v>
      </c>
      <c r="BH46" s="1150" t="s">
        <v>3560</v>
      </c>
      <c r="BI46" s="1150" t="s">
        <v>3533</v>
      </c>
      <c r="BJ46" s="1150" t="s">
        <v>3534</v>
      </c>
      <c r="BK46" s="1150" t="s">
        <v>3535</v>
      </c>
      <c r="BL46" s="1150" t="s">
        <v>3524</v>
      </c>
      <c r="BM46" s="1150" t="s">
        <v>3524</v>
      </c>
    </row>
    <row r="47" spans="1:65">
      <c r="A47" s="1150" t="s">
        <v>3939</v>
      </c>
      <c r="B47" s="1150" t="s">
        <v>3507</v>
      </c>
      <c r="C47" s="1150" t="s">
        <v>3508</v>
      </c>
      <c r="D47" s="1150" t="s">
        <v>3509</v>
      </c>
      <c r="E47" s="1150" t="s">
        <v>3553</v>
      </c>
      <c r="F47" s="1150" t="s">
        <v>3940</v>
      </c>
      <c r="G47" s="1150" t="s">
        <v>3940</v>
      </c>
      <c r="H47" s="1150" t="s">
        <v>3941</v>
      </c>
      <c r="I47" s="1150">
        <v>94973.86</v>
      </c>
      <c r="J47" s="1150">
        <v>192900</v>
      </c>
      <c r="K47" s="1150" t="s">
        <v>3524</v>
      </c>
      <c r="L47" s="1150" t="s">
        <v>3524</v>
      </c>
      <c r="M47" s="1150">
        <v>0</v>
      </c>
      <c r="N47" s="1150">
        <v>0</v>
      </c>
      <c r="O47" s="1150" t="s">
        <v>3513</v>
      </c>
      <c r="P47" s="1150" t="s">
        <v>3930</v>
      </c>
      <c r="Q47" s="1150" t="s">
        <v>3515</v>
      </c>
      <c r="R47" s="1150" t="s">
        <v>3758</v>
      </c>
      <c r="S47" s="1150" t="s">
        <v>3812</v>
      </c>
      <c r="T47" s="1150">
        <v>2</v>
      </c>
      <c r="U47" s="1150" t="s">
        <v>3524</v>
      </c>
      <c r="V47" s="1150" t="s">
        <v>3524</v>
      </c>
      <c r="W47" s="1150" t="s">
        <v>3942</v>
      </c>
      <c r="X47" s="1150" t="s">
        <v>3519</v>
      </c>
      <c r="Y47" s="1150" t="s">
        <v>3934</v>
      </c>
      <c r="Z47" s="1150" t="s">
        <v>3943</v>
      </c>
      <c r="AA47" s="1150" t="s">
        <v>3944</v>
      </c>
      <c r="AB47" s="1150" t="s">
        <v>3935</v>
      </c>
      <c r="AC47" s="1150" t="s">
        <v>3936</v>
      </c>
      <c r="AD47" s="3146">
        <v>44286.000497685185</v>
      </c>
      <c r="AE47" s="3146">
        <v>44308.000497685185</v>
      </c>
      <c r="AF47" s="3146">
        <v>44324.000497685185</v>
      </c>
      <c r="AG47" s="3146">
        <v>44327.000497685185</v>
      </c>
      <c r="AH47" s="1150" t="s">
        <v>3525</v>
      </c>
      <c r="AI47" s="1150" t="s">
        <v>3526</v>
      </c>
      <c r="AJ47" s="1150" t="s">
        <v>3945</v>
      </c>
      <c r="AK47" s="1150" t="s">
        <v>3946</v>
      </c>
      <c r="AL47" s="1150" t="s">
        <v>3596</v>
      </c>
      <c r="AM47" s="1150" t="s">
        <v>3524</v>
      </c>
      <c r="AN47" s="1150">
        <v>595000</v>
      </c>
      <c r="AO47" s="1150">
        <v>119000</v>
      </c>
      <c r="AP47" s="3146">
        <v>44323.625497685185</v>
      </c>
      <c r="AQ47" s="1150">
        <v>625000</v>
      </c>
      <c r="AR47" s="1150">
        <v>62648.81</v>
      </c>
      <c r="AS47" s="1150">
        <v>65807.58</v>
      </c>
      <c r="AT47" s="1150">
        <v>4176.59</v>
      </c>
      <c r="AU47" s="1150">
        <v>4387.17</v>
      </c>
      <c r="AV47" s="1150">
        <v>30845</v>
      </c>
      <c r="AW47" s="1150">
        <v>32400</v>
      </c>
      <c r="AX47" s="1150" t="s">
        <v>3524</v>
      </c>
      <c r="AY47" s="1150" t="s">
        <v>3524</v>
      </c>
      <c r="AZ47" s="1150">
        <v>5.04</v>
      </c>
      <c r="BA47" s="1150">
        <v>625000</v>
      </c>
      <c r="BB47" s="1150" t="s">
        <v>3597</v>
      </c>
      <c r="BC47" s="1150" t="s">
        <v>3524</v>
      </c>
      <c r="BD47" s="1150" t="s">
        <v>3524</v>
      </c>
      <c r="BE47" s="1150">
        <v>32400</v>
      </c>
      <c r="BF47" s="1150">
        <v>5.04</v>
      </c>
      <c r="BG47" s="1150" t="s">
        <v>3524</v>
      </c>
      <c r="BH47" s="1150" t="s">
        <v>3560</v>
      </c>
      <c r="BI47" s="1150" t="s">
        <v>3947</v>
      </c>
      <c r="BJ47" s="1150" t="s">
        <v>3534</v>
      </c>
      <c r="BK47" s="1150" t="s">
        <v>3535</v>
      </c>
      <c r="BL47" s="1150" t="s">
        <v>3524</v>
      </c>
      <c r="BM47" s="1150" t="s">
        <v>3524</v>
      </c>
    </row>
    <row r="48" spans="1:65">
      <c r="A48" s="1150" t="s">
        <v>3948</v>
      </c>
      <c r="B48" s="1150" t="s">
        <v>3507</v>
      </c>
      <c r="C48" s="1150" t="s">
        <v>3508</v>
      </c>
      <c r="D48" s="1150" t="s">
        <v>3509</v>
      </c>
      <c r="E48" s="1150" t="s">
        <v>3949</v>
      </c>
      <c r="F48" s="1150" t="s">
        <v>3950</v>
      </c>
      <c r="G48" s="1150" t="s">
        <v>3950</v>
      </c>
      <c r="H48" s="1150" t="s">
        <v>3951</v>
      </c>
      <c r="I48" s="1150">
        <v>38598.46</v>
      </c>
      <c r="J48" s="1150">
        <v>82574</v>
      </c>
      <c r="K48" s="1150" t="s">
        <v>3524</v>
      </c>
      <c r="L48" s="1150" t="s">
        <v>3524</v>
      </c>
      <c r="M48" s="1150">
        <v>0</v>
      </c>
      <c r="N48" s="1150">
        <v>0</v>
      </c>
      <c r="O48" s="1150" t="s">
        <v>3513</v>
      </c>
      <c r="P48" s="1150" t="s">
        <v>3952</v>
      </c>
      <c r="Q48" s="1150" t="s">
        <v>3953</v>
      </c>
      <c r="R48" s="1150" t="s">
        <v>3758</v>
      </c>
      <c r="S48" s="1150" t="s">
        <v>3954</v>
      </c>
      <c r="T48" s="1150">
        <v>2.5</v>
      </c>
      <c r="U48" s="1150" t="s">
        <v>3524</v>
      </c>
      <c r="V48" s="1150" t="s">
        <v>3955</v>
      </c>
      <c r="W48" s="1150" t="s">
        <v>3956</v>
      </c>
      <c r="X48" s="1150" t="s">
        <v>3519</v>
      </c>
      <c r="Y48" s="1150" t="s">
        <v>3934</v>
      </c>
      <c r="Z48" s="1150" t="s">
        <v>3957</v>
      </c>
      <c r="AA48" s="1150" t="s">
        <v>3958</v>
      </c>
      <c r="AB48" s="1150" t="s">
        <v>3935</v>
      </c>
      <c r="AC48" s="1150" t="s">
        <v>3936</v>
      </c>
      <c r="AD48" s="3146">
        <v>44286.000497685185</v>
      </c>
      <c r="AE48" s="3146">
        <v>44308.000497685185</v>
      </c>
      <c r="AF48" s="3146">
        <v>44324.000497685185</v>
      </c>
      <c r="AG48" s="3146">
        <v>44327.000497685185</v>
      </c>
      <c r="AH48" s="1150" t="s">
        <v>3525</v>
      </c>
      <c r="AI48" s="1150" t="s">
        <v>3526</v>
      </c>
      <c r="AJ48" s="1150" t="s">
        <v>3959</v>
      </c>
      <c r="AK48" s="1150" t="s">
        <v>3960</v>
      </c>
      <c r="AL48" s="1150" t="s">
        <v>3961</v>
      </c>
      <c r="AM48" s="1150" t="s">
        <v>3629</v>
      </c>
      <c r="AN48" s="1150">
        <v>142000</v>
      </c>
      <c r="AO48" s="1150">
        <v>29000</v>
      </c>
      <c r="AP48" s="3146">
        <v>44323.625497685185</v>
      </c>
      <c r="AQ48" s="1150">
        <v>163000</v>
      </c>
      <c r="AR48" s="1150">
        <v>36789.03</v>
      </c>
      <c r="AS48" s="1150">
        <v>42229.66</v>
      </c>
      <c r="AT48" s="1150">
        <v>2452.6</v>
      </c>
      <c r="AU48" s="1150">
        <v>2815.31</v>
      </c>
      <c r="AV48" s="1150">
        <v>17197</v>
      </c>
      <c r="AW48" s="1150">
        <v>19740</v>
      </c>
      <c r="AX48" s="1150" t="s">
        <v>3524</v>
      </c>
      <c r="AY48" s="1150" t="s">
        <v>3524</v>
      </c>
      <c r="AZ48" s="1150">
        <v>14.79</v>
      </c>
      <c r="BA48" s="1150">
        <v>163000</v>
      </c>
      <c r="BB48" s="1150" t="s">
        <v>3597</v>
      </c>
      <c r="BC48" s="1150" t="s">
        <v>3524</v>
      </c>
      <c r="BD48" s="1150" t="s">
        <v>3524</v>
      </c>
      <c r="BE48" s="1150">
        <v>19740</v>
      </c>
      <c r="BF48" s="1150">
        <v>14.79</v>
      </c>
      <c r="BG48" s="1150" t="s">
        <v>3524</v>
      </c>
      <c r="BH48" s="1150" t="s">
        <v>3532</v>
      </c>
      <c r="BI48" s="1150" t="s">
        <v>3962</v>
      </c>
      <c r="BJ48" s="1150" t="s">
        <v>3534</v>
      </c>
      <c r="BK48" s="1150" t="s">
        <v>3535</v>
      </c>
      <c r="BL48" s="1150" t="s">
        <v>3524</v>
      </c>
      <c r="BM48" s="1150" t="s">
        <v>3524</v>
      </c>
    </row>
    <row r="49" spans="1:65">
      <c r="A49" s="1150" t="s">
        <v>3963</v>
      </c>
      <c r="B49" s="1150" t="s">
        <v>3507</v>
      </c>
      <c r="C49" s="1150" t="s">
        <v>3508</v>
      </c>
      <c r="D49" s="1150" t="s">
        <v>3509</v>
      </c>
      <c r="E49" s="1150" t="s">
        <v>3553</v>
      </c>
      <c r="F49" s="1150" t="s">
        <v>3964</v>
      </c>
      <c r="G49" s="1150" t="s">
        <v>3964</v>
      </c>
      <c r="H49" s="1150" t="s">
        <v>3941</v>
      </c>
      <c r="I49" s="1150">
        <v>108243.94</v>
      </c>
      <c r="J49" s="1150">
        <v>262360.75</v>
      </c>
      <c r="K49" s="1150" t="s">
        <v>3524</v>
      </c>
      <c r="L49" s="1150" t="s">
        <v>3524</v>
      </c>
      <c r="M49" s="1150">
        <v>0</v>
      </c>
      <c r="N49" s="1150">
        <v>0</v>
      </c>
      <c r="O49" s="1150" t="s">
        <v>3513</v>
      </c>
      <c r="P49" s="1150" t="s">
        <v>3965</v>
      </c>
      <c r="Q49" s="1150" t="s">
        <v>3966</v>
      </c>
      <c r="R49" s="1150" t="s">
        <v>3758</v>
      </c>
      <c r="S49" s="1150" t="s">
        <v>3967</v>
      </c>
      <c r="T49" s="1150">
        <v>2.42</v>
      </c>
      <c r="U49" s="1150">
        <v>5.28</v>
      </c>
      <c r="V49" s="1150" t="s">
        <v>3524</v>
      </c>
      <c r="W49" s="1150" t="s">
        <v>3524</v>
      </c>
      <c r="X49" s="1150" t="s">
        <v>3519</v>
      </c>
      <c r="Y49" s="1150" t="s">
        <v>3934</v>
      </c>
      <c r="Z49" s="1150" t="s">
        <v>3943</v>
      </c>
      <c r="AA49" s="1150" t="s">
        <v>3944</v>
      </c>
      <c r="AB49" s="1150" t="s">
        <v>3935</v>
      </c>
      <c r="AC49" s="1150" t="s">
        <v>3936</v>
      </c>
      <c r="AD49" s="3146">
        <v>44286.000497685185</v>
      </c>
      <c r="AE49" s="3146">
        <v>44308.000497685185</v>
      </c>
      <c r="AF49" s="3146">
        <v>44324.000497685185</v>
      </c>
      <c r="AG49" s="3146">
        <v>44324.000497685185</v>
      </c>
      <c r="AH49" s="1150" t="s">
        <v>3525</v>
      </c>
      <c r="AI49" s="1150" t="s">
        <v>3526</v>
      </c>
      <c r="AJ49" s="1150" t="s">
        <v>3968</v>
      </c>
      <c r="AK49" s="1150" t="s">
        <v>3969</v>
      </c>
      <c r="AL49" s="1150" t="s">
        <v>3970</v>
      </c>
      <c r="AM49" s="1150" t="s">
        <v>3524</v>
      </c>
      <c r="AN49" s="1150">
        <v>452000</v>
      </c>
      <c r="AO49" s="1150">
        <v>91000</v>
      </c>
      <c r="AP49" s="3146">
        <v>44323.625497685185</v>
      </c>
      <c r="AQ49" s="1150">
        <v>452000</v>
      </c>
      <c r="AR49" s="1150">
        <v>41757.53</v>
      </c>
      <c r="AS49" s="1150">
        <v>41757.53</v>
      </c>
      <c r="AT49" s="1150">
        <v>2783.84</v>
      </c>
      <c r="AU49" s="1150">
        <v>2783.84</v>
      </c>
      <c r="AV49" s="1150">
        <v>17228</v>
      </c>
      <c r="AW49" s="1150">
        <v>17228</v>
      </c>
      <c r="AX49" s="1150" t="s">
        <v>3524</v>
      </c>
      <c r="AY49" s="1150" t="s">
        <v>3524</v>
      </c>
      <c r="AZ49" s="1150">
        <v>0</v>
      </c>
      <c r="BA49" s="1150">
        <v>497000</v>
      </c>
      <c r="BB49" s="1150" t="s">
        <v>3531</v>
      </c>
      <c r="BC49" s="1150" t="s">
        <v>3524</v>
      </c>
      <c r="BD49" s="1150" t="s">
        <v>3524</v>
      </c>
      <c r="BE49" s="1150">
        <v>18943</v>
      </c>
      <c r="BF49" s="1150">
        <v>9.9600000000000009</v>
      </c>
      <c r="BG49" s="1150" t="s">
        <v>3524</v>
      </c>
      <c r="BH49" s="1150" t="s">
        <v>3560</v>
      </c>
      <c r="BI49" s="1150" t="s">
        <v>3971</v>
      </c>
      <c r="BJ49" s="1150" t="s">
        <v>3534</v>
      </c>
      <c r="BK49" s="1150" t="s">
        <v>3535</v>
      </c>
      <c r="BL49" s="1150" t="s">
        <v>3524</v>
      </c>
      <c r="BM49" s="1150" t="s">
        <v>3524</v>
      </c>
    </row>
    <row r="50" spans="1:65">
      <c r="A50" s="1150" t="s">
        <v>3972</v>
      </c>
      <c r="B50" s="1150" t="s">
        <v>3507</v>
      </c>
      <c r="C50" s="1150" t="s">
        <v>3508</v>
      </c>
      <c r="D50" s="1150" t="s">
        <v>3509</v>
      </c>
      <c r="E50" s="1150" t="s">
        <v>3973</v>
      </c>
      <c r="F50" s="1150" t="s">
        <v>3974</v>
      </c>
      <c r="G50" s="1150" t="s">
        <v>3974</v>
      </c>
      <c r="H50" s="1150" t="s">
        <v>3975</v>
      </c>
      <c r="I50" s="1150">
        <v>48407.51</v>
      </c>
      <c r="J50" s="1150">
        <v>96815.01</v>
      </c>
      <c r="K50" s="1150" t="s">
        <v>3524</v>
      </c>
      <c r="L50" s="1150" t="s">
        <v>3524</v>
      </c>
      <c r="M50" s="1150">
        <v>0</v>
      </c>
      <c r="N50" s="1150">
        <v>0</v>
      </c>
      <c r="O50" s="1150" t="s">
        <v>3541</v>
      </c>
      <c r="P50" s="1150" t="s">
        <v>3656</v>
      </c>
      <c r="Q50" s="1150" t="s">
        <v>3656</v>
      </c>
      <c r="R50" s="1150" t="s">
        <v>3758</v>
      </c>
      <c r="S50" s="1150" t="s">
        <v>3812</v>
      </c>
      <c r="T50" s="1150">
        <v>2</v>
      </c>
      <c r="U50" s="1150" t="s">
        <v>3524</v>
      </c>
      <c r="V50" s="1150" t="s">
        <v>3730</v>
      </c>
      <c r="W50" s="1150" t="s">
        <v>3707</v>
      </c>
      <c r="X50" s="1150" t="s">
        <v>3519</v>
      </c>
      <c r="Y50" s="1150" t="s">
        <v>3934</v>
      </c>
      <c r="Z50" s="1150" t="s">
        <v>3976</v>
      </c>
      <c r="AA50" s="1150" t="s">
        <v>3522</v>
      </c>
      <c r="AB50" s="1150" t="s">
        <v>3524</v>
      </c>
      <c r="AC50" s="1150" t="s">
        <v>3524</v>
      </c>
      <c r="AD50" s="3146">
        <v>44286.000497685185</v>
      </c>
      <c r="AE50" s="3146">
        <v>44308.000497685185</v>
      </c>
      <c r="AF50" s="3146">
        <v>44324.000497685185</v>
      </c>
      <c r="AG50" s="3146">
        <v>44324.000497685185</v>
      </c>
      <c r="AH50" s="1150" t="s">
        <v>3525</v>
      </c>
      <c r="AI50" s="1150" t="s">
        <v>3526</v>
      </c>
      <c r="AJ50" s="1150" t="s">
        <v>3977</v>
      </c>
      <c r="AK50" s="1150" t="s">
        <v>3978</v>
      </c>
      <c r="AL50" s="1150" t="s">
        <v>3979</v>
      </c>
      <c r="AM50" s="1150" t="s">
        <v>3524</v>
      </c>
      <c r="AN50" s="1150">
        <v>145800</v>
      </c>
      <c r="AO50" s="1150">
        <v>30000</v>
      </c>
      <c r="AP50" s="3146">
        <v>44323.625497685185</v>
      </c>
      <c r="AQ50" s="1150">
        <v>145800</v>
      </c>
      <c r="AR50" s="1150">
        <v>30119.29</v>
      </c>
      <c r="AS50" s="1150">
        <v>30119.29</v>
      </c>
      <c r="AT50" s="1150">
        <v>2007.95</v>
      </c>
      <c r="AU50" s="1150">
        <v>2007.95</v>
      </c>
      <c r="AV50" s="1150">
        <v>15060</v>
      </c>
      <c r="AW50" s="1150">
        <v>15060</v>
      </c>
      <c r="AX50" s="1150" t="s">
        <v>3524</v>
      </c>
      <c r="AY50" s="1150" t="s">
        <v>3524</v>
      </c>
      <c r="AZ50" s="1150">
        <v>0</v>
      </c>
      <c r="BA50" s="1150">
        <v>167600</v>
      </c>
      <c r="BB50" s="1150" t="s">
        <v>3531</v>
      </c>
      <c r="BC50" s="1150" t="s">
        <v>3524</v>
      </c>
      <c r="BD50" s="1150" t="s">
        <v>3524</v>
      </c>
      <c r="BE50" s="1150">
        <v>17311</v>
      </c>
      <c r="BF50" s="1150">
        <v>14.95</v>
      </c>
      <c r="BG50" s="1150" t="s">
        <v>3524</v>
      </c>
      <c r="BH50" s="1150" t="s">
        <v>3673</v>
      </c>
      <c r="BI50" s="1150" t="s">
        <v>3980</v>
      </c>
      <c r="BJ50" s="1150" t="s">
        <v>3534</v>
      </c>
      <c r="BK50" s="1150" t="s">
        <v>3535</v>
      </c>
      <c r="BL50" s="3146">
        <v>44348.000497685185</v>
      </c>
      <c r="BM50" s="1150">
        <v>145800</v>
      </c>
    </row>
    <row r="51" spans="1:65">
      <c r="A51" s="1150" t="s">
        <v>3981</v>
      </c>
      <c r="B51" s="1150" t="s">
        <v>3507</v>
      </c>
      <c r="C51" s="1150" t="s">
        <v>3508</v>
      </c>
      <c r="D51" s="1150" t="s">
        <v>3509</v>
      </c>
      <c r="E51" s="1150" t="s">
        <v>3982</v>
      </c>
      <c r="F51" s="1150" t="s">
        <v>3983</v>
      </c>
      <c r="G51" s="1150" t="s">
        <v>3983</v>
      </c>
      <c r="H51" s="1150" t="s">
        <v>3855</v>
      </c>
      <c r="I51" s="1150">
        <v>56860.73</v>
      </c>
      <c r="J51" s="1150">
        <v>133065.75</v>
      </c>
      <c r="K51" s="1150" t="s">
        <v>3524</v>
      </c>
      <c r="L51" s="1150" t="s">
        <v>3524</v>
      </c>
      <c r="M51" s="1150">
        <v>0</v>
      </c>
      <c r="N51" s="1150">
        <v>0</v>
      </c>
      <c r="O51" s="1150" t="s">
        <v>3541</v>
      </c>
      <c r="P51" s="1150" t="s">
        <v>3656</v>
      </c>
      <c r="Q51" s="1150" t="s">
        <v>3656</v>
      </c>
      <c r="R51" s="1150" t="s">
        <v>3758</v>
      </c>
      <c r="S51" s="1150" t="s">
        <v>3984</v>
      </c>
      <c r="T51" s="1150">
        <v>2.2999999999999998</v>
      </c>
      <c r="U51" s="1150" t="s">
        <v>3524</v>
      </c>
      <c r="V51" s="1150" t="s">
        <v>3524</v>
      </c>
      <c r="W51" s="1150" t="s">
        <v>3524</v>
      </c>
      <c r="X51" s="1150" t="s">
        <v>3519</v>
      </c>
      <c r="Y51" s="1150" t="s">
        <v>3520</v>
      </c>
      <c r="Z51" s="1150" t="s">
        <v>3985</v>
      </c>
      <c r="AA51" s="1150" t="s">
        <v>3986</v>
      </c>
      <c r="AB51" s="1150" t="s">
        <v>3523</v>
      </c>
      <c r="AC51" s="1150" t="s">
        <v>3524</v>
      </c>
      <c r="AD51" s="3146">
        <v>44188.000497685185</v>
      </c>
      <c r="AE51" s="3146">
        <v>44208.000497685185</v>
      </c>
      <c r="AF51" s="3146">
        <v>44222.000497685185</v>
      </c>
      <c r="AG51" s="3146">
        <v>44222.000497685185</v>
      </c>
      <c r="AH51" s="1150" t="s">
        <v>3525</v>
      </c>
      <c r="AI51" s="1150" t="s">
        <v>3526</v>
      </c>
      <c r="AJ51" s="1150" t="s">
        <v>3987</v>
      </c>
      <c r="AK51" s="1150" t="s">
        <v>3988</v>
      </c>
      <c r="AL51" s="1150" t="s">
        <v>3685</v>
      </c>
      <c r="AM51" s="1150" t="s">
        <v>3524</v>
      </c>
      <c r="AN51" s="1150">
        <v>420000</v>
      </c>
      <c r="AO51" s="1150">
        <v>85000</v>
      </c>
      <c r="AP51" s="3146">
        <v>44221.625497685185</v>
      </c>
      <c r="AQ51" s="1150">
        <v>465700</v>
      </c>
      <c r="AR51" s="1150">
        <v>73864.69</v>
      </c>
      <c r="AS51" s="1150">
        <v>81901.87</v>
      </c>
      <c r="AT51" s="1150">
        <v>4924.3100000000004</v>
      </c>
      <c r="AU51" s="1150">
        <v>5460.12</v>
      </c>
      <c r="AV51" s="1150">
        <v>31563</v>
      </c>
      <c r="AW51" s="1150">
        <v>34998</v>
      </c>
      <c r="AX51" s="1150" t="s">
        <v>3524</v>
      </c>
      <c r="AY51" s="1150" t="s">
        <v>3524</v>
      </c>
      <c r="AZ51" s="1150">
        <v>10.88</v>
      </c>
      <c r="BA51" s="1150" t="s">
        <v>3524</v>
      </c>
      <c r="BB51" s="1150" t="s">
        <v>3524</v>
      </c>
      <c r="BC51" s="1150" t="s">
        <v>3524</v>
      </c>
      <c r="BD51" s="1150" t="s">
        <v>3524</v>
      </c>
      <c r="BE51" s="1150" t="s">
        <v>3524</v>
      </c>
      <c r="BF51" s="1150" t="s">
        <v>3524</v>
      </c>
      <c r="BG51" s="1150" t="s">
        <v>3524</v>
      </c>
      <c r="BH51" s="1150" t="s">
        <v>3532</v>
      </c>
      <c r="BI51" s="1150" t="s">
        <v>3989</v>
      </c>
      <c r="BJ51" s="1150" t="s">
        <v>3534</v>
      </c>
      <c r="BK51" s="1150" t="s">
        <v>3535</v>
      </c>
      <c r="BL51" s="3146">
        <v>44257.000497685185</v>
      </c>
      <c r="BM51" s="1150">
        <v>347720.98</v>
      </c>
    </row>
    <row r="64" spans="1:65">
      <c r="T64" s="1150">
        <f>30580.99+6245.25</f>
        <v>36826.240000000005</v>
      </c>
      <c r="V64" s="2572" t="s">
        <v>4086</v>
      </c>
    </row>
    <row r="65" spans="20:25">
      <c r="T65" s="1150">
        <f>ROUND(45000/T64*10000,0)</f>
        <v>12220</v>
      </c>
      <c r="U65" s="2572" t="s">
        <v>4084</v>
      </c>
      <c r="V65" s="1150">
        <v>30580.99</v>
      </c>
      <c r="W65" s="1150">
        <f>AW15</f>
        <v>11535</v>
      </c>
      <c r="X65" s="1150">
        <f>V65*W65</f>
        <v>352751719.65000004</v>
      </c>
    </row>
    <row r="66" spans="20:25">
      <c r="U66" s="2572" t="s">
        <v>4085</v>
      </c>
      <c r="V66" s="1150">
        <v>6245.25</v>
      </c>
      <c r="W66" s="1150">
        <v>15000</v>
      </c>
      <c r="X66" s="1150">
        <f>V66*W66</f>
        <v>93678750</v>
      </c>
    </row>
    <row r="67" spans="20:25">
      <c r="X67" s="1150">
        <f>X65+X66</f>
        <v>446430469.65000004</v>
      </c>
      <c r="Y67" s="3511">
        <f>X67*Y69/X69</f>
        <v>105.09422460292856</v>
      </c>
    </row>
    <row r="69" spans="20:25">
      <c r="T69" s="2572"/>
      <c r="V69" s="1150">
        <f>V65+V66</f>
        <v>36826.240000000005</v>
      </c>
      <c r="W69" s="1150">
        <v>11535</v>
      </c>
      <c r="X69" s="1150">
        <f>V69*W69</f>
        <v>424790678.40000004</v>
      </c>
      <c r="Y69" s="1150">
        <v>100</v>
      </c>
    </row>
    <row r="70" spans="20:25">
      <c r="T70" s="2572"/>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31" zoomScaleNormal="70" zoomScaleSheetLayoutView="100" workbookViewId="0">
      <selection activeCell="K25" sqref="K2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68"/>
      <c r="C1" s="189"/>
      <c r="D1" s="189"/>
      <c r="E1" s="189"/>
      <c r="F1" s="189"/>
      <c r="G1" s="1056">
        <f>MATCH(B1,'数据-取费表'!A6:A16,0)+5</f>
        <v>10</v>
      </c>
    </row>
    <row r="2" spans="1:9" s="191" customFormat="1" ht="18" customHeight="1">
      <c r="A2" s="192" t="s">
        <v>1462</v>
      </c>
      <c r="B2" s="193">
        <f ca="1">IF(D2="——",C52,C52-E2)</f>
        <v>118955</v>
      </c>
      <c r="C2" s="190" t="s">
        <v>1463</v>
      </c>
      <c r="D2" s="1705" t="s">
        <v>43</v>
      </c>
      <c r="E2" s="1083" t="e">
        <f ca="1">SUMIF(INDIRECT("'"&amp;G2&amp;"'"&amp;"!A:A"),"承租人权益价值",INDIRECT("'"&amp;G2&amp;"'"&amp;"!c:c"))</f>
        <v>#REF!</v>
      </c>
      <c r="F2" s="1706" t="s">
        <v>1463</v>
      </c>
      <c r="G2" s="1707"/>
    </row>
    <row r="3" spans="1:9" s="191" customFormat="1" ht="18" customHeight="1" thickBot="1">
      <c r="A3" s="194" t="s">
        <v>1464</v>
      </c>
      <c r="B3" s="195">
        <f ca="1">ROUND(B2*10000/(IF(B1="",'数据-汇总表'!E3,INDIRECT("'数据-取费表'!k"&amp;$G$1))),0)</f>
        <v>18370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74819</v>
      </c>
      <c r="D5" s="202" t="s">
        <v>1469</v>
      </c>
      <c r="E5" s="203" t="s">
        <v>1470</v>
      </c>
      <c r="F5" s="203" t="s">
        <v>1471</v>
      </c>
      <c r="G5" s="204"/>
    </row>
    <row r="6" spans="1:9" s="205" customFormat="1" ht="13.5" customHeight="1">
      <c r="A6" s="726" t="s">
        <v>1472</v>
      </c>
      <c r="B6" s="206" t="s">
        <v>1473</v>
      </c>
      <c r="C6" s="207">
        <f>'土地比较法-住宅、综合'!F65</f>
        <v>72605</v>
      </c>
      <c r="D6" s="208"/>
      <c r="E6" s="209"/>
      <c r="F6" s="209"/>
      <c r="G6" s="210"/>
    </row>
    <row r="7" spans="1:9" s="205" customFormat="1" ht="13.5" customHeight="1">
      <c r="A7" s="726" t="s">
        <v>1474</v>
      </c>
      <c r="B7" s="206" t="s">
        <v>1475</v>
      </c>
      <c r="C7" s="211">
        <f>ROUND(C6*F7,0)</f>
        <v>2214</v>
      </c>
      <c r="D7" s="211"/>
      <c r="E7" s="209"/>
      <c r="F7" s="212">
        <f>IF(项目基本情况!B8="出让",0,'数据-取费表'!B48+'数据-取费表'!B49)</f>
        <v>3.0499999999999999E-2</v>
      </c>
      <c r="G7" s="210"/>
    </row>
    <row r="8" spans="1:9" s="214" customFormat="1">
      <c r="A8" s="726" t="s">
        <v>1476</v>
      </c>
      <c r="B8" s="206" t="s">
        <v>1477</v>
      </c>
      <c r="C8" s="211">
        <f>IF(G8="已包含在土地购买价格中","0",IF(B1="",'数据-取费表'!B29,IF(G9="全部缴纳",C9+C10,H9)))</f>
        <v>0</v>
      </c>
      <c r="D8" s="213"/>
      <c r="E8" s="211"/>
      <c r="F8" s="212"/>
      <c r="G8" s="1708" t="s">
        <v>4069</v>
      </c>
    </row>
    <row r="9" spans="1:9" s="205" customFormat="1" ht="13.5" customHeight="1">
      <c r="A9" s="727" t="s">
        <v>355</v>
      </c>
      <c r="B9" s="215" t="s">
        <v>1478</v>
      </c>
      <c r="C9" s="216">
        <f ca="1">ROUND(D9*E9/10000,0)</f>
        <v>971</v>
      </c>
      <c r="D9" s="789">
        <f ca="1">IF(B1="",'数据-汇总表'!E5,IF(INDIRECT("'数据-取费表'!c"&amp;$G$1)="住宅",INDIRECT("'数据-取费表'!k"&amp;$G$1),0))</f>
        <v>64756.12</v>
      </c>
      <c r="E9" s="216">
        <f>'数据-取费表'!B27</f>
        <v>150</v>
      </c>
      <c r="F9" s="212"/>
      <c r="G9" s="1709"/>
      <c r="H9" s="1064"/>
      <c r="I9" s="1710" t="s">
        <v>1479</v>
      </c>
    </row>
    <row r="10" spans="1:9" s="205" customFormat="1" ht="13.5" customHeight="1">
      <c r="A10" s="727" t="s">
        <v>356</v>
      </c>
      <c r="B10" s="215" t="s">
        <v>1480</v>
      </c>
      <c r="C10" s="216">
        <f ca="1">ROUND(D10*E10/10000,0)</f>
        <v>0</v>
      </c>
      <c r="D10" s="789">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64756.12</v>
      </c>
      <c r="E19" s="202">
        <f>'数据-取费表'!B31</f>
        <v>200</v>
      </c>
      <c r="F19" s="222"/>
      <c r="G19" s="1708" t="s">
        <v>4070</v>
      </c>
    </row>
    <row r="20" spans="1:7" s="205" customFormat="1" ht="13.5" customHeight="1">
      <c r="A20" s="246" t="s">
        <v>1493</v>
      </c>
      <c r="B20" s="201" t="s">
        <v>1494</v>
      </c>
      <c r="C20" s="223">
        <f>ROUND((C5+C19)*F20,0)</f>
        <v>1496</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5">
        <f ca="1">ROUND(SUM(C23:C25),0)</f>
        <v>3251</v>
      </c>
      <c r="D22" s="226">
        <f ca="1">C26</f>
        <v>5.9999999999999995E-4</v>
      </c>
      <c r="E22" s="227" t="s">
        <v>1498</v>
      </c>
      <c r="F22" s="228">
        <f ca="1">'数据-取费表'!B40</f>
        <v>3.1E-2</v>
      </c>
      <c r="G22" s="225" t="str">
        <f>IF('数据-取费表'!B22&lt;=1,"单利计息","复利计息")</f>
        <v>复利计息</v>
      </c>
    </row>
    <row r="23" spans="1:7" s="205" customFormat="1" ht="13.5" customHeight="1">
      <c r="A23" s="728" t="s">
        <v>1502</v>
      </c>
      <c r="B23" s="206" t="s">
        <v>1503</v>
      </c>
      <c r="C23" s="1036">
        <f ca="1">ROUND(IF('数据-取费表'!B22&lt;=1,C5*F22*'数据-取费表'!B23,C5*(POWER((1+F22),'数据-取费表'!B23)-1)),0)</f>
        <v>3219</v>
      </c>
      <c r="D23" s="229"/>
      <c r="E23" s="229"/>
      <c r="F23" s="230"/>
      <c r="G23" s="231" t="s">
        <v>1504</v>
      </c>
    </row>
    <row r="24" spans="1:7" s="205" customFormat="1" ht="13.5" customHeight="1">
      <c r="A24" s="728" t="s">
        <v>1505</v>
      </c>
      <c r="B24" s="206" t="s">
        <v>1506</v>
      </c>
      <c r="C24" s="1036">
        <f ca="1">ROUND(IF('数据-取费表'!B22&lt;=1,C19*F22*('数据-取费表'!B19/2+'数据-取费表'!B21),C19*(POWER((1+F22),('数据-取费表'!B19/2+'数据-取费表'!B21))-1)),0)</f>
        <v>0</v>
      </c>
      <c r="D24" s="229"/>
      <c r="E24" s="229"/>
      <c r="F24" s="230"/>
      <c r="G24" s="231" t="s">
        <v>1507</v>
      </c>
    </row>
    <row r="25" spans="1:7" s="205" customFormat="1" ht="24">
      <c r="A25" s="728" t="s">
        <v>1508</v>
      </c>
      <c r="B25" s="206" t="s">
        <v>1509</v>
      </c>
      <c r="C25" s="1036">
        <f ca="1">ROUND(IF('数据-取费表'!B22&lt;=1,C20*F22*'数据-取费表'!B23/2,C20*(POWER((1+F22),'数据-取费表'!B23/2)-1)),0)</f>
        <v>32</v>
      </c>
      <c r="D25" s="229"/>
      <c r="E25" s="232"/>
      <c r="F25" s="230"/>
      <c r="G25" s="233" t="s">
        <v>1510</v>
      </c>
    </row>
    <row r="26" spans="1:7" s="205" customFormat="1">
      <c r="A26" s="728"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6319</v>
      </c>
      <c r="D27" s="226">
        <f ca="1">C29</f>
        <v>2.5000000000000001E-3</v>
      </c>
      <c r="E27" s="227" t="s">
        <v>1514</v>
      </c>
      <c r="F27" s="237">
        <f ca="1">IF(B1="",'数据-取费表'!Q16,INDIRECT("'数据-取费表'!q"&amp;$G$1))</f>
        <v>0.15</v>
      </c>
      <c r="G27" s="238" t="s">
        <v>1515</v>
      </c>
    </row>
    <row r="28" spans="1:7" s="205" customFormat="1" ht="13.5" customHeight="1">
      <c r="A28" s="728" t="s">
        <v>346</v>
      </c>
      <c r="B28" s="239" t="s">
        <v>1516</v>
      </c>
      <c r="C28" s="240">
        <f ca="1">ROUND((C5+C19+C20)*F27*'数据-取费表'!B21/'数据-取费表'!B20,0)</f>
        <v>6319</v>
      </c>
      <c r="D28" s="226"/>
      <c r="E28" s="227"/>
      <c r="F28" s="237"/>
      <c r="G28" s="238"/>
    </row>
    <row r="29" spans="1:7" s="205" customFormat="1" ht="13.5" customHeight="1">
      <c r="A29" s="728" t="s">
        <v>347</v>
      </c>
      <c r="B29" s="239" t="s">
        <v>1517</v>
      </c>
      <c r="C29" s="229">
        <f ca="1">ROUND(C21*F27*'数据-取费表'!B21/'数据-取费表'!B20,4)</f>
        <v>2.5000000000000001E-3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93915</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19125</v>
      </c>
      <c r="D33" s="223"/>
      <c r="E33" s="203"/>
      <c r="F33" s="232"/>
      <c r="G33" s="225"/>
    </row>
    <row r="34" spans="1:7" s="249" customFormat="1" ht="13.5" customHeight="1">
      <c r="A34" s="728" t="s">
        <v>346</v>
      </c>
      <c r="B34" s="206" t="s">
        <v>1525</v>
      </c>
      <c r="C34" s="211">
        <f ca="1">IF(B1="",IF(F34=100%,'数据-取费表'!M16,'数据-取费表'!O16),IF(F34=100%,INDIRECT("'数据-取费表'!m"&amp;$G$1)+INDIRECT("'数据-取费表'!t"&amp;$G$1),INDIRECT("'数据-取费表'!o"&amp;$G$1)+INDIRECT("'数据-取费表'!aq"&amp;$G$1)))</f>
        <v>16739</v>
      </c>
      <c r="D34" s="208"/>
      <c r="E34" s="211"/>
      <c r="F34" s="248">
        <f ca="1">IF('数据-取费表'!B24=0,1,IF(B1="",'数据-取费表'!N16,INDIRECT("'数据-取费表'!n"&amp;$G$1)))</f>
        <v>0.55000000000000004</v>
      </c>
      <c r="G34" s="210" t="s">
        <v>1526</v>
      </c>
    </row>
    <row r="35" spans="1:7" ht="13.5" customHeight="1">
      <c r="A35" s="728" t="s">
        <v>351</v>
      </c>
      <c r="B35" s="206" t="s">
        <v>1527</v>
      </c>
      <c r="C35" s="211">
        <f ca="1">ROUND(C34*F35,0)</f>
        <v>502</v>
      </c>
      <c r="D35" s="211"/>
      <c r="E35" s="211"/>
      <c r="F35" s="250">
        <f>'数据-取费表'!B33</f>
        <v>0.03</v>
      </c>
      <c r="G35" s="210" t="s">
        <v>1528</v>
      </c>
    </row>
    <row r="36" spans="1:7" ht="24">
      <c r="A36" s="728" t="s">
        <v>352</v>
      </c>
      <c r="B36" s="206" t="s">
        <v>1529</v>
      </c>
      <c r="C36" s="211">
        <f ca="1">ROUND(IF(B1="",SUMIF('数据-取费表'!C:C,"住宅",IF(F34=100%,'数据-取费表'!M:M,'数据-取费表'!O:O))*F36,IF(INDIRECT("'数据-取费表'!c"&amp;$G$1)="住宅",IF(F34=100%,INDIRECT("'数据-取费表'!m"&amp;$G$1)*F36,INDIRECT("'数据-取费表'!o"&amp;$G$1)*F36),0)),0)</f>
        <v>837</v>
      </c>
      <c r="D36" s="211"/>
      <c r="E36" s="211"/>
      <c r="F36" s="250">
        <f>'数据-取费表'!B34</f>
        <v>0.05</v>
      </c>
      <c r="G36" s="251" t="s">
        <v>1530</v>
      </c>
    </row>
    <row r="37" spans="1:7" s="249" customFormat="1" ht="13.5" customHeight="1">
      <c r="A37" s="728" t="s">
        <v>353</v>
      </c>
      <c r="B37" s="206" t="s">
        <v>1531</v>
      </c>
      <c r="C37" s="240">
        <f ca="1">ROUND(E37*D37*F34/10000,0)</f>
        <v>712</v>
      </c>
      <c r="D37" s="208">
        <f ca="1">D19</f>
        <v>64756.12</v>
      </c>
      <c r="E37" s="240">
        <f>'数据-取费表'!B35</f>
        <v>200</v>
      </c>
      <c r="F37" s="250"/>
      <c r="G37" s="252" t="s">
        <v>1532</v>
      </c>
    </row>
    <row r="38" spans="1:7" ht="13.5" customHeight="1">
      <c r="A38" s="728" t="s">
        <v>354</v>
      </c>
      <c r="B38" s="206" t="s">
        <v>1533</v>
      </c>
      <c r="C38" s="211">
        <f ca="1">ROUND(C34*F38,0)</f>
        <v>335</v>
      </c>
      <c r="D38" s="211"/>
      <c r="E38" s="211"/>
      <c r="F38" s="250">
        <f>'数据-取费表'!B36</f>
        <v>0.02</v>
      </c>
      <c r="G38" s="210" t="s">
        <v>1528</v>
      </c>
    </row>
    <row r="39" spans="1:7" s="205" customFormat="1" ht="13.5" customHeight="1">
      <c r="A39" s="246" t="s">
        <v>1534</v>
      </c>
      <c r="B39" s="201" t="s">
        <v>1535</v>
      </c>
      <c r="C39" s="223">
        <f ca="1">ROUND(C33*F20,0)</f>
        <v>383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415</v>
      </c>
      <c r="D41" s="226">
        <f ca="1">C44</f>
        <v>5.9999999999999995E-4</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ROUND(IF('数据-取费表'!B22&lt;=1,C33*F22*'数据-取费表'!B21/2,C33*(POWER((1+F22),'数据-取费表'!B21/2)-1)),0)</f>
        <v>407</v>
      </c>
      <c r="D42" s="229"/>
      <c r="E42" s="229"/>
      <c r="F42" s="230"/>
      <c r="G42" s="3398" t="s">
        <v>1544</v>
      </c>
    </row>
    <row r="43" spans="1:7" ht="13.5" customHeight="1">
      <c r="A43" s="728" t="s">
        <v>347</v>
      </c>
      <c r="B43" s="206" t="s">
        <v>1545</v>
      </c>
      <c r="C43" s="229">
        <f ca="1">ROUND(IF('数据-取费表'!B22&lt;=1,C39*F22*'数据-取费表'!B21/2,C39*(POWER((1+F22),'数据-取费表'!B21/2)-1)),0)</f>
        <v>8</v>
      </c>
      <c r="D43" s="229"/>
      <c r="E43" s="229"/>
      <c r="F43" s="230"/>
      <c r="G43" s="3399"/>
    </row>
    <row r="44" spans="1:7" ht="13.5" customHeight="1">
      <c r="A44" s="728" t="s">
        <v>348</v>
      </c>
      <c r="B44" s="206" t="s">
        <v>1546</v>
      </c>
      <c r="C44" s="229">
        <f ca="1">ROUND(IF('数据-取费表'!B22&lt;=1,C40*F22*'数据-取费表'!B21/2,C40*(POWER((1+F22),'数据-取费表'!B21/2)-1)),4)</f>
        <v>5.9999999999999995E-4</v>
      </c>
      <c r="D44" s="229"/>
      <c r="E44" s="229"/>
      <c r="F44" s="230"/>
      <c r="G44" s="3400"/>
    </row>
    <row r="45" spans="1:7" s="205" customFormat="1" ht="13.5" customHeight="1">
      <c r="A45" s="246" t="s">
        <v>1547</v>
      </c>
      <c r="B45" s="235" t="s">
        <v>1513</v>
      </c>
      <c r="C45" s="236">
        <f ca="1">C46</f>
        <v>2926</v>
      </c>
      <c r="D45" s="226">
        <f ca="1">C47</f>
        <v>4.4999999999999997E-3</v>
      </c>
      <c r="E45" s="227" t="s">
        <v>1539</v>
      </c>
      <c r="F45" s="237">
        <f ca="1">F27</f>
        <v>0.15</v>
      </c>
      <c r="G45" s="238" t="s">
        <v>1548</v>
      </c>
    </row>
    <row r="46" spans="1:7" s="205" customFormat="1" ht="13.5" customHeight="1">
      <c r="A46" s="728" t="s">
        <v>346</v>
      </c>
      <c r="B46" s="239" t="s">
        <v>1549</v>
      </c>
      <c r="C46" s="240">
        <f ca="1">ROUND((C33+C39)*F27,0)</f>
        <v>2926</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25040</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25040</v>
      </c>
      <c r="D51" s="223"/>
      <c r="E51" s="223"/>
      <c r="F51" s="255"/>
      <c r="G51" s="225" t="s">
        <v>1560</v>
      </c>
    </row>
    <row r="52" spans="1:7" s="199" customFormat="1" ht="16.5" thickBot="1">
      <c r="A52" s="256" t="s">
        <v>1561</v>
      </c>
      <c r="B52" s="257"/>
      <c r="C52" s="258">
        <f ca="1">C31+C51</f>
        <v>118955</v>
      </c>
      <c r="D52" s="257"/>
      <c r="E52" s="257"/>
      <c r="F52" s="257"/>
      <c r="G52" s="259"/>
    </row>
    <row r="55" spans="1:7" ht="15">
      <c r="B55" s="261" t="s">
        <v>1562</v>
      </c>
      <c r="C55" s="262"/>
    </row>
    <row r="56" spans="1:7">
      <c r="B56" s="264" t="s">
        <v>802</v>
      </c>
      <c r="C56" s="266">
        <f ca="1">1-C57</f>
        <v>0.79</v>
      </c>
    </row>
    <row r="57" spans="1:7">
      <c r="B57" s="264" t="s">
        <v>803</v>
      </c>
      <c r="C57" s="265">
        <f ca="1">ROUND(C51/C52,3)</f>
        <v>0.21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68"/>
      <c r="C1" s="1711" t="s">
        <v>1563</v>
      </c>
      <c r="D1" s="189"/>
      <c r="E1" s="189"/>
      <c r="F1" s="189"/>
      <c r="G1" s="1056">
        <f>MATCH(B1,'数据-取费表'!A6:A16,0)+5</f>
        <v>10</v>
      </c>
      <c r="H1" s="992" t="str">
        <f>IF(ISERROR(FIND("住宅",B1)),"非住宅","住宅")</f>
        <v>非住宅</v>
      </c>
    </row>
    <row r="2" spans="1:8" s="191" customFormat="1" ht="18" customHeight="1">
      <c r="A2" s="192" t="s">
        <v>1462</v>
      </c>
      <c r="B2" s="3112">
        <f ca="1">ROUND(IF(D2="——",C52/10000,C52/10000-E2),4)</f>
        <v>49358.214</v>
      </c>
      <c r="C2" s="190" t="s">
        <v>1463</v>
      </c>
      <c r="D2" s="1705" t="s">
        <v>43</v>
      </c>
      <c r="E2" s="1083" t="e">
        <f ca="1">SUMIF(INDIRECT("'"&amp;G2&amp;"'"&amp;"!A:A"),"承租人权益价值",INDIRECT("'"&amp;G2&amp;"'"&amp;"!c:c"))</f>
        <v>#REF!</v>
      </c>
      <c r="F2" s="1706" t="s">
        <v>1463</v>
      </c>
      <c r="G2" s="1707"/>
    </row>
    <row r="3" spans="1:8" s="191" customFormat="1" ht="18" customHeight="1" thickBot="1">
      <c r="A3" s="194" t="s">
        <v>1464</v>
      </c>
      <c r="B3" s="195">
        <f ca="1">ROUND(B2*10000/(IF(B1="",'数据-汇总表'!E3,INDIRECT("'数据-取费表'!k"&amp;$G$1))),0)</f>
        <v>7622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9713418</v>
      </c>
      <c r="D5" s="202" t="s">
        <v>1469</v>
      </c>
      <c r="E5" s="203" t="s">
        <v>1470</v>
      </c>
      <c r="F5" s="203" t="s">
        <v>1471</v>
      </c>
      <c r="G5" s="204"/>
    </row>
    <row r="6" spans="1:8" s="205" customFormat="1" ht="13.5" customHeight="1">
      <c r="A6" s="726" t="s">
        <v>1472</v>
      </c>
      <c r="B6" s="206" t="s">
        <v>1473</v>
      </c>
      <c r="C6" s="207"/>
      <c r="D6" s="208"/>
      <c r="E6" s="209"/>
      <c r="F6" s="209"/>
      <c r="G6" s="210"/>
    </row>
    <row r="7" spans="1:8" s="205" customFormat="1" ht="13.5" customHeight="1">
      <c r="A7" s="726" t="s">
        <v>1474</v>
      </c>
      <c r="B7" s="206" t="s">
        <v>1475</v>
      </c>
      <c r="C7" s="211">
        <f>ROUND(C6*F7,0)</f>
        <v>0</v>
      </c>
      <c r="D7" s="211"/>
      <c r="E7" s="209"/>
      <c r="F7" s="212">
        <f>IF(项目基本情况!B8="出让",0,'数据-取费表'!B48+'数据-取费表'!B49)</f>
        <v>3.0499999999999999E-2</v>
      </c>
      <c r="G7" s="210"/>
    </row>
    <row r="8" spans="1:8" s="214" customFormat="1">
      <c r="A8" s="726" t="s">
        <v>1476</v>
      </c>
      <c r="B8" s="206" t="s">
        <v>1477</v>
      </c>
      <c r="C8" s="211">
        <f ca="1">IF(G8="已包含在土地购买价格中",0,C9+C10)</f>
        <v>9713418</v>
      </c>
      <c r="D8" s="213"/>
      <c r="E8" s="211"/>
      <c r="F8" s="212"/>
      <c r="G8" s="1708"/>
    </row>
    <row r="9" spans="1:8" s="205" customFormat="1" ht="13.5" customHeight="1">
      <c r="A9" s="727" t="s">
        <v>355</v>
      </c>
      <c r="B9" s="215" t="s">
        <v>1478</v>
      </c>
      <c r="C9" s="216">
        <f ca="1">ROUND(D9*E9,0)</f>
        <v>9713418</v>
      </c>
      <c r="D9" s="789">
        <f ca="1">IF(B1="",'数据-汇总表'!E5,IF(INDIRECT("'数据-取费表'!c"&amp;$G$1)="住宅",INDIRECT("'数据-取费表'!k"&amp;$G$1),0))</f>
        <v>64756.12</v>
      </c>
      <c r="E9" s="216">
        <f>'数据-取费表'!B27</f>
        <v>150</v>
      </c>
      <c r="F9" s="212"/>
      <c r="G9" s="217"/>
    </row>
    <row r="10" spans="1:8" s="205" customFormat="1" ht="13.5" customHeight="1">
      <c r="A10" s="727" t="s">
        <v>356</v>
      </c>
      <c r="B10" s="215" t="s">
        <v>1480</v>
      </c>
      <c r="C10" s="216">
        <f ca="1">ROUND(D10*E10,0)</f>
        <v>0</v>
      </c>
      <c r="D10" s="789">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12951224</v>
      </c>
      <c r="D19" s="203">
        <f ca="1">D9+D10</f>
        <v>64756.12</v>
      </c>
      <c r="E19" s="202">
        <f>'数据-取费表'!B31</f>
        <v>200</v>
      </c>
      <c r="F19" s="222"/>
      <c r="G19" s="1708"/>
    </row>
    <row r="20" spans="1:7" s="205" customFormat="1" ht="13.5" customHeight="1">
      <c r="A20" s="246" t="s">
        <v>1574</v>
      </c>
      <c r="B20" s="201" t="s">
        <v>1575</v>
      </c>
      <c r="C20" s="223">
        <f ca="1">ROUND((C5+C19)*F20,0)</f>
        <v>453293</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1815191</v>
      </c>
      <c r="D22" s="226">
        <f ca="1">C26</f>
        <v>1.1999999999999999E-3</v>
      </c>
      <c r="E22" s="227" t="s">
        <v>1579</v>
      </c>
      <c r="F22" s="228">
        <f ca="1">'数据-取费表'!B40</f>
        <v>3.1E-2</v>
      </c>
      <c r="G22" s="225" t="str">
        <f>IF('数据-取费表'!B22&lt;=1,"单利计息","复利计息")</f>
        <v>复利计息</v>
      </c>
    </row>
    <row r="23" spans="1:7" s="205" customFormat="1" ht="13.5" customHeight="1">
      <c r="A23" s="728" t="s">
        <v>1472</v>
      </c>
      <c r="B23" s="206" t="s">
        <v>1583</v>
      </c>
      <c r="C23" s="229">
        <f ca="1">ROUND(IF('数据-取费表'!B22&lt;=1,C5*F22*'数据-取费表'!B22,C5*(POWER((1+F22),'数据-取费表'!B22)-1)),0)</f>
        <v>770382</v>
      </c>
      <c r="D23" s="229"/>
      <c r="E23" s="229"/>
      <c r="F23" s="230"/>
      <c r="G23" s="231" t="s">
        <v>1584</v>
      </c>
    </row>
    <row r="24" spans="1:7" s="205" customFormat="1" ht="13.5" customHeight="1">
      <c r="A24" s="728" t="s">
        <v>1474</v>
      </c>
      <c r="B24" s="206" t="s">
        <v>1585</v>
      </c>
      <c r="C24" s="229">
        <f ca="1">ROUND(IF('数据-取费表'!B22&lt;=1,C19*F22*('数据-取费表'!B19/2+'数据-取费表'!B20),C19*(POWER((1+F22),('数据-取费表'!B19/2+'数据-取费表'!B20))-1)),0)</f>
        <v>1027176</v>
      </c>
      <c r="D24" s="229"/>
      <c r="E24" s="229"/>
      <c r="F24" s="230"/>
      <c r="G24" s="231" t="s">
        <v>1586</v>
      </c>
    </row>
    <row r="25" spans="1:7" s="205" customFormat="1" ht="24">
      <c r="A25" s="728" t="s">
        <v>1476</v>
      </c>
      <c r="B25" s="206" t="s">
        <v>1587</v>
      </c>
      <c r="C25" s="229">
        <f ca="1">ROUND(IF('数据-取费表'!B22&lt;=1,C20*F22*'数据-取费表'!B22/2,C20*(POWER((1+F22),'数据-取费表'!B22/2)-1)),0)</f>
        <v>17633</v>
      </c>
      <c r="D25" s="229"/>
      <c r="E25" s="232"/>
      <c r="F25" s="230"/>
      <c r="G25" s="233" t="s">
        <v>1588</v>
      </c>
    </row>
    <row r="26" spans="1:7" s="205" customFormat="1">
      <c r="A26" s="728"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3467690</v>
      </c>
      <c r="D27" s="226">
        <f ca="1">C29</f>
        <v>4.4999999999999997E-3</v>
      </c>
      <c r="E27" s="227" t="s">
        <v>1514</v>
      </c>
      <c r="F27" s="237">
        <f ca="1">IF(B1="",'数据-取费表'!Q16,INDIRECT("'数据-取费表'!q"&amp;$G$1))</f>
        <v>0.15</v>
      </c>
      <c r="G27" s="238" t="s">
        <v>1515</v>
      </c>
    </row>
    <row r="28" spans="1:7" s="205" customFormat="1" ht="13.5" customHeight="1">
      <c r="A28" s="728" t="s">
        <v>346</v>
      </c>
      <c r="B28" s="239" t="s">
        <v>1516</v>
      </c>
      <c r="C28" s="240">
        <f ca="1">ROUND((C5+C19+C20)*F27,0)</f>
        <v>3467690</v>
      </c>
      <c r="D28" s="226"/>
      <c r="E28" s="227"/>
      <c r="F28" s="237"/>
      <c r="G28" s="238"/>
    </row>
    <row r="29" spans="1:7" s="205" customFormat="1" ht="13.5" customHeight="1">
      <c r="A29" s="728"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31144661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347740364</v>
      </c>
      <c r="D33" s="223"/>
      <c r="E33" s="203"/>
      <c r="F33" s="232"/>
      <c r="G33" s="225"/>
    </row>
    <row r="34" spans="1:7" s="249" customFormat="1" ht="13.5" customHeight="1">
      <c r="A34" s="728" t="s">
        <v>346</v>
      </c>
      <c r="B34" s="206" t="s">
        <v>1525</v>
      </c>
      <c r="C34" s="211">
        <f ca="1">ROUND(IF(B1="",SUMPRODUCT('数据-取费表'!K6:K14,'数据-取费表'!L6:L14),INDIRECT("'数据-取费表'!l"&amp;$G$1)*INDIRECT("'数据-取费表'!k"&amp;$G$1)+'数据-取费表'!L14*INDIRECT("'数据-取费表'!S"&amp;$G$1)),0)</f>
        <v>304353764</v>
      </c>
      <c r="D34" s="208"/>
      <c r="E34" s="211"/>
      <c r="F34" s="248"/>
      <c r="G34" s="210"/>
    </row>
    <row r="35" spans="1:7" ht="13.5" customHeight="1">
      <c r="A35" s="728" t="s">
        <v>351</v>
      </c>
      <c r="B35" s="206" t="s">
        <v>1527</v>
      </c>
      <c r="C35" s="211">
        <f ca="1">ROUND(C34*F35,0)</f>
        <v>9130613</v>
      </c>
      <c r="D35" s="211"/>
      <c r="E35" s="211"/>
      <c r="F35" s="250">
        <f>'数据-取费表'!B33</f>
        <v>0.03</v>
      </c>
      <c r="G35" s="210" t="s">
        <v>1528</v>
      </c>
    </row>
    <row r="36" spans="1:7" ht="24">
      <c r="A36" s="728" t="s">
        <v>352</v>
      </c>
      <c r="B36" s="206" t="s">
        <v>1529</v>
      </c>
      <c r="C36" s="211">
        <f ca="1">ROUND(IF(B1="",SUM('数据-取费表'!AP6:AP13)*F36,IF(INDIRECT("'数据-取费表'!c"&amp;$G$1)="住宅",INDIRECT("'数据-取费表'!k"&amp;$G$1)*INDIRECT("'数据-取费表'!l"&amp;$G$1)*F36,0)),0)</f>
        <v>15217688</v>
      </c>
      <c r="D36" s="211"/>
      <c r="E36" s="211"/>
      <c r="F36" s="250">
        <f>'数据-取费表'!B34</f>
        <v>0.05</v>
      </c>
      <c r="G36" s="251" t="s">
        <v>1530</v>
      </c>
    </row>
    <row r="37" spans="1:7" s="249" customFormat="1" ht="13.5" customHeight="1">
      <c r="A37" s="728" t="s">
        <v>353</v>
      </c>
      <c r="B37" s="206" t="s">
        <v>1531</v>
      </c>
      <c r="C37" s="240">
        <f ca="1">ROUND(E37*D37,0)</f>
        <v>12951224</v>
      </c>
      <c r="D37" s="208">
        <f ca="1">D19</f>
        <v>64756.12</v>
      </c>
      <c r="E37" s="240">
        <f>'数据-取费表'!B35</f>
        <v>200</v>
      </c>
      <c r="F37" s="250"/>
      <c r="G37" s="252"/>
    </row>
    <row r="38" spans="1:7" ht="13.5" customHeight="1">
      <c r="A38" s="728" t="s">
        <v>354</v>
      </c>
      <c r="B38" s="206" t="s">
        <v>1533</v>
      </c>
      <c r="C38" s="211">
        <f ca="1">ROUND(C34*F38,0)</f>
        <v>6087075</v>
      </c>
      <c r="D38" s="211"/>
      <c r="E38" s="211"/>
      <c r="F38" s="250">
        <f>'数据-取费表'!B36</f>
        <v>0.02</v>
      </c>
      <c r="G38" s="210" t="s">
        <v>1528</v>
      </c>
    </row>
    <row r="39" spans="1:7" s="205" customFormat="1" ht="13.5" customHeight="1">
      <c r="A39" s="246" t="s">
        <v>1534</v>
      </c>
      <c r="B39" s="201" t="s">
        <v>1535</v>
      </c>
      <c r="C39" s="223">
        <f ca="1">ROUND(C33*F20,0)</f>
        <v>6954807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13797290</v>
      </c>
      <c r="D41" s="226">
        <f ca="1">C44</f>
        <v>1.1999999999999999E-3</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ROUND(IF('数据-取费表'!B22&lt;=1,C33*F22*'数据-取费表'!B20/2,C33*(POWER((1+F22),'数据-取费表'!B20/2)-1)),0)</f>
        <v>13526755</v>
      </c>
      <c r="D42" s="229"/>
      <c r="E42" s="229"/>
      <c r="F42" s="230"/>
      <c r="G42" s="3398" t="s">
        <v>1591</v>
      </c>
    </row>
    <row r="43" spans="1:7" ht="13.5" customHeight="1">
      <c r="A43" s="728" t="s">
        <v>347</v>
      </c>
      <c r="B43" s="206" t="s">
        <v>1545</v>
      </c>
      <c r="C43" s="229">
        <f ca="1">ROUND(IF('数据-取费表'!B22&lt;=1,C39*F22*'数据-取费表'!B20/2,C39*(POWER((1+F22),'数据-取费表'!B20/2)-1)),0)</f>
        <v>270535</v>
      </c>
      <c r="D43" s="229"/>
      <c r="E43" s="229"/>
      <c r="F43" s="230"/>
      <c r="G43" s="3399"/>
    </row>
    <row r="44" spans="1:7" ht="13.5" customHeight="1">
      <c r="A44" s="728" t="s">
        <v>348</v>
      </c>
      <c r="B44" s="206" t="s">
        <v>1546</v>
      </c>
      <c r="C44" s="229">
        <f ca="1">ROUND(IF('数据-取费表'!B22&lt;=1,C40*F22*'数据-取费表'!B20/2,C40*(POWER((1+F22),'数据-取费表'!B20/2)-1)),4)</f>
        <v>1.1999999999999999E-3</v>
      </c>
      <c r="D44" s="229"/>
      <c r="E44" s="229"/>
      <c r="F44" s="230"/>
      <c r="G44" s="3400"/>
    </row>
    <row r="45" spans="1:7" s="205" customFormat="1" ht="13.5" customHeight="1">
      <c r="A45" s="246" t="s">
        <v>1547</v>
      </c>
      <c r="B45" s="235" t="s">
        <v>1513</v>
      </c>
      <c r="C45" s="236">
        <f ca="1">C46</f>
        <v>53204276</v>
      </c>
      <c r="D45" s="226">
        <f ca="1">C47</f>
        <v>4.4999999999999997E-3</v>
      </c>
      <c r="E45" s="227" t="s">
        <v>1539</v>
      </c>
      <c r="F45" s="237">
        <f ca="1">F27</f>
        <v>0.15</v>
      </c>
      <c r="G45" s="238" t="s">
        <v>1548</v>
      </c>
    </row>
    <row r="46" spans="1:7" s="205" customFormat="1" ht="13.5" customHeight="1">
      <c r="A46" s="728" t="s">
        <v>346</v>
      </c>
      <c r="B46" s="239" t="s">
        <v>1549</v>
      </c>
      <c r="C46" s="240">
        <f ca="1">ROUND((C33+C39)*F27,0)</f>
        <v>53204276</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462437479</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462437479</v>
      </c>
      <c r="D51" s="223"/>
      <c r="E51" s="223"/>
      <c r="F51" s="255"/>
      <c r="G51" s="225" t="s">
        <v>1560</v>
      </c>
    </row>
    <row r="52" spans="1:7" s="199" customFormat="1" ht="16.5" thickBot="1">
      <c r="A52" s="256" t="s">
        <v>1561</v>
      </c>
      <c r="B52" s="257"/>
      <c r="C52" s="258">
        <f ca="1">C31+C51</f>
        <v>493582140</v>
      </c>
      <c r="D52" s="257"/>
      <c r="E52" s="257"/>
      <c r="F52" s="257"/>
      <c r="G52" s="259"/>
    </row>
    <row r="55" spans="1:7" ht="15">
      <c r="B55" s="261" t="s">
        <v>1562</v>
      </c>
      <c r="C55" s="262"/>
    </row>
    <row r="56" spans="1:7">
      <c r="B56" s="264" t="s">
        <v>802</v>
      </c>
      <c r="C56" s="266">
        <f ca="1">1-C57</f>
        <v>6.2999999999999945E-2</v>
      </c>
    </row>
    <row r="57" spans="1:7">
      <c r="B57" s="264" t="s">
        <v>803</v>
      </c>
      <c r="C57" s="265">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Normal="70" zoomScaleSheetLayoutView="100" workbookViewId="0">
      <selection activeCell="M35" sqref="M35"/>
    </sheetView>
  </sheetViews>
  <sheetFormatPr defaultColWidth="6.625" defaultRowHeight="12.75"/>
  <cols>
    <col min="1" max="1" width="9.75" style="686" customWidth="1"/>
    <col min="2" max="2" width="25.75" style="729" customWidth="1"/>
    <col min="3" max="3" width="10.375" style="768" customWidth="1"/>
    <col min="4" max="4" width="9.875" style="729" customWidth="1"/>
    <col min="5" max="5" width="9.5" style="686"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1594</v>
      </c>
      <c r="B1" s="120"/>
      <c r="C1" s="1104"/>
      <c r="D1" s="1103"/>
      <c r="E1" s="2558"/>
      <c r="F1" s="2558"/>
      <c r="G1" s="2439"/>
      <c r="H1" s="2558"/>
      <c r="I1" s="2558"/>
      <c r="J1" s="2558"/>
      <c r="K1" s="2559">
        <f>MATCH(C1,'数据-取费表'!A6:A16,0)+5</f>
        <v>10</v>
      </c>
    </row>
    <row r="2" spans="1:33" ht="18" customHeight="1">
      <c r="A2" s="192" t="s">
        <v>1462</v>
      </c>
      <c r="B2" s="195">
        <f ca="1">C32</f>
        <v>97777</v>
      </c>
      <c r="C2" s="267" t="s">
        <v>1595</v>
      </c>
      <c r="D2" s="267"/>
      <c r="E2" s="2558"/>
      <c r="F2" s="2558"/>
      <c r="G2" s="2558"/>
      <c r="H2" s="2558"/>
      <c r="I2" s="2558"/>
      <c r="J2" s="2558"/>
      <c r="K2" s="2558"/>
    </row>
    <row r="3" spans="1:33" ht="18" customHeight="1" thickBot="1">
      <c r="A3" s="194" t="s">
        <v>1464</v>
      </c>
      <c r="B3" s="195">
        <f ca="1">ROUND(B2*10000/IF(C1="",'数据-汇总表'!E3,INDIRECT("'数据-取费表'!K"&amp;$K$1)),0)</f>
        <v>15099</v>
      </c>
      <c r="C3" s="267" t="s">
        <v>1596</v>
      </c>
      <c r="D3" s="267"/>
      <c r="E3" s="2558"/>
      <c r="F3" s="2558"/>
      <c r="G3" s="2558"/>
      <c r="H3" s="2558"/>
      <c r="I3" s="2558"/>
      <c r="J3" s="2558"/>
      <c r="K3" s="2558"/>
    </row>
    <row r="4" spans="1:33" s="733" customFormat="1" ht="16.5" customHeight="1">
      <c r="A4" s="730" t="s">
        <v>1597</v>
      </c>
      <c r="B4" s="731"/>
      <c r="C4" s="769">
        <f>SUM(C8:K8)</f>
        <v>140210</v>
      </c>
      <c r="D4" s="731"/>
      <c r="E4" s="731"/>
      <c r="F4" s="731"/>
      <c r="G4" s="731"/>
      <c r="H4" s="731"/>
      <c r="I4" s="731"/>
      <c r="J4" s="731"/>
      <c r="K4" s="732"/>
    </row>
    <row r="5" spans="1:33" s="737" customFormat="1" ht="15">
      <c r="A5" s="734" t="s">
        <v>1598</v>
      </c>
      <c r="B5" s="735" t="s">
        <v>1599</v>
      </c>
      <c r="C5" s="1712" t="s">
        <v>3385</v>
      </c>
      <c r="D5" s="1712" t="s">
        <v>4055</v>
      </c>
      <c r="E5" s="1712" t="s">
        <v>4059</v>
      </c>
      <c r="F5" s="1712" t="s">
        <v>4052</v>
      </c>
      <c r="G5" s="1712"/>
      <c r="H5" s="1712"/>
      <c r="I5" s="1712"/>
      <c r="J5" s="1712"/>
      <c r="K5" s="1712"/>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1600</v>
      </c>
      <c r="C6" s="739">
        <f>'比较法-住宅'!B3</f>
        <v>21652</v>
      </c>
      <c r="D6" s="739">
        <f ca="1">收益法!B3</f>
        <v>0</v>
      </c>
      <c r="E6" s="739">
        <f ca="1">收益法车!B3</f>
        <v>0</v>
      </c>
      <c r="F6" s="739"/>
      <c r="G6" s="739"/>
      <c r="H6" s="739"/>
      <c r="I6" s="739"/>
      <c r="J6" s="739"/>
      <c r="K6" s="740"/>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38" t="s">
        <v>1601</v>
      </c>
      <c r="B7" s="122" t="s">
        <v>1602</v>
      </c>
      <c r="C7" s="268">
        <f>SUMIF('数据-汇总表'!$C19:$C33,假设开发法!C5,'数据-汇总表'!$E19:$E33)</f>
        <v>64756.12</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3" t="s">
        <v>1603</v>
      </c>
      <c r="B8" s="155" t="s">
        <v>1604</v>
      </c>
      <c r="C8" s="770">
        <f>'比较法-住宅'!B2</f>
        <v>140210</v>
      </c>
      <c r="D8" s="770"/>
      <c r="E8" s="770"/>
      <c r="F8" s="771"/>
      <c r="G8" s="771"/>
      <c r="H8" s="771"/>
      <c r="I8" s="771"/>
      <c r="J8" s="771"/>
      <c r="K8" s="772"/>
      <c r="L8" s="683"/>
      <c r="M8" s="683"/>
      <c r="N8" s="683"/>
      <c r="O8" s="683"/>
      <c r="P8" s="683"/>
      <c r="Q8" s="683"/>
      <c r="R8" s="683"/>
      <c r="S8" s="683"/>
      <c r="T8" s="683"/>
      <c r="U8" s="683"/>
      <c r="V8" s="683"/>
      <c r="W8" s="683"/>
      <c r="X8" s="683"/>
      <c r="Y8" s="683"/>
      <c r="Z8" s="683"/>
      <c r="AA8" s="683"/>
      <c r="AB8" s="683"/>
      <c r="AC8" s="683"/>
      <c r="AD8" s="683"/>
      <c r="AE8" s="683"/>
      <c r="AF8" s="683"/>
      <c r="AG8" s="683"/>
    </row>
    <row r="9" spans="1:33" s="733" customFormat="1" ht="16.5" customHeight="1">
      <c r="A9" s="730" t="s">
        <v>1605</v>
      </c>
      <c r="B9" s="731"/>
      <c r="C9" s="731"/>
      <c r="D9" s="731"/>
      <c r="E9" s="731"/>
      <c r="F9" s="731"/>
      <c r="G9" s="731"/>
      <c r="H9" s="731"/>
      <c r="I9" s="731"/>
      <c r="J9" s="731"/>
      <c r="K9" s="732"/>
    </row>
    <row r="10" spans="1:33" s="745" customFormat="1" ht="13.5" customHeight="1">
      <c r="A10" s="734" t="s">
        <v>1606</v>
      </c>
      <c r="B10" s="5" t="s">
        <v>1607</v>
      </c>
      <c r="C10" s="741" t="s">
        <v>1608</v>
      </c>
      <c r="D10" s="742" t="s">
        <v>1609</v>
      </c>
      <c r="E10" s="742" t="s">
        <v>1610</v>
      </c>
      <c r="F10" s="742" t="s">
        <v>1611</v>
      </c>
      <c r="G10" s="5"/>
      <c r="H10" s="743"/>
      <c r="I10" s="743"/>
      <c r="J10" s="743"/>
      <c r="K10" s="744"/>
    </row>
    <row r="11" spans="1:33" s="749" customFormat="1" ht="13.5" customHeight="1">
      <c r="A11" s="746" t="s">
        <v>635</v>
      </c>
      <c r="B11" s="747" t="s">
        <v>1612</v>
      </c>
      <c r="C11" s="270">
        <f ca="1">IF(C1="",'数据-取费表'!P16,INDIRECT("'数据-取费表'!p"&amp;$K$1)+INDIRECT("'数据-取费表'!ar"&amp;$K$1))</f>
        <v>13696</v>
      </c>
      <c r="D11" s="748"/>
      <c r="E11" s="137"/>
      <c r="F11" s="758">
        <f ca="1">1-IF('数据-取费表'!B24=0,1,IF(C1="",'数据-取费表'!N16,INDIRECT("'数据-取费表'!n"&amp;$K$1)))</f>
        <v>0.44999999999999996</v>
      </c>
      <c r="G11" s="5"/>
      <c r="H11" s="743"/>
      <c r="I11" s="743"/>
      <c r="J11" s="743"/>
      <c r="K11" s="744"/>
    </row>
    <row r="12" spans="1:33" s="749" customFormat="1" ht="13.5" customHeight="1">
      <c r="A12" s="746" t="s">
        <v>636</v>
      </c>
      <c r="B12" s="747" t="s">
        <v>1613</v>
      </c>
      <c r="C12" s="21">
        <f ca="1">ROUND(C11*F12,0)</f>
        <v>411</v>
      </c>
      <c r="D12" s="748"/>
      <c r="E12" s="137"/>
      <c r="F12" s="758">
        <f>'数据-取费表'!B33</f>
        <v>0.03</v>
      </c>
      <c r="G12" s="5" t="s">
        <v>1614</v>
      </c>
      <c r="H12" s="743"/>
      <c r="I12" s="743"/>
      <c r="J12" s="743"/>
      <c r="K12" s="744"/>
    </row>
    <row r="13" spans="1:33" s="749" customFormat="1" ht="13.5" customHeight="1">
      <c r="A13" s="746" t="s">
        <v>637</v>
      </c>
      <c r="B13" s="747" t="s">
        <v>1615</v>
      </c>
      <c r="C13" s="21">
        <f ca="1">ROUND(IF(C1="",SUMIF('数据-取费表'!C:C,"住宅",'数据-取费表'!P:P)*F13,IF(INDIRECT("'数据-取费表'!c"&amp;$K$1)="住宅",INDIRECT("'数据-取费表'!P"&amp;$K$1)*F13,0)),0)</f>
        <v>685</v>
      </c>
      <c r="D13" s="790"/>
      <c r="E13" s="137"/>
      <c r="F13" s="758">
        <f>'数据-取费表'!B34</f>
        <v>0.05</v>
      </c>
      <c r="G13" s="5" t="s">
        <v>1616</v>
      </c>
      <c r="H13" s="743"/>
      <c r="I13" s="743"/>
      <c r="J13" s="743"/>
      <c r="K13" s="744"/>
    </row>
    <row r="14" spans="1:33" s="751" customFormat="1" ht="13.5" customHeight="1">
      <c r="A14" s="746" t="s">
        <v>638</v>
      </c>
      <c r="B14" s="747" t="s">
        <v>1617</v>
      </c>
      <c r="C14" s="21">
        <f ca="1">ROUND(D14*E14*F11/10000,0)</f>
        <v>583</v>
      </c>
      <c r="D14" s="790">
        <f ca="1">IF(C1="",'数据-汇总表'!E3,INDIRECT("'数据-取费表'!K"&amp;$K$1)+INDIRECT("'数据-取费表'!S"&amp;$K$1))</f>
        <v>64756.12</v>
      </c>
      <c r="E14" s="21">
        <f>'数据-取费表'!B35</f>
        <v>200</v>
      </c>
      <c r="F14" s="750"/>
      <c r="G14" s="5" t="s">
        <v>1618</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1619</v>
      </c>
      <c r="C15" s="757">
        <f ca="1">ROUND(C11*F15,0)</f>
        <v>274</v>
      </c>
      <c r="D15" s="752"/>
      <c r="E15" s="757"/>
      <c r="F15" s="758">
        <f>'数据-取费表'!B36</f>
        <v>0.02</v>
      </c>
      <c r="G15" s="122" t="s">
        <v>1620</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1621</v>
      </c>
      <c r="C16" s="757">
        <f ca="1">SUM(C11:C15)</f>
        <v>15649</v>
      </c>
      <c r="D16" s="752"/>
      <c r="E16" s="757"/>
      <c r="F16" s="758"/>
      <c r="G16" s="122"/>
      <c r="H16" s="1101"/>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1622</v>
      </c>
      <c r="C17" s="21">
        <f ca="1">ROUND(D17*E17/10000,0)</f>
        <v>0</v>
      </c>
      <c r="D17" s="790">
        <f ca="1">D14</f>
        <v>64756.12</v>
      </c>
      <c r="E17" s="21">
        <f>'数据-取费表'!B32</f>
        <v>0</v>
      </c>
      <c r="F17" s="752"/>
      <c r="G17" s="122" t="s">
        <v>1623</v>
      </c>
      <c r="H17" s="1101"/>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1624</v>
      </c>
      <c r="C18" s="21">
        <f ca="1">C19+C20-IF(C1="",'数据-取费表'!B29,IF(G18="已全部缴纳",C19+C20,H18))</f>
        <v>971</v>
      </c>
      <c r="D18" s="790"/>
      <c r="E18" s="21"/>
      <c r="F18" s="750"/>
      <c r="G18" s="1714"/>
      <c r="H18" s="1100"/>
      <c r="I18" s="1715" t="s">
        <v>1625</v>
      </c>
      <c r="J18" s="753"/>
      <c r="K18" s="754"/>
    </row>
    <row r="19" spans="1:33" s="749" customFormat="1" ht="13.5" customHeight="1">
      <c r="A19" s="746" t="s">
        <v>360</v>
      </c>
      <c r="B19" s="747" t="s">
        <v>1626</v>
      </c>
      <c r="C19" s="21">
        <f ca="1">ROUND(D19*E19/10000,0)</f>
        <v>971</v>
      </c>
      <c r="D19" s="790">
        <f ca="1">IF(C1="",'数据-汇总表'!E5,IF(INDIRECT("'数据-取费表'!c"&amp;$K$1)="住宅",INDIRECT("'数据-取费表'!k"&amp;$K$1),0))</f>
        <v>64756.12</v>
      </c>
      <c r="E19" s="21">
        <f>'数据-取费表'!B27</f>
        <v>150</v>
      </c>
      <c r="F19" s="750"/>
      <c r="G19" s="12"/>
      <c r="H19" s="1102"/>
      <c r="I19" s="755"/>
      <c r="J19" s="755"/>
      <c r="K19" s="756"/>
    </row>
    <row r="20" spans="1:33" s="749" customFormat="1" ht="13.5" customHeight="1">
      <c r="A20" s="746" t="s">
        <v>361</v>
      </c>
      <c r="B20" s="747" t="s">
        <v>1627</v>
      </c>
      <c r="C20" s="21">
        <f ca="1">ROUND(D20*E20/10000,0)</f>
        <v>0</v>
      </c>
      <c r="D20" s="790">
        <f ca="1">IF(C1="",'数据-汇总表'!E6,IF(INDIRECT("'数据-取费表'!c"&amp;$K$1)="住宅",INDIRECT("'数据-取费表'!s"&amp;$K$1),INDIRECT("'数据-取费表'!k"&amp;$K$1)+INDIRECT("'数据-取费表'!s"&amp;$K$1)))</f>
        <v>0</v>
      </c>
      <c r="E20" s="21">
        <f>'数据-取费表'!B28</f>
        <v>190</v>
      </c>
      <c r="F20" s="750"/>
      <c r="G20" s="12"/>
      <c r="H20" s="755"/>
      <c r="I20" s="755"/>
      <c r="J20" s="755"/>
      <c r="K20" s="756"/>
    </row>
    <row r="21" spans="1:33" s="749" customFormat="1" ht="13.5" customHeight="1">
      <c r="A21" s="738" t="s">
        <v>357</v>
      </c>
      <c r="B21" s="759" t="s">
        <v>1628</v>
      </c>
      <c r="C21" s="760">
        <f ca="1">C16+C17+C18</f>
        <v>16620</v>
      </c>
      <c r="D21" s="761"/>
      <c r="E21" s="272"/>
      <c r="F21" s="272"/>
      <c r="G21" s="122" t="s">
        <v>1629</v>
      </c>
      <c r="H21" s="753"/>
      <c r="I21" s="753"/>
      <c r="J21" s="753"/>
      <c r="K21" s="754"/>
    </row>
    <row r="22" spans="1:33" s="749" customFormat="1" ht="13.5" customHeight="1">
      <c r="A22" s="738" t="s">
        <v>1601</v>
      </c>
      <c r="B22" s="759" t="s">
        <v>1630</v>
      </c>
      <c r="C22" s="760">
        <f ca="1">ROUND(C21*F22,0)</f>
        <v>332</v>
      </c>
      <c r="D22" s="272"/>
      <c r="E22" s="272"/>
      <c r="F22" s="762">
        <f>'数据-取费表'!B37</f>
        <v>0.02</v>
      </c>
      <c r="G22" s="5" t="s">
        <v>1631</v>
      </c>
      <c r="H22" s="743"/>
      <c r="I22" s="743"/>
      <c r="J22" s="743"/>
      <c r="K22" s="744"/>
    </row>
    <row r="23" spans="1:33" s="749" customFormat="1" ht="13.5" customHeight="1">
      <c r="A23" s="738" t="s">
        <v>1603</v>
      </c>
      <c r="B23" s="759" t="s">
        <v>1632</v>
      </c>
      <c r="C23" s="760">
        <f ca="1">ROUND(C4*F23*F11,0)</f>
        <v>1893</v>
      </c>
      <c r="D23" s="272"/>
      <c r="E23" s="272"/>
      <c r="F23" s="762">
        <f>'数据-取费表'!B38</f>
        <v>0.03</v>
      </c>
      <c r="G23" s="5" t="s">
        <v>1633</v>
      </c>
      <c r="H23" s="743"/>
      <c r="I23" s="743"/>
      <c r="J23" s="743"/>
      <c r="K23" s="744"/>
    </row>
    <row r="24" spans="1:33" s="749" customFormat="1" ht="13.5" customHeight="1">
      <c r="A24" s="738" t="s">
        <v>1634</v>
      </c>
      <c r="B24" s="759" t="s">
        <v>1635</v>
      </c>
      <c r="C24" s="271">
        <f>ROUND(F24/(1+'数据-取费表'!C42),4)</f>
        <v>2.9000000000000001E-2</v>
      </c>
      <c r="D24" s="272" t="s">
        <v>12</v>
      </c>
      <c r="E24" s="272"/>
      <c r="F24" s="762">
        <f>IF(项目基本情况!B8="出让",0,'数据-取费表'!B48+'数据-取费表'!B49)</f>
        <v>3.0499999999999999E-2</v>
      </c>
      <c r="G24" s="5" t="s">
        <v>1636</v>
      </c>
      <c r="H24" s="764"/>
      <c r="I24" s="764"/>
      <c r="J24" s="764"/>
      <c r="K24" s="55"/>
    </row>
    <row r="25" spans="1:33" s="749" customFormat="1" ht="13.5" customHeight="1">
      <c r="A25" s="738" t="s">
        <v>1637</v>
      </c>
      <c r="B25" s="761" t="s">
        <v>1638</v>
      </c>
      <c r="C25" s="1037">
        <f ca="1">C27</f>
        <v>325</v>
      </c>
      <c r="D25" s="271">
        <f ca="1">C26</f>
        <v>3.5799999999999998E-2</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1639</v>
      </c>
      <c r="C26" s="1038">
        <f ca="1">ROUND(IF('数据-取费表'!B22&lt;=1,(1+C24)*F25*'数据-取费表'!B24,(1+C24)*(POWER((1+F25),'数据-取费表'!B24)-1)),4)</f>
        <v>3.5799999999999998E-2</v>
      </c>
      <c r="D26" s="275"/>
      <c r="E26" s="276"/>
      <c r="F26" s="277"/>
      <c r="G26" s="1716"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1640</v>
      </c>
      <c r="C27" s="1039">
        <f ca="1">ROUND(IF('数据-取费表'!B22&lt;=1,(C21+C22+C23)*F25*'数据-取费表'!B24/2,(C21+C22+C23)*(POWER((1+F25),'数据-取费表'!B24/2)-1)),0)</f>
        <v>325</v>
      </c>
      <c r="D27" s="275"/>
      <c r="E27" s="276"/>
      <c r="F27" s="277"/>
      <c r="G27" s="1716" t="str">
        <f>IF('数据-取费表'!B22&lt;=1,"（1）-（3）项×年利率×建设期÷2","（1）-（3）项×((1+年利率)^(建设期÷2)-1)")</f>
        <v>（1）-（3）项×((1+年利率)^(建设期÷2)-1)</v>
      </c>
      <c r="H27" s="753"/>
      <c r="I27" s="753"/>
      <c r="J27" s="753"/>
      <c r="K27" s="754"/>
    </row>
    <row r="28" spans="1:33" s="280" customFormat="1" ht="13.5" customHeight="1">
      <c r="A28" s="738" t="s">
        <v>1641</v>
      </c>
      <c r="B28" s="1717" t="s">
        <v>1642</v>
      </c>
      <c r="C28" s="278">
        <f ca="1">C30</f>
        <v>2827</v>
      </c>
      <c r="D28" s="271">
        <f ca="1">C29</f>
        <v>6.9099999999999995E-2</v>
      </c>
      <c r="E28" s="273" t="s">
        <v>12</v>
      </c>
      <c r="F28" s="279">
        <f ca="1">IF(C1="",'数据-取费表'!Q16,INDIRECT("'数据-取费表'!q"&amp;$K$1))</f>
        <v>0.15</v>
      </c>
      <c r="G28" s="763"/>
      <c r="H28" s="764"/>
      <c r="I28" s="764"/>
      <c r="J28" s="764"/>
      <c r="K28" s="55"/>
    </row>
    <row r="29" spans="1:33" s="282" customFormat="1" ht="13.5" customHeight="1">
      <c r="A29" s="746" t="s">
        <v>358</v>
      </c>
      <c r="B29" s="767" t="s">
        <v>1643</v>
      </c>
      <c r="C29" s="275">
        <f ca="1">ROUND((1+C24)*F28*'数据-取费表'!B24/'数据-取费表'!B20,4)</f>
        <v>6.9099999999999995E-2</v>
      </c>
      <c r="D29" s="275"/>
      <c r="E29" s="276"/>
      <c r="F29" s="281"/>
      <c r="G29" s="122" t="s">
        <v>1644</v>
      </c>
      <c r="H29" s="753"/>
      <c r="I29" s="753"/>
      <c r="J29" s="753"/>
      <c r="K29" s="754"/>
    </row>
    <row r="30" spans="1:33" s="282" customFormat="1" ht="13.5" customHeight="1">
      <c r="A30" s="746" t="s">
        <v>359</v>
      </c>
      <c r="B30" s="767" t="s">
        <v>1645</v>
      </c>
      <c r="C30" s="283">
        <f ca="1">ROUND((C21+C22+C23)*F28,0)</f>
        <v>2827</v>
      </c>
      <c r="D30" s="275"/>
      <c r="E30" s="276"/>
      <c r="F30" s="281"/>
      <c r="G30" s="122"/>
      <c r="H30" s="753"/>
      <c r="I30" s="753"/>
      <c r="J30" s="753"/>
      <c r="K30" s="754"/>
    </row>
    <row r="31" spans="1:33" s="749" customFormat="1" ht="13.5" customHeight="1" thickBot="1">
      <c r="A31" s="1718" t="s">
        <v>1646</v>
      </c>
      <c r="B31" s="777" t="s">
        <v>1647</v>
      </c>
      <c r="C31" s="778">
        <f>ROUND(C4*F31/(1+'数据-取费表'!C42),0)</f>
        <v>7344</v>
      </c>
      <c r="D31" s="779"/>
      <c r="E31" s="780"/>
      <c r="F31" s="781">
        <f>'数据-取费表'!B41</f>
        <v>5.5000000000000007E-2</v>
      </c>
      <c r="G31" s="782" t="s">
        <v>1648</v>
      </c>
      <c r="H31" s="783"/>
      <c r="I31" s="783"/>
      <c r="J31" s="783"/>
      <c r="K31" s="784"/>
    </row>
    <row r="32" spans="1:33" s="745" customFormat="1" ht="13.5" customHeight="1" thickBot="1">
      <c r="A32" s="448" t="s">
        <v>1649</v>
      </c>
      <c r="B32" s="773"/>
      <c r="C32" s="774">
        <f ca="1">ROUND((C4-C21-C22-C23-C25-C28-C31)/(1+C24+D25+D28),0)</f>
        <v>97777</v>
      </c>
      <c r="D32" s="773"/>
      <c r="E32" s="773"/>
      <c r="F32" s="773"/>
      <c r="G32" s="775" t="s">
        <v>1650</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1" zoomScaleNormal="60" zoomScaleSheetLayoutView="100" workbookViewId="0">
      <selection activeCell="L42" sqref="L4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1661</v>
      </c>
      <c r="C1" s="1149" t="s">
        <v>1662</v>
      </c>
      <c r="D1" s="1136" t="s">
        <v>3385</v>
      </c>
      <c r="E1" s="3114" t="s">
        <v>4027</v>
      </c>
      <c r="F1" s="1729" t="s">
        <v>4028</v>
      </c>
      <c r="G1" s="1146" t="s">
        <v>1663</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7" customFormat="1" ht="28.5" customHeight="1" thickTop="1">
      <c r="A2" s="1132" t="s">
        <v>685</v>
      </c>
      <c r="B2" s="3115">
        <f>IF(E1="项目模式",IF(C2="——",ROUND(C49*D3/10000,0),ROUND(C49*D3/10000,0)-D2),IF(E1="单套模式",IF(C2="——",ROUND(C49*D3/10000,4),ROUND(C49*D3/10000,4)-D2)))</f>
        <v>140210</v>
      </c>
      <c r="C2" s="1731" t="s">
        <v>43</v>
      </c>
      <c r="D2" s="1046" t="e">
        <f ca="1">IF(E1="项目模式",SUMIF(INDIRECT("'"&amp;F2&amp;"'"&amp;"!A:A"),"承租人权益价值",INDIRECT("'"&amp;F2&amp;"'"&amp;"!c:c")),SUMIF(INDIRECT("'"&amp;F2&amp;"'"&amp;"!A:A"),"承租人权益价值（单套）",INDIRECT("'"&amp;F2&amp;"'"&amp;"!c:c")))</f>
        <v>#REF!</v>
      </c>
      <c r="E2" s="1732" t="s">
        <v>1664</v>
      </c>
      <c r="F2" s="1733"/>
      <c r="G2" s="848"/>
      <c r="H2" s="848"/>
      <c r="I2" s="848"/>
      <c r="J2" s="848"/>
      <c r="K2" s="1734"/>
      <c r="L2" s="2475"/>
      <c r="M2" s="2476"/>
      <c r="N2" s="2476"/>
      <c r="O2" s="2476"/>
      <c r="P2" s="1735"/>
      <c r="Q2" s="1736"/>
      <c r="R2" s="1736"/>
      <c r="S2" s="1736"/>
      <c r="T2" s="1736"/>
      <c r="U2" s="1736"/>
      <c r="V2" s="1736"/>
      <c r="W2" s="1736"/>
      <c r="X2" s="1736"/>
      <c r="Y2" s="1736"/>
      <c r="Z2" s="1736"/>
      <c r="AA2" s="1736"/>
      <c r="AB2" s="1736"/>
      <c r="AC2" s="992"/>
    </row>
    <row r="3" spans="1:29" s="337" customFormat="1" ht="28.5" customHeight="1" thickBot="1">
      <c r="A3" s="194" t="s">
        <v>686</v>
      </c>
      <c r="B3" s="342">
        <f>IF(C2="——",C49,ROUND(B2*10000/D3,0))</f>
        <v>21652</v>
      </c>
      <c r="C3" s="343" t="s">
        <v>1665</v>
      </c>
      <c r="D3" s="342">
        <f>IF(D1="",'数据-汇总表'!E3,SUMIF('数据-汇总表'!$C19:$C33,D1,'数据-汇总表'!$E19:$E33))</f>
        <v>64756.12</v>
      </c>
      <c r="E3" s="848"/>
      <c r="F3" s="1737"/>
      <c r="G3" s="848"/>
      <c r="H3" s="848"/>
      <c r="I3" s="848"/>
      <c r="J3" s="848"/>
      <c r="K3" s="1734"/>
      <c r="L3" s="2475"/>
      <c r="M3" s="2476"/>
      <c r="N3" s="2476"/>
      <c r="O3" s="2476"/>
      <c r="P3" s="1735"/>
      <c r="Q3" s="1736"/>
      <c r="R3" s="1736"/>
      <c r="S3" s="1736"/>
      <c r="T3" s="1736"/>
      <c r="U3" s="1736"/>
      <c r="V3" s="1736"/>
      <c r="W3" s="1736"/>
      <c r="X3" s="1736"/>
      <c r="Y3" s="1736"/>
      <c r="Z3" s="1736"/>
      <c r="AA3" s="1736"/>
      <c r="AB3" s="1736"/>
      <c r="AC3" s="992"/>
    </row>
    <row r="4" spans="1:29" ht="15">
      <c r="A4" s="344" t="s">
        <v>1666</v>
      </c>
      <c r="B4" s="345"/>
      <c r="C4" s="3360" t="s">
        <v>1667</v>
      </c>
      <c r="D4" s="3372"/>
      <c r="E4" s="3373" t="s">
        <v>1668</v>
      </c>
      <c r="F4" s="3374"/>
      <c r="G4" s="3360" t="s">
        <v>1669</v>
      </c>
      <c r="H4" s="3372"/>
      <c r="I4" s="3360" t="s">
        <v>1670</v>
      </c>
      <c r="J4" s="3372"/>
      <c r="K4" s="1738" t="s">
        <v>1671</v>
      </c>
      <c r="L4" s="2477"/>
      <c r="M4" s="2478"/>
      <c r="N4" s="2478"/>
      <c r="O4" s="2478"/>
      <c r="P4" s="3375" t="s">
        <v>1672</v>
      </c>
      <c r="Q4" s="3376"/>
      <c r="R4" s="3381" t="s">
        <v>1668</v>
      </c>
      <c r="S4" s="3382"/>
      <c r="T4" s="3381" t="s">
        <v>1669</v>
      </c>
      <c r="U4" s="3382"/>
      <c r="V4" s="3368" t="s">
        <v>1670</v>
      </c>
      <c r="W4" s="3368"/>
      <c r="X4" s="1259"/>
      <c r="Y4" s="3381" t="s">
        <v>1672</v>
      </c>
      <c r="Z4" s="3382"/>
      <c r="AA4" s="3369" t="s">
        <v>1668</v>
      </c>
      <c r="AB4" s="3369" t="s">
        <v>1669</v>
      </c>
      <c r="AC4" s="3369" t="s">
        <v>1670</v>
      </c>
    </row>
    <row r="5" spans="1:29" ht="15">
      <c r="A5" s="347"/>
      <c r="B5" s="348"/>
      <c r="C5" s="3389" t="s">
        <v>1673</v>
      </c>
      <c r="D5" s="3390"/>
      <c r="E5" s="3409" t="s">
        <v>4024</v>
      </c>
      <c r="F5" s="3397"/>
      <c r="G5" s="3408" t="s">
        <v>4025</v>
      </c>
      <c r="H5" s="3390"/>
      <c r="I5" s="3408" t="s">
        <v>4026</v>
      </c>
      <c r="J5" s="3390"/>
      <c r="K5" s="1739"/>
      <c r="L5" s="2477"/>
      <c r="M5" s="2478"/>
      <c r="N5" s="2478"/>
      <c r="O5" s="2478"/>
      <c r="P5" s="3377"/>
      <c r="Q5" s="3378"/>
      <c r="R5" s="3383"/>
      <c r="S5" s="3384"/>
      <c r="T5" s="3383"/>
      <c r="U5" s="3384"/>
      <c r="V5" s="3368"/>
      <c r="W5" s="3368"/>
      <c r="X5" s="1259"/>
      <c r="Y5" s="3383"/>
      <c r="Z5" s="3384"/>
      <c r="AA5" s="3370"/>
      <c r="AB5" s="3370"/>
      <c r="AC5" s="3370"/>
    </row>
    <row r="6" spans="1:29" ht="15.75" thickBot="1">
      <c r="A6" s="349"/>
      <c r="B6" s="350"/>
      <c r="C6" s="3387" t="s">
        <v>1677</v>
      </c>
      <c r="D6" s="3388"/>
      <c r="E6" s="3394" t="s">
        <v>1677</v>
      </c>
      <c r="F6" s="3395"/>
      <c r="G6" s="3387" t="s">
        <v>1677</v>
      </c>
      <c r="H6" s="3388"/>
      <c r="I6" s="3387" t="s">
        <v>1677</v>
      </c>
      <c r="J6" s="3388"/>
      <c r="K6" s="1739" t="s">
        <v>1678</v>
      </c>
      <c r="L6" s="2477"/>
      <c r="M6" s="2478"/>
      <c r="N6" s="2478"/>
      <c r="O6" s="2478"/>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v>45566</v>
      </c>
      <c r="F7" s="356">
        <f>SUMIF(58:58,YEAR(E7)&amp;"-"&amp;MONTH(E7),59:59)</f>
        <v>100</v>
      </c>
      <c r="G7" s="355">
        <v>45383</v>
      </c>
      <c r="H7" s="354">
        <f>SUMIF(58:58,YEAR(G7)&amp;"-"&amp;MONTH(G7),59:59)</f>
        <v>100</v>
      </c>
      <c r="I7" s="355">
        <v>45566</v>
      </c>
      <c r="J7" s="354">
        <f>SUMIF(58:58,YEAR(I7)&amp;"-"&amp;MONTH(I7),59:59)</f>
        <v>100</v>
      </c>
      <c r="K7" s="1740"/>
      <c r="L7" s="2479"/>
      <c r="M7" s="2431"/>
      <c r="N7" s="2431"/>
      <c r="O7" s="2431"/>
      <c r="P7" s="3391" t="s">
        <v>1680</v>
      </c>
      <c r="Q7" s="3393"/>
      <c r="R7" s="663" t="s">
        <v>20</v>
      </c>
      <c r="S7" s="664">
        <f t="shared" ref="S7:S15" si="0">F7</f>
        <v>100</v>
      </c>
      <c r="T7" s="663" t="s">
        <v>20</v>
      </c>
      <c r="U7" s="664">
        <f t="shared" ref="U7:U15" si="1">H7</f>
        <v>100</v>
      </c>
      <c r="V7" s="663" t="s">
        <v>20</v>
      </c>
      <c r="W7" s="664">
        <f t="shared" ref="W7:W15" si="2">J7</f>
        <v>100</v>
      </c>
      <c r="X7" s="665"/>
      <c r="Y7" s="3391" t="s">
        <v>1680</v>
      </c>
      <c r="Z7" s="3392"/>
      <c r="AA7" s="50">
        <f>D7/F7</f>
        <v>1</v>
      </c>
      <c r="AB7" s="50">
        <f>D7/H7</f>
        <v>1</v>
      </c>
      <c r="AC7" s="50">
        <f>D7/J7</f>
        <v>1</v>
      </c>
    </row>
    <row r="8" spans="1:29" s="102" customFormat="1" ht="15.75" thickBot="1">
      <c r="A8" s="351" t="s">
        <v>1681</v>
      </c>
      <c r="B8" s="352"/>
      <c r="C8" s="357" t="s">
        <v>4018</v>
      </c>
      <c r="D8" s="354">
        <v>100</v>
      </c>
      <c r="E8" s="357" t="s">
        <v>4018</v>
      </c>
      <c r="F8" s="356">
        <f>SUMIF(61:61,E8,62:62)-SUMIF(61:61,C8,62:62)+100</f>
        <v>100</v>
      </c>
      <c r="G8" s="357" t="s">
        <v>4018</v>
      </c>
      <c r="H8" s="354">
        <f>SUMIF(61:61,G8,62:62)-SUMIF(61:61,C8,62:62)+100</f>
        <v>100</v>
      </c>
      <c r="I8" s="357" t="s">
        <v>4018</v>
      </c>
      <c r="J8" s="354">
        <f>SUMIF(61:61,I8,62:62)-SUMIF(61:61,C8,62:62)+100</f>
        <v>100</v>
      </c>
      <c r="K8" s="1740"/>
      <c r="L8" s="2479"/>
      <c r="M8" s="2431"/>
      <c r="N8" s="2431"/>
      <c r="O8" s="2431"/>
      <c r="P8" s="3391" t="s">
        <v>1683</v>
      </c>
      <c r="Q8" s="3392"/>
      <c r="R8" s="663" t="s">
        <v>20</v>
      </c>
      <c r="S8" s="664">
        <f t="shared" si="0"/>
        <v>100</v>
      </c>
      <c r="T8" s="663" t="s">
        <v>20</v>
      </c>
      <c r="U8" s="664">
        <f t="shared" si="1"/>
        <v>100</v>
      </c>
      <c r="V8" s="663" t="s">
        <v>20</v>
      </c>
      <c r="W8" s="664">
        <f t="shared" si="2"/>
        <v>100</v>
      </c>
      <c r="X8" s="665"/>
      <c r="Y8" s="3391" t="s">
        <v>1683</v>
      </c>
      <c r="Z8" s="3392"/>
      <c r="AA8" s="50">
        <f t="shared" ref="AA8:AA19" si="3">D8/F8</f>
        <v>1</v>
      </c>
      <c r="AB8" s="50">
        <f t="shared" ref="AB8:AB19" si="4">D8/H8</f>
        <v>1</v>
      </c>
      <c r="AC8" s="50">
        <f t="shared" ref="AC8:AC19" si="5">D8/J8</f>
        <v>1</v>
      </c>
    </row>
    <row r="9" spans="1:29" s="102" customFormat="1">
      <c r="A9" s="358" t="s">
        <v>1684</v>
      </c>
      <c r="B9" s="60" t="s">
        <v>1685</v>
      </c>
      <c r="C9" s="3158" t="s">
        <v>4050</v>
      </c>
      <c r="D9" s="59">
        <v>100</v>
      </c>
      <c r="E9" s="361" t="s">
        <v>3385</v>
      </c>
      <c r="F9" s="60">
        <f>SUMIF(63:63,E9,64:64)-SUMIF(63:63,C9,64:64)+100</f>
        <v>100</v>
      </c>
      <c r="G9" s="361" t="s">
        <v>3385</v>
      </c>
      <c r="H9" s="59">
        <f>SUMIF(63:63,G9,64:64)-SUMIF(63:63,C9,64:64)+100</f>
        <v>100</v>
      </c>
      <c r="I9" s="361" t="s">
        <v>3385</v>
      </c>
      <c r="J9" s="59">
        <f>SUMIF(63:63,I9,64:64)-SUMIF(63:63,C9,64:64)+100</f>
        <v>100</v>
      </c>
      <c r="K9" s="1740"/>
      <c r="L9" s="2479"/>
      <c r="M9" s="2431"/>
      <c r="N9" s="2431"/>
      <c r="O9" s="2431"/>
      <c r="P9" s="3362"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0"/>
      <c r="L10" s="2480"/>
      <c r="M10" s="2481"/>
      <c r="N10" s="2481"/>
      <c r="O10" s="2481"/>
      <c r="P10" s="3362"/>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f>'土地比较法-住宅、综合'!C11</f>
        <v>2.8</v>
      </c>
      <c r="D11" s="118">
        <v>100</v>
      </c>
      <c r="E11" s="368">
        <v>1.26</v>
      </c>
      <c r="F11" s="363">
        <f>LOOKUP(E11,68:68,69:69)-LOOKUP(C11,68:68,69:69)+100</f>
        <v>106</v>
      </c>
      <c r="G11" s="367">
        <v>2</v>
      </c>
      <c r="H11" s="118">
        <f>LOOKUP(G11,68:68,69:69)-LOOKUP(C11,68:68,69:69)+100</f>
        <v>102</v>
      </c>
      <c r="I11" s="367">
        <v>2</v>
      </c>
      <c r="J11" s="118">
        <f>LOOKUP(I11,68:68,69:69)-LOOKUP(C11,68:68,69:69)+100</f>
        <v>102</v>
      </c>
      <c r="K11" s="364">
        <f>'土地比较法-住宅、综合'!K11</f>
        <v>2</v>
      </c>
      <c r="L11" s="2482"/>
      <c r="M11" s="2478"/>
      <c r="N11" s="2478"/>
      <c r="O11" s="2478"/>
      <c r="P11" s="3362"/>
      <c r="Q11" s="529" t="str">
        <f t="shared" si="6"/>
        <v>容积率</v>
      </c>
      <c r="R11" s="663" t="s">
        <v>18</v>
      </c>
      <c r="S11" s="664">
        <f t="shared" si="0"/>
        <v>106</v>
      </c>
      <c r="T11" s="663" t="s">
        <v>18</v>
      </c>
      <c r="U11" s="664">
        <f t="shared" si="1"/>
        <v>102</v>
      </c>
      <c r="V11" s="663" t="s">
        <v>18</v>
      </c>
      <c r="W11" s="664">
        <f t="shared" si="2"/>
        <v>102</v>
      </c>
      <c r="X11" s="665"/>
      <c r="Y11" s="3263"/>
      <c r="Z11" s="50" t="str">
        <f t="shared" si="7"/>
        <v>容积率</v>
      </c>
      <c r="AA11" s="50">
        <f t="shared" si="3"/>
        <v>0.94339622641509435</v>
      </c>
      <c r="AB11" s="50">
        <f t="shared" si="4"/>
        <v>0.98039215686274506</v>
      </c>
      <c r="AC11" s="50">
        <f t="shared" si="5"/>
        <v>0.98039215686274506</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1"/>
      <c r="L12" s="2479"/>
      <c r="M12" s="2431"/>
      <c r="N12" s="2431"/>
      <c r="O12" s="2431"/>
      <c r="P12" s="3362"/>
      <c r="Q12" s="529">
        <f t="shared" si="6"/>
        <v>111</v>
      </c>
      <c r="R12" s="663" t="s">
        <v>18</v>
      </c>
      <c r="S12" s="664">
        <f t="shared" si="0"/>
        <v>100</v>
      </c>
      <c r="T12" s="663" t="s">
        <v>18</v>
      </c>
      <c r="U12" s="664">
        <f t="shared" si="1"/>
        <v>100</v>
      </c>
      <c r="V12" s="663" t="s">
        <v>18</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1"/>
      <c r="L13" s="2483"/>
      <c r="M13" s="2478"/>
      <c r="N13" s="2478"/>
      <c r="O13" s="2478"/>
      <c r="P13" s="3362"/>
      <c r="Q13" s="529">
        <f t="shared" si="6"/>
        <v>111</v>
      </c>
      <c r="R13" s="663" t="s">
        <v>18</v>
      </c>
      <c r="S13" s="664">
        <f t="shared" si="0"/>
        <v>100</v>
      </c>
      <c r="T13" s="663" t="s">
        <v>18</v>
      </c>
      <c r="U13" s="664">
        <f t="shared" si="1"/>
        <v>100</v>
      </c>
      <c r="V13" s="663" t="s">
        <v>18</v>
      </c>
      <c r="W13" s="664">
        <f t="shared" si="2"/>
        <v>100</v>
      </c>
      <c r="X13" s="665"/>
      <c r="Y13" s="3263"/>
      <c r="Z13" s="50">
        <f t="shared" si="7"/>
        <v>111</v>
      </c>
      <c r="AA13" s="50">
        <f t="shared" si="3"/>
        <v>1</v>
      </c>
      <c r="AB13" s="50">
        <f t="shared" si="4"/>
        <v>1</v>
      </c>
      <c r="AC13" s="50">
        <f t="shared" si="5"/>
        <v>1</v>
      </c>
    </row>
    <row r="14" spans="1:29" ht="15.75" thickBot="1">
      <c r="A14" s="374"/>
      <c r="B14" s="1742">
        <v>111</v>
      </c>
      <c r="C14" s="375"/>
      <c r="D14" s="376">
        <v>100</v>
      </c>
      <c r="E14" s="375"/>
      <c r="F14" s="377">
        <f>SUMIF(74:74,E14,75:75)-SUMIF(74:74,C14,75:75)+100</f>
        <v>100</v>
      </c>
      <c r="G14" s="375"/>
      <c r="H14" s="376">
        <f>SUMIF(74:74,G14,75:75)-SUMIF(74:74,C14,75:75)+100</f>
        <v>100</v>
      </c>
      <c r="I14" s="375"/>
      <c r="J14" s="376">
        <f>SUMIF(74:74,I14,75:75)-SUMIF(74:74,C14,75:75)+100</f>
        <v>100</v>
      </c>
      <c r="K14" s="1741"/>
      <c r="L14" s="2483"/>
      <c r="M14" s="2478"/>
      <c r="N14" s="2478"/>
      <c r="O14" s="2478"/>
      <c r="P14" s="3362"/>
      <c r="Q14" s="529">
        <f t="shared" si="6"/>
        <v>111</v>
      </c>
      <c r="R14" s="663" t="s">
        <v>18</v>
      </c>
      <c r="S14" s="664">
        <f t="shared" si="0"/>
        <v>100</v>
      </c>
      <c r="T14" s="663" t="s">
        <v>18</v>
      </c>
      <c r="U14" s="664">
        <f t="shared" si="1"/>
        <v>100</v>
      </c>
      <c r="V14" s="663" t="s">
        <v>18</v>
      </c>
      <c r="W14" s="664">
        <f t="shared" si="2"/>
        <v>100</v>
      </c>
      <c r="X14" s="665"/>
      <c r="Y14" s="3263"/>
      <c r="Z14" s="50">
        <f t="shared" si="7"/>
        <v>111</v>
      </c>
      <c r="AA14" s="50">
        <f t="shared" si="3"/>
        <v>1</v>
      </c>
      <c r="AB14" s="50">
        <f t="shared" si="4"/>
        <v>1</v>
      </c>
      <c r="AC14" s="50">
        <f t="shared" si="5"/>
        <v>1</v>
      </c>
    </row>
    <row r="15" spans="1:29" ht="85.5">
      <c r="A15" s="378" t="s">
        <v>1690</v>
      </c>
      <c r="B15" s="58" t="s">
        <v>1257</v>
      </c>
      <c r="C15" s="1743"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102</v>
      </c>
      <c r="K15" s="383">
        <v>2</v>
      </c>
      <c r="L15" s="2483"/>
      <c r="M15" s="2478"/>
      <c r="N15" s="2478"/>
      <c r="O15" s="2478"/>
      <c r="P15" s="3406" t="s">
        <v>1691</v>
      </c>
      <c r="Q15" s="1257" t="str">
        <f t="shared" si="6"/>
        <v>居住社区成熟度</v>
      </c>
      <c r="R15" s="666" t="s">
        <v>18</v>
      </c>
      <c r="S15" s="667">
        <f t="shared" si="0"/>
        <v>100</v>
      </c>
      <c r="T15" s="666" t="s">
        <v>18</v>
      </c>
      <c r="U15" s="667">
        <f t="shared" si="1"/>
        <v>100</v>
      </c>
      <c r="V15" s="666" t="s">
        <v>18</v>
      </c>
      <c r="W15" s="667">
        <f t="shared" si="2"/>
        <v>102</v>
      </c>
      <c r="X15" s="1259"/>
      <c r="Y15" s="3364" t="s">
        <v>1691</v>
      </c>
      <c r="Z15" s="1258" t="str">
        <f t="shared" si="7"/>
        <v>居住社区成熟度</v>
      </c>
      <c r="AA15" s="1258">
        <f t="shared" si="3"/>
        <v>1</v>
      </c>
      <c r="AB15" s="1258">
        <f t="shared" si="4"/>
        <v>1</v>
      </c>
      <c r="AC15" s="1258">
        <f t="shared" si="5"/>
        <v>0.98039215686274506</v>
      </c>
    </row>
    <row r="16" spans="1:29" ht="15">
      <c r="A16" s="366"/>
      <c r="B16" s="384"/>
      <c r="C16" s="385" t="s">
        <v>4013</v>
      </c>
      <c r="D16" s="386"/>
      <c r="E16" s="1745" t="s">
        <v>4013</v>
      </c>
      <c r="F16" s="386"/>
      <c r="G16" s="1745" t="s">
        <v>4013</v>
      </c>
      <c r="H16" s="388"/>
      <c r="I16" s="1745" t="s">
        <v>3439</v>
      </c>
      <c r="J16" s="386"/>
      <c r="K16" s="1746"/>
      <c r="L16" s="2483"/>
      <c r="M16" s="2478"/>
      <c r="N16" s="2478"/>
      <c r="O16" s="2478"/>
      <c r="P16" s="3407"/>
      <c r="Q16" s="1257"/>
      <c r="R16" s="666"/>
      <c r="S16" s="667"/>
      <c r="T16" s="666"/>
      <c r="U16" s="667"/>
      <c r="V16" s="666"/>
      <c r="W16" s="667"/>
      <c r="X16" s="1259"/>
      <c r="Y16" s="3365"/>
      <c r="Z16" s="1258"/>
      <c r="AA16" s="1258">
        <v>1</v>
      </c>
      <c r="AB16" s="1258">
        <v>1</v>
      </c>
      <c r="AC16" s="1258">
        <v>1</v>
      </c>
    </row>
    <row r="17" spans="1:29" ht="71.25">
      <c r="A17" s="366"/>
      <c r="B17" s="389" t="s">
        <v>1259</v>
      </c>
      <c r="C17" s="1747" t="str">
        <f>估价对象房地状况!C6</f>
        <v>估价对象周边道路状况、公共交通通达情况、停车便捷程度，综合评价交通便捷度一般</v>
      </c>
      <c r="D17" s="388">
        <v>100</v>
      </c>
      <c r="E17" s="390"/>
      <c r="F17" s="388">
        <f>SUMIF(78:78,E18,79:79)-SUMIF(78:78,C18,79:79)+100</f>
        <v>100</v>
      </c>
      <c r="G17" s="390"/>
      <c r="H17" s="393">
        <f>SUMIF(78:78,G18,79:79)-SUMIF(78:78,C18,79:79)+100</f>
        <v>100</v>
      </c>
      <c r="I17" s="390"/>
      <c r="J17" s="393">
        <f>SUMIF(78:78,I18,79:79)-SUMIF(78:78,C18,79:79)+100</f>
        <v>100</v>
      </c>
      <c r="K17" s="383">
        <v>2</v>
      </c>
      <c r="L17" s="2483"/>
      <c r="M17" s="2478"/>
      <c r="N17" s="2478"/>
      <c r="O17" s="2478"/>
      <c r="P17" s="3407"/>
      <c r="Q17" s="1257" t="str">
        <f>B17</f>
        <v>交通便捷度</v>
      </c>
      <c r="R17" s="666" t="s">
        <v>18</v>
      </c>
      <c r="S17" s="667">
        <f>F17</f>
        <v>100</v>
      </c>
      <c r="T17" s="666" t="s">
        <v>18</v>
      </c>
      <c r="U17" s="667">
        <f>H17</f>
        <v>100</v>
      </c>
      <c r="V17" s="666" t="s">
        <v>18</v>
      </c>
      <c r="W17" s="667">
        <f>J17</f>
        <v>100</v>
      </c>
      <c r="X17" s="1259"/>
      <c r="Y17" s="3365"/>
      <c r="Z17" s="1258" t="str">
        <f>Q17</f>
        <v>交通便捷度</v>
      </c>
      <c r="AA17" s="1258">
        <f t="shared" si="3"/>
        <v>1</v>
      </c>
      <c r="AB17" s="1258">
        <f t="shared" si="4"/>
        <v>1</v>
      </c>
      <c r="AC17" s="1258">
        <f t="shared" si="5"/>
        <v>1</v>
      </c>
    </row>
    <row r="18" spans="1:29" ht="15">
      <c r="A18" s="366"/>
      <c r="B18" s="394"/>
      <c r="C18" s="1748" t="s">
        <v>4013</v>
      </c>
      <c r="D18" s="388"/>
      <c r="E18" s="1750" t="s">
        <v>4013</v>
      </c>
      <c r="F18" s="388"/>
      <c r="G18" s="1750" t="s">
        <v>4013</v>
      </c>
      <c r="H18" s="386"/>
      <c r="I18" s="1750" t="s">
        <v>4013</v>
      </c>
      <c r="J18" s="386"/>
      <c r="K18" s="1746"/>
      <c r="L18" s="2483"/>
      <c r="M18" s="2478"/>
      <c r="N18" s="2478"/>
      <c r="O18" s="2478"/>
      <c r="P18" s="3407"/>
      <c r="Q18" s="1257"/>
      <c r="R18" s="666"/>
      <c r="S18" s="667"/>
      <c r="T18" s="666"/>
      <c r="U18" s="667"/>
      <c r="V18" s="666"/>
      <c r="W18" s="667"/>
      <c r="X18" s="1259"/>
      <c r="Y18" s="3365"/>
      <c r="Z18" s="1258"/>
      <c r="AA18" s="1258">
        <v>1</v>
      </c>
      <c r="AB18" s="1258">
        <v>1</v>
      </c>
      <c r="AC18" s="1258">
        <v>1</v>
      </c>
    </row>
    <row r="19" spans="1:29" ht="42.75">
      <c r="A19" s="366"/>
      <c r="B19" s="389" t="s">
        <v>1258</v>
      </c>
      <c r="C19" s="1747" t="str">
        <f>估价对象房地状况!C7</f>
        <v>估价对象所在区域公共配套设施齐备情况一般</v>
      </c>
      <c r="D19" s="393">
        <v>100</v>
      </c>
      <c r="E19" s="395"/>
      <c r="F19" s="393">
        <f>SUMIF(80:80,E20,81:81)-SUMIF(80:80,C20,81:81)+100</f>
        <v>100</v>
      </c>
      <c r="G19" s="395"/>
      <c r="H19" s="388">
        <f>SUMIF(80:80,G20,81:81)-SUMIF(80:80,C20,81:81)+100</f>
        <v>100</v>
      </c>
      <c r="I19" s="395"/>
      <c r="J19" s="388">
        <f>SUMIF(80:80,I20,81:81)-SUMIF(80:80,C20,81:81)+100</f>
        <v>100</v>
      </c>
      <c r="K19" s="383">
        <v>2</v>
      </c>
      <c r="L19" s="2483"/>
      <c r="M19" s="2478"/>
      <c r="N19" s="2478"/>
      <c r="O19" s="2478"/>
      <c r="P19" s="3407"/>
      <c r="Q19" s="1257" t="str">
        <f>B19</f>
        <v>公共配套设施</v>
      </c>
      <c r="R19" s="666" t="s">
        <v>18</v>
      </c>
      <c r="S19" s="667">
        <f>F19</f>
        <v>100</v>
      </c>
      <c r="T19" s="666" t="s">
        <v>18</v>
      </c>
      <c r="U19" s="667">
        <f>H19</f>
        <v>100</v>
      </c>
      <c r="V19" s="666" t="s">
        <v>18</v>
      </c>
      <c r="W19" s="667">
        <f>J19</f>
        <v>100</v>
      </c>
      <c r="X19" s="1259"/>
      <c r="Y19" s="3365"/>
      <c r="Z19" s="1258" t="str">
        <f>Q19</f>
        <v>公共配套设施</v>
      </c>
      <c r="AA19" s="1258">
        <f t="shared" si="3"/>
        <v>1</v>
      </c>
      <c r="AB19" s="1258">
        <f t="shared" si="4"/>
        <v>1</v>
      </c>
      <c r="AC19" s="1258">
        <f t="shared" si="5"/>
        <v>1</v>
      </c>
    </row>
    <row r="20" spans="1:29" ht="15">
      <c r="A20" s="366"/>
      <c r="B20" s="394"/>
      <c r="C20" s="385" t="s">
        <v>4013</v>
      </c>
      <c r="D20" s="386"/>
      <c r="E20" s="1745" t="s">
        <v>4013</v>
      </c>
      <c r="F20" s="386"/>
      <c r="G20" s="1745" t="s">
        <v>4013</v>
      </c>
      <c r="H20" s="386"/>
      <c r="I20" s="1745" t="s">
        <v>4013</v>
      </c>
      <c r="J20" s="386"/>
      <c r="K20" s="1746"/>
      <c r="L20" s="2483"/>
      <c r="M20" s="2478"/>
      <c r="N20" s="2478"/>
      <c r="O20" s="2478"/>
      <c r="P20" s="3407"/>
      <c r="Q20" s="1257"/>
      <c r="R20" s="666"/>
      <c r="S20" s="667"/>
      <c r="T20" s="666"/>
      <c r="U20" s="667"/>
      <c r="V20" s="666"/>
      <c r="W20" s="667"/>
      <c r="X20" s="1259"/>
      <c r="Y20" s="3365"/>
      <c r="Z20" s="1258"/>
      <c r="AA20" s="1258">
        <v>1</v>
      </c>
      <c r="AB20" s="1258">
        <v>1</v>
      </c>
      <c r="AC20" s="1258">
        <v>1</v>
      </c>
    </row>
    <row r="21" spans="1:29" ht="28.5">
      <c r="A21" s="366"/>
      <c r="B21" s="585" t="s">
        <v>1260</v>
      </c>
      <c r="C21" s="1747" t="str">
        <f>估价对象房地状况!C8</f>
        <v>估价对象所在区域基础设施水平</v>
      </c>
      <c r="D21" s="388">
        <v>100</v>
      </c>
      <c r="E21" s="395"/>
      <c r="F21" s="393">
        <f>SUMIF(82:82,E22,83:83)-SUMIF(82:82,C22,83:83)+100</f>
        <v>100</v>
      </c>
      <c r="G21" s="395"/>
      <c r="H21" s="388">
        <f>SUMIF(82:82,G22,83:83)-SUMIF(82:82,C22,83:83)+100</f>
        <v>100</v>
      </c>
      <c r="I21" s="395"/>
      <c r="J21" s="388">
        <f>SUMIF(82:82,I22,83:83)-SUMIF(82:82,C22,83:83)+100</f>
        <v>100</v>
      </c>
      <c r="K21" s="383">
        <v>1</v>
      </c>
      <c r="L21" s="2483"/>
      <c r="M21" s="2478"/>
      <c r="N21" s="2478"/>
      <c r="O21" s="2478"/>
      <c r="P21" s="3407"/>
      <c r="Q21" s="1257" t="str">
        <f>B21</f>
        <v>基础设施水平</v>
      </c>
      <c r="R21" s="666" t="s">
        <v>14</v>
      </c>
      <c r="S21" s="667">
        <f>F21</f>
        <v>100</v>
      </c>
      <c r="T21" s="666" t="s">
        <v>14</v>
      </c>
      <c r="U21" s="667">
        <f>H21</f>
        <v>100</v>
      </c>
      <c r="V21" s="666" t="s">
        <v>14</v>
      </c>
      <c r="W21" s="667">
        <f>J21</f>
        <v>100</v>
      </c>
      <c r="X21" s="1259"/>
      <c r="Y21" s="3365"/>
      <c r="Z21" s="1258" t="str">
        <f>Q21</f>
        <v>基础设施水平</v>
      </c>
      <c r="AA21" s="1258">
        <f t="shared" ref="AA21" si="8">D21/F21</f>
        <v>1</v>
      </c>
      <c r="AB21" s="1258">
        <f t="shared" ref="AB21" si="9">D21/H21</f>
        <v>1</v>
      </c>
      <c r="AC21" s="1258">
        <f t="shared" ref="AC21" si="10">D21/J21</f>
        <v>1</v>
      </c>
    </row>
    <row r="22" spans="1:29" ht="15">
      <c r="A22" s="366"/>
      <c r="B22" s="585"/>
      <c r="C22" s="1748" t="s">
        <v>4007</v>
      </c>
      <c r="D22" s="386"/>
      <c r="E22" s="1751" t="s">
        <v>4007</v>
      </c>
      <c r="F22" s="386"/>
      <c r="G22" s="1751" t="s">
        <v>4007</v>
      </c>
      <c r="H22" s="386"/>
      <c r="I22" s="1751" t="s">
        <v>4007</v>
      </c>
      <c r="J22" s="386"/>
      <c r="K22" s="1752"/>
      <c r="L22" s="2483"/>
      <c r="M22" s="2478"/>
      <c r="N22" s="2478"/>
      <c r="O22" s="2478"/>
      <c r="P22" s="3407"/>
      <c r="Q22" s="1257"/>
      <c r="R22" s="666"/>
      <c r="S22" s="667"/>
      <c r="T22" s="666"/>
      <c r="U22" s="667"/>
      <c r="V22" s="666"/>
      <c r="W22" s="667"/>
      <c r="X22" s="1259"/>
      <c r="Y22" s="3365"/>
      <c r="Z22" s="1258"/>
      <c r="AA22" s="1258">
        <v>1</v>
      </c>
      <c r="AB22" s="1258">
        <v>1</v>
      </c>
      <c r="AC22" s="1258">
        <v>1</v>
      </c>
    </row>
    <row r="23" spans="1:29" ht="42.75">
      <c r="A23" s="366"/>
      <c r="B23" s="389" t="s">
        <v>1261</v>
      </c>
      <c r="C23" s="1747" t="str">
        <f>估价对象房地状况!C9</f>
        <v>区域自然环境：；人文环境；综合评价环境状况一般</v>
      </c>
      <c r="D23" s="388">
        <v>100</v>
      </c>
      <c r="E23" s="390"/>
      <c r="F23" s="388">
        <f>SUMIF(84:84,E24,85:85)-SUMIF(84:84,C24,85:85)+100</f>
        <v>100</v>
      </c>
      <c r="G23" s="390"/>
      <c r="H23" s="388">
        <f>SUMIF(84:84,G24,85:85)-SUMIF(84:84,C24,85:85)+100</f>
        <v>100</v>
      </c>
      <c r="I23" s="390"/>
      <c r="J23" s="388">
        <f>SUMIF(84:84,I24,85:85)-SUMIF(84:84,C24,85:85)+100</f>
        <v>100</v>
      </c>
      <c r="K23" s="383">
        <v>2</v>
      </c>
      <c r="L23" s="2483"/>
      <c r="M23" s="2478"/>
      <c r="N23" s="2478"/>
      <c r="O23" s="2478"/>
      <c r="P23" s="3407"/>
      <c r="Q23" s="1257" t="str">
        <f>B23</f>
        <v>自然及人文环境</v>
      </c>
      <c r="R23" s="666" t="s">
        <v>18</v>
      </c>
      <c r="S23" s="667">
        <f>F23</f>
        <v>100</v>
      </c>
      <c r="T23" s="666" t="s">
        <v>18</v>
      </c>
      <c r="U23" s="667">
        <f>H23</f>
        <v>100</v>
      </c>
      <c r="V23" s="666" t="s">
        <v>18</v>
      </c>
      <c r="W23" s="667">
        <f>J23</f>
        <v>100</v>
      </c>
      <c r="X23" s="1259"/>
      <c r="Y23" s="3365"/>
      <c r="Z23" s="1258" t="str">
        <f>Q23</f>
        <v>自然及人文环境</v>
      </c>
      <c r="AA23" s="1258">
        <f>D23/F23</f>
        <v>1</v>
      </c>
      <c r="AB23" s="1258">
        <f>D23/H23</f>
        <v>1</v>
      </c>
      <c r="AC23" s="1258">
        <f>D23/J23</f>
        <v>1</v>
      </c>
    </row>
    <row r="24" spans="1:29" ht="15">
      <c r="A24" s="366"/>
      <c r="B24" s="394"/>
      <c r="C24" s="385" t="s">
        <v>4013</v>
      </c>
      <c r="D24" s="386"/>
      <c r="E24" s="1745" t="s">
        <v>4013</v>
      </c>
      <c r="F24" s="386"/>
      <c r="G24" s="1745" t="s">
        <v>4013</v>
      </c>
      <c r="H24" s="386"/>
      <c r="I24" s="1745" t="s">
        <v>4013</v>
      </c>
      <c r="J24" s="386"/>
      <c r="K24" s="1746"/>
      <c r="L24" s="2483"/>
      <c r="M24" s="2478"/>
      <c r="N24" s="2478"/>
      <c r="O24" s="2478"/>
      <c r="P24" s="3407"/>
      <c r="Q24" s="1257"/>
      <c r="R24" s="666"/>
      <c r="S24" s="667"/>
      <c r="T24" s="666"/>
      <c r="U24" s="667"/>
      <c r="V24" s="666"/>
      <c r="W24" s="667"/>
      <c r="X24" s="1259"/>
      <c r="Y24" s="3365"/>
      <c r="Z24" s="1258"/>
      <c r="AA24" s="1258">
        <v>1</v>
      </c>
      <c r="AB24" s="1258">
        <v>1</v>
      </c>
      <c r="AC24" s="1258">
        <v>1</v>
      </c>
    </row>
    <row r="25" spans="1:29" ht="15">
      <c r="A25" s="366"/>
      <c r="B25" s="363" t="s">
        <v>1692</v>
      </c>
      <c r="C25" s="398"/>
      <c r="D25" s="373">
        <v>100</v>
      </c>
      <c r="E25" s="1753"/>
      <c r="F25" s="373">
        <f>SUMIF(86:86,E25,87:87)-SUMIF(86:86,C25,87:87)+100</f>
        <v>100</v>
      </c>
      <c r="G25" s="1754"/>
      <c r="H25" s="373">
        <f>SUMIF(86:86,G25,87:87)-SUMIF(86:86,C25,87:87)+100</f>
        <v>100</v>
      </c>
      <c r="I25" s="1754"/>
      <c r="J25" s="373">
        <f>SUMIF(86:86,I25,87:87)-SUMIF(86:86,C25,87:87)+100</f>
        <v>100</v>
      </c>
      <c r="K25" s="364"/>
      <c r="L25" s="2483"/>
      <c r="M25" s="2478"/>
      <c r="N25" s="2478"/>
      <c r="O25" s="2478"/>
      <c r="P25" s="3407"/>
      <c r="Q25" s="1257" t="str">
        <f t="shared" ref="Q25:Q46" si="11">B25</f>
        <v>楼层-1</v>
      </c>
      <c r="R25" s="666" t="s">
        <v>18</v>
      </c>
      <c r="S25" s="667">
        <f t="shared" ref="S25:S46" si="12">F25</f>
        <v>100</v>
      </c>
      <c r="T25" s="666" t="s">
        <v>18</v>
      </c>
      <c r="U25" s="667">
        <f t="shared" ref="U25:U46" si="13">H25</f>
        <v>100</v>
      </c>
      <c r="V25" s="666" t="s">
        <v>18</v>
      </c>
      <c r="W25" s="667">
        <f t="shared" ref="W25:W46" si="14">J25</f>
        <v>100</v>
      </c>
      <c r="X25" s="1259"/>
      <c r="Y25" s="3365"/>
      <c r="Z25" s="1258" t="str">
        <f>Q25</f>
        <v>楼层-1</v>
      </c>
      <c r="AA25" s="1258">
        <f t="shared" ref="AA25:AA46" si="15">D25/F25</f>
        <v>1</v>
      </c>
      <c r="AB25" s="1258">
        <f t="shared" ref="AB25:AB46" si="16">D25/H25</f>
        <v>1</v>
      </c>
      <c r="AC25" s="1258">
        <f t="shared" ref="AC25:AC46" si="17">D25/J25</f>
        <v>1</v>
      </c>
    </row>
    <row r="26" spans="1:29" ht="15">
      <c r="A26" s="366"/>
      <c r="B26" s="363" t="s">
        <v>1693</v>
      </c>
      <c r="C26" s="398"/>
      <c r="D26" s="373">
        <v>100</v>
      </c>
      <c r="E26" s="1753"/>
      <c r="F26" s="373">
        <f>SUMIF(88:88,E26,89:89)-SUMIF(88:88,C26,89:89)+100</f>
        <v>100</v>
      </c>
      <c r="G26" s="1754"/>
      <c r="H26" s="373">
        <f>SUMIF(88:88,G26,89:89)-SUMIF(88:88,C26,89:89)+100</f>
        <v>100</v>
      </c>
      <c r="I26" s="1754"/>
      <c r="J26" s="373">
        <f>SUMIF(88:88,I26,89:89)-SUMIF(88:88,C26,89:89)+100</f>
        <v>100</v>
      </c>
      <c r="K26" s="364"/>
      <c r="L26" s="2483"/>
      <c r="M26" s="2478"/>
      <c r="N26" s="2478"/>
      <c r="O26" s="2478"/>
      <c r="P26" s="3407"/>
      <c r="Q26" s="1257" t="str">
        <f t="shared" si="11"/>
        <v>朝向</v>
      </c>
      <c r="R26" s="666" t="s">
        <v>18</v>
      </c>
      <c r="S26" s="667">
        <f t="shared" si="12"/>
        <v>100</v>
      </c>
      <c r="T26" s="666" t="s">
        <v>18</v>
      </c>
      <c r="U26" s="667">
        <f t="shared" si="13"/>
        <v>100</v>
      </c>
      <c r="V26" s="666" t="s">
        <v>18</v>
      </c>
      <c r="W26" s="667">
        <f t="shared" si="14"/>
        <v>100</v>
      </c>
      <c r="X26" s="1259"/>
      <c r="Y26" s="3365"/>
      <c r="Z26" s="1258" t="str">
        <f>Q26</f>
        <v>朝向</v>
      </c>
      <c r="AA26" s="1258">
        <f t="shared" si="15"/>
        <v>1</v>
      </c>
      <c r="AB26" s="1258">
        <f t="shared" si="16"/>
        <v>1</v>
      </c>
      <c r="AC26" s="1258">
        <f t="shared" si="17"/>
        <v>1</v>
      </c>
    </row>
    <row r="27" spans="1:29" s="102" customFormat="1" ht="15">
      <c r="A27" s="369"/>
      <c r="B27" s="1060">
        <v>111</v>
      </c>
      <c r="C27" s="3157"/>
      <c r="D27" s="400">
        <v>100</v>
      </c>
      <c r="E27" s="402"/>
      <c r="F27" s="400">
        <f>SUMIF(90:90,E27,91:91)-SUMIF(90:90,C27,91:91)+100</f>
        <v>100</v>
      </c>
      <c r="G27" s="401"/>
      <c r="H27" s="400">
        <f>SUMIF(90:90,G27,91:91)-SUMIF(90:90,C27,91:91)+100</f>
        <v>100</v>
      </c>
      <c r="I27" s="401"/>
      <c r="J27" s="400">
        <f>SUMIF(90:90,I27,91:91)-SUMIF(90:90,C27,91:91)+100</f>
        <v>100</v>
      </c>
      <c r="K27" s="1741"/>
      <c r="L27" s="2479"/>
      <c r="M27" s="2431"/>
      <c r="N27" s="2431"/>
      <c r="O27" s="2431"/>
      <c r="P27" s="3407"/>
      <c r="Q27" s="529">
        <f t="shared" si="11"/>
        <v>111</v>
      </c>
      <c r="R27" s="663" t="s">
        <v>18</v>
      </c>
      <c r="S27" s="664">
        <f t="shared" si="12"/>
        <v>100</v>
      </c>
      <c r="T27" s="663" t="s">
        <v>18</v>
      </c>
      <c r="U27" s="664">
        <f t="shared" si="13"/>
        <v>100</v>
      </c>
      <c r="V27" s="663" t="s">
        <v>18</v>
      </c>
      <c r="W27" s="664">
        <f t="shared" si="14"/>
        <v>100</v>
      </c>
      <c r="X27" s="665"/>
      <c r="Y27" s="3365"/>
      <c r="Z27" s="50">
        <f>Q27</f>
        <v>111</v>
      </c>
      <c r="AA27" s="1258">
        <f t="shared" si="15"/>
        <v>1</v>
      </c>
      <c r="AB27" s="1258">
        <f t="shared" si="16"/>
        <v>1</v>
      </c>
      <c r="AC27" s="1258">
        <f t="shared" si="17"/>
        <v>1</v>
      </c>
    </row>
    <row r="28" spans="1:29" ht="15">
      <c r="A28" s="366"/>
      <c r="B28" s="1060">
        <v>111</v>
      </c>
      <c r="C28" s="372"/>
      <c r="D28" s="373">
        <v>100</v>
      </c>
      <c r="E28" s="372"/>
      <c r="F28" s="373">
        <f>SUMIF(92:92,E28,93:93)-SUMIF(92:92,C28,93:93)+100</f>
        <v>100</v>
      </c>
      <c r="G28" s="1755"/>
      <c r="H28" s="373">
        <f>SUMIF(92:92,G28,93:93)-SUMIF(92:92,C28,93:93)+100</f>
        <v>100</v>
      </c>
      <c r="I28" s="372"/>
      <c r="J28" s="373">
        <f>SUMIF(92:92,I28,93:93)-SUMIF(92:92,C28,93:93)+100</f>
        <v>100</v>
      </c>
      <c r="K28" s="1741"/>
      <c r="L28" s="2483"/>
      <c r="M28" s="2478"/>
      <c r="N28" s="2478"/>
      <c r="O28" s="2478"/>
      <c r="P28" s="3407"/>
      <c r="Q28" s="1257">
        <f t="shared" si="11"/>
        <v>111</v>
      </c>
      <c r="R28" s="666" t="s">
        <v>18</v>
      </c>
      <c r="S28" s="667">
        <f t="shared" si="12"/>
        <v>100</v>
      </c>
      <c r="T28" s="666" t="s">
        <v>18</v>
      </c>
      <c r="U28" s="667">
        <f t="shared" si="13"/>
        <v>100</v>
      </c>
      <c r="V28" s="666" t="s">
        <v>18</v>
      </c>
      <c r="W28" s="667">
        <f t="shared" si="14"/>
        <v>100</v>
      </c>
      <c r="X28" s="1259"/>
      <c r="Y28" s="3365"/>
      <c r="Z28" s="1258">
        <f t="shared" ref="Z28:Z46" si="18">Q28</f>
        <v>111</v>
      </c>
      <c r="AA28" s="1258">
        <f t="shared" si="15"/>
        <v>1</v>
      </c>
      <c r="AB28" s="1258">
        <f t="shared" si="16"/>
        <v>1</v>
      </c>
      <c r="AC28" s="1258">
        <f t="shared" si="17"/>
        <v>1</v>
      </c>
    </row>
    <row r="29" spans="1:29" ht="15">
      <c r="A29" s="366"/>
      <c r="B29" s="1060">
        <v>111</v>
      </c>
      <c r="C29" s="372"/>
      <c r="D29" s="373">
        <v>100</v>
      </c>
      <c r="E29" s="372"/>
      <c r="F29" s="373">
        <f>SUMIF(94:94,E29,95:95)-SUMIF(94:94,C29,95:95)+100</f>
        <v>100</v>
      </c>
      <c r="G29" s="1755"/>
      <c r="H29" s="373">
        <f>SUMIF(94:94,G29,95:95)-SUMIF(94:94,C29,95:95)+100</f>
        <v>100</v>
      </c>
      <c r="I29" s="372"/>
      <c r="J29" s="373">
        <f>SUMIF(94:94,I29,95:95)-SUMIF(94:94,C29,95:95)+100</f>
        <v>100</v>
      </c>
      <c r="K29" s="1741"/>
      <c r="L29" s="2483"/>
      <c r="M29" s="2478"/>
      <c r="N29" s="2478"/>
      <c r="O29" s="2478"/>
      <c r="P29" s="3407"/>
      <c r="Q29" s="1257">
        <f t="shared" si="11"/>
        <v>111</v>
      </c>
      <c r="R29" s="666" t="s">
        <v>18</v>
      </c>
      <c r="S29" s="667">
        <f t="shared" si="12"/>
        <v>100</v>
      </c>
      <c r="T29" s="666" t="s">
        <v>18</v>
      </c>
      <c r="U29" s="667">
        <f t="shared" si="13"/>
        <v>100</v>
      </c>
      <c r="V29" s="666" t="s">
        <v>18</v>
      </c>
      <c r="W29" s="667">
        <f t="shared" si="14"/>
        <v>100</v>
      </c>
      <c r="X29" s="1259"/>
      <c r="Y29" s="3365"/>
      <c r="Z29" s="1258">
        <f t="shared" si="18"/>
        <v>111</v>
      </c>
      <c r="AA29" s="1258">
        <f t="shared" si="15"/>
        <v>1</v>
      </c>
      <c r="AB29" s="1258">
        <f t="shared" si="16"/>
        <v>1</v>
      </c>
      <c r="AC29" s="1258">
        <f t="shared" si="17"/>
        <v>1</v>
      </c>
    </row>
    <row r="30" spans="1:29" ht="15">
      <c r="A30" s="366"/>
      <c r="B30" s="1060">
        <v>111</v>
      </c>
      <c r="C30" s="372"/>
      <c r="D30" s="373">
        <v>100</v>
      </c>
      <c r="E30" s="372"/>
      <c r="F30" s="373">
        <f>SUMIF(96:96,E30,97:97)-SUMIF(96:96,C30,97:97)+100</f>
        <v>100</v>
      </c>
      <c r="G30" s="1755"/>
      <c r="H30" s="373">
        <f>SUMIF(96:96,G30,97:97)-SUMIF(96:96,C30,97:97)+100</f>
        <v>100</v>
      </c>
      <c r="I30" s="372"/>
      <c r="J30" s="373">
        <f>SUMIF(96:96,I30,97:97)-SUMIF(96:96,C30,97:97)+100</f>
        <v>100</v>
      </c>
      <c r="K30" s="1741"/>
      <c r="L30" s="2483"/>
      <c r="M30" s="2478"/>
      <c r="N30" s="2478"/>
      <c r="O30" s="2478"/>
      <c r="P30" s="3407"/>
      <c r="Q30" s="1257">
        <f t="shared" si="11"/>
        <v>111</v>
      </c>
      <c r="R30" s="666" t="s">
        <v>18</v>
      </c>
      <c r="S30" s="667">
        <f t="shared" si="12"/>
        <v>100</v>
      </c>
      <c r="T30" s="666" t="s">
        <v>18</v>
      </c>
      <c r="U30" s="667">
        <f t="shared" si="13"/>
        <v>100</v>
      </c>
      <c r="V30" s="666" t="s">
        <v>18</v>
      </c>
      <c r="W30" s="667">
        <f t="shared" si="14"/>
        <v>100</v>
      </c>
      <c r="X30" s="1259"/>
      <c r="Y30" s="3365"/>
      <c r="Z30" s="1258">
        <f t="shared" si="18"/>
        <v>111</v>
      </c>
      <c r="AA30" s="1258">
        <f t="shared" si="15"/>
        <v>1</v>
      </c>
      <c r="AB30" s="1258">
        <f t="shared" si="16"/>
        <v>1</v>
      </c>
      <c r="AC30" s="1258">
        <f t="shared" si="17"/>
        <v>1</v>
      </c>
    </row>
    <row r="31" spans="1:29" ht="15.75" thickBot="1">
      <c r="A31" s="374"/>
      <c r="B31" s="1060">
        <v>111</v>
      </c>
      <c r="C31" s="375"/>
      <c r="D31" s="376">
        <v>100</v>
      </c>
      <c r="E31" s="375"/>
      <c r="F31" s="376">
        <f>SUMIF(98:98,E31,99:99)-SUMIF(98:98,C31,99:99)+100</f>
        <v>100</v>
      </c>
      <c r="G31" s="1756"/>
      <c r="H31" s="376">
        <f>SUMIF(98:98,G31,99:99)-SUMIF(98:98,C31,99:99)+100</f>
        <v>100</v>
      </c>
      <c r="I31" s="375"/>
      <c r="J31" s="376">
        <f>SUMIF(98:98,I31,99:99)-SUMIF(98:98,C31,99:99)+100</f>
        <v>100</v>
      </c>
      <c r="K31" s="1741"/>
      <c r="L31" s="2483"/>
      <c r="M31" s="2478"/>
      <c r="N31" s="2478"/>
      <c r="O31" s="2478"/>
      <c r="P31" s="3407"/>
      <c r="Q31" s="1257">
        <f t="shared" si="11"/>
        <v>111</v>
      </c>
      <c r="R31" s="666" t="s">
        <v>18</v>
      </c>
      <c r="S31" s="667">
        <f t="shared" si="12"/>
        <v>100</v>
      </c>
      <c r="T31" s="666" t="s">
        <v>18</v>
      </c>
      <c r="U31" s="667">
        <f t="shared" si="13"/>
        <v>100</v>
      </c>
      <c r="V31" s="666" t="s">
        <v>18</v>
      </c>
      <c r="W31" s="667">
        <f t="shared" si="14"/>
        <v>100</v>
      </c>
      <c r="X31" s="1259"/>
      <c r="Y31" s="3365"/>
      <c r="Z31" s="1258">
        <f t="shared" si="18"/>
        <v>111</v>
      </c>
      <c r="AA31" s="1258">
        <f t="shared" si="15"/>
        <v>1</v>
      </c>
      <c r="AB31" s="1258">
        <f t="shared" si="16"/>
        <v>1</v>
      </c>
      <c r="AC31" s="1258">
        <f t="shared" si="17"/>
        <v>1</v>
      </c>
    </row>
    <row r="32" spans="1:29" ht="15">
      <c r="A32" s="378" t="s">
        <v>1694</v>
      </c>
      <c r="B32" s="60" t="s">
        <v>1695</v>
      </c>
      <c r="C32" s="1757" t="s">
        <v>4029</v>
      </c>
      <c r="D32" s="404">
        <v>100</v>
      </c>
      <c r="E32" s="1758" t="s">
        <v>4051</v>
      </c>
      <c r="F32" s="399">
        <f>SUMIF(100:100,E32,101:101)-SUMIF(100:100,C32,101:101)+100</f>
        <v>103</v>
      </c>
      <c r="G32" s="1757" t="s">
        <v>4029</v>
      </c>
      <c r="H32" s="404">
        <f>SUMIF(100:100,G32,101:101)-SUMIF(100:100,C32,101:101)+100</f>
        <v>100</v>
      </c>
      <c r="I32" s="1757" t="s">
        <v>4029</v>
      </c>
      <c r="J32" s="373">
        <f>SUMIF(100:100,I32,101:101)-SUMIF(100:100,C32,101:101)+100</f>
        <v>100</v>
      </c>
      <c r="K32" s="364">
        <v>3</v>
      </c>
      <c r="L32" s="2483"/>
      <c r="M32" s="2478"/>
      <c r="N32" s="2478"/>
      <c r="O32" s="2478"/>
      <c r="P32" s="3402" t="s">
        <v>1696</v>
      </c>
      <c r="Q32" s="1257" t="str">
        <f t="shared" si="11"/>
        <v>建筑类型</v>
      </c>
      <c r="R32" s="666" t="s">
        <v>18</v>
      </c>
      <c r="S32" s="667">
        <f t="shared" si="12"/>
        <v>103</v>
      </c>
      <c r="T32" s="666" t="s">
        <v>18</v>
      </c>
      <c r="U32" s="667">
        <f t="shared" si="13"/>
        <v>100</v>
      </c>
      <c r="V32" s="666" t="s">
        <v>18</v>
      </c>
      <c r="W32" s="667">
        <f t="shared" si="14"/>
        <v>100</v>
      </c>
      <c r="X32" s="1259"/>
      <c r="Y32" s="3367" t="s">
        <v>1696</v>
      </c>
      <c r="Z32" s="1258" t="str">
        <f t="shared" si="18"/>
        <v>建筑类型</v>
      </c>
      <c r="AA32" s="1258">
        <f t="shared" si="15"/>
        <v>0.970873786407767</v>
      </c>
      <c r="AB32" s="1258">
        <f t="shared" si="16"/>
        <v>1</v>
      </c>
      <c r="AC32" s="1258">
        <f t="shared" si="17"/>
        <v>1</v>
      </c>
    </row>
    <row r="33" spans="1:29" s="407" customFormat="1" ht="15">
      <c r="A33" s="405"/>
      <c r="B33" s="363" t="s">
        <v>1697</v>
      </c>
      <c r="C33" s="406">
        <v>100</v>
      </c>
      <c r="D33" s="118">
        <v>100</v>
      </c>
      <c r="E33" s="406">
        <v>100</v>
      </c>
      <c r="F33" s="363">
        <f>LOOKUP(E33,103:103,104:104)-LOOKUP(C33,103:103,104:104)+100</f>
        <v>100</v>
      </c>
      <c r="G33" s="367">
        <v>100</v>
      </c>
      <c r="H33" s="118">
        <f>LOOKUP(G33,103:103,104:104)-LOOKUP(C33,103:103,104:104)+100</f>
        <v>100</v>
      </c>
      <c r="I33" s="367">
        <v>100</v>
      </c>
      <c r="J33" s="118">
        <f>LOOKUP(I33,103:103,104:104)-LOOKUP(C33,103:103,104:104)+100</f>
        <v>100</v>
      </c>
      <c r="K33" s="1741"/>
      <c r="L33" s="2482"/>
      <c r="M33" s="2484"/>
      <c r="N33" s="2484"/>
      <c r="O33" s="2484"/>
      <c r="P33" s="3403"/>
      <c r="Q33" s="530" t="str">
        <f t="shared" si="11"/>
        <v>项目建筑规模</v>
      </c>
      <c r="R33" s="668" t="s">
        <v>18</v>
      </c>
      <c r="S33" s="669">
        <f t="shared" si="12"/>
        <v>100</v>
      </c>
      <c r="T33" s="668" t="s">
        <v>18</v>
      </c>
      <c r="U33" s="669">
        <f t="shared" si="13"/>
        <v>100</v>
      </c>
      <c r="V33" s="668" t="s">
        <v>18</v>
      </c>
      <c r="W33" s="669">
        <f t="shared" si="14"/>
        <v>100</v>
      </c>
      <c r="X33" s="670"/>
      <c r="Y33" s="3367"/>
      <c r="Z33" s="671" t="str">
        <f t="shared" si="18"/>
        <v>项目建筑规模</v>
      </c>
      <c r="AA33" s="1258">
        <f t="shared" si="15"/>
        <v>1</v>
      </c>
      <c r="AB33" s="1258">
        <f t="shared" si="16"/>
        <v>1</v>
      </c>
      <c r="AC33" s="1258">
        <f t="shared" si="17"/>
        <v>1</v>
      </c>
    </row>
    <row r="34" spans="1:29" ht="15">
      <c r="A34" s="408"/>
      <c r="B34" s="363" t="s">
        <v>1698</v>
      </c>
      <c r="C34" s="398" t="s">
        <v>4030</v>
      </c>
      <c r="D34" s="373">
        <v>100</v>
      </c>
      <c r="E34" s="398" t="s">
        <v>4030</v>
      </c>
      <c r="F34" s="399">
        <f>SUMIF(105:105,E34,106:106)-SUMIF(105:105,C34,106:106)+100</f>
        <v>100</v>
      </c>
      <c r="G34" s="398" t="s">
        <v>4030</v>
      </c>
      <c r="H34" s="373">
        <f>SUMIF(105:105,G34,106:106)-SUMIF(105:105,C34,106:106)+100</f>
        <v>100</v>
      </c>
      <c r="I34" s="398" t="s">
        <v>4030</v>
      </c>
      <c r="J34" s="373">
        <f>SUMIF(105:105,I34,106:106)-SUMIF(105:105,C34,106:106)+100</f>
        <v>100</v>
      </c>
      <c r="K34" s="364">
        <v>2</v>
      </c>
      <c r="L34" s="2483"/>
      <c r="M34" s="2478"/>
      <c r="N34" s="2478"/>
      <c r="O34" s="2478"/>
      <c r="P34" s="3403"/>
      <c r="Q34" s="1257" t="str">
        <f t="shared" si="11"/>
        <v>建筑结构</v>
      </c>
      <c r="R34" s="666" t="s">
        <v>18</v>
      </c>
      <c r="S34" s="667">
        <f t="shared" si="12"/>
        <v>100</v>
      </c>
      <c r="T34" s="666" t="s">
        <v>18</v>
      </c>
      <c r="U34" s="667">
        <f t="shared" si="13"/>
        <v>100</v>
      </c>
      <c r="V34" s="666" t="s">
        <v>18</v>
      </c>
      <c r="W34" s="667">
        <f t="shared" si="14"/>
        <v>100</v>
      </c>
      <c r="X34" s="1259"/>
      <c r="Y34" s="3367"/>
      <c r="Z34" s="1258" t="str">
        <f t="shared" si="18"/>
        <v>建筑结构</v>
      </c>
      <c r="AA34" s="1258">
        <f t="shared" si="15"/>
        <v>1</v>
      </c>
      <c r="AB34" s="1258">
        <f t="shared" si="16"/>
        <v>1</v>
      </c>
      <c r="AC34" s="1258">
        <f t="shared" si="17"/>
        <v>1</v>
      </c>
    </row>
    <row r="35" spans="1:29" ht="15">
      <c r="A35" s="408"/>
      <c r="B35" s="363" t="s">
        <v>1699</v>
      </c>
      <c r="C35" s="1753" t="s">
        <v>4031</v>
      </c>
      <c r="D35" s="373">
        <v>100</v>
      </c>
      <c r="E35" s="1753" t="s">
        <v>4031</v>
      </c>
      <c r="F35" s="399">
        <f>SUMIF(107:107,E35,108:108)-SUMIF(107:107,C35,108:108)+100</f>
        <v>100</v>
      </c>
      <c r="G35" s="1753" t="s">
        <v>4031</v>
      </c>
      <c r="H35" s="373">
        <f>SUMIF(107:107,G35,108:108)-SUMIF(107:107,C35,108:108)+100</f>
        <v>100</v>
      </c>
      <c r="I35" s="1753" t="s">
        <v>4031</v>
      </c>
      <c r="J35" s="373">
        <f>SUMIF(107:107,I35,108:108)-SUMIF(107:107,C35,108:108)+100</f>
        <v>100</v>
      </c>
      <c r="K35" s="364">
        <v>2</v>
      </c>
      <c r="L35" s="2483"/>
      <c r="M35" s="2478"/>
      <c r="N35" s="2478"/>
      <c r="O35" s="2478"/>
      <c r="P35" s="3403"/>
      <c r="Q35" s="1257" t="str">
        <f t="shared" si="11"/>
        <v>建筑品质</v>
      </c>
      <c r="R35" s="666" t="s">
        <v>18</v>
      </c>
      <c r="S35" s="667">
        <f t="shared" si="12"/>
        <v>100</v>
      </c>
      <c r="T35" s="666" t="s">
        <v>18</v>
      </c>
      <c r="U35" s="667">
        <f t="shared" si="13"/>
        <v>100</v>
      </c>
      <c r="V35" s="666" t="s">
        <v>18</v>
      </c>
      <c r="W35" s="667">
        <f t="shared" si="14"/>
        <v>100</v>
      </c>
      <c r="X35" s="1259"/>
      <c r="Y35" s="3367"/>
      <c r="Z35" s="1258" t="str">
        <f t="shared" si="18"/>
        <v>建筑品质</v>
      </c>
      <c r="AA35" s="1258">
        <f t="shared" si="15"/>
        <v>1</v>
      </c>
      <c r="AB35" s="1258">
        <f t="shared" si="16"/>
        <v>1</v>
      </c>
      <c r="AC35" s="1258">
        <f t="shared" si="17"/>
        <v>1</v>
      </c>
    </row>
    <row r="36" spans="1:29" ht="15">
      <c r="A36" s="408"/>
      <c r="B36" s="363" t="s">
        <v>1700</v>
      </c>
      <c r="C36" s="1753" t="s">
        <v>4032</v>
      </c>
      <c r="D36" s="373">
        <v>100</v>
      </c>
      <c r="E36" s="1753" t="s">
        <v>4032</v>
      </c>
      <c r="F36" s="399">
        <f>SUMIF(109:109,E36,110:110)-SUMIF(109:109,C36,110:110)+100</f>
        <v>100</v>
      </c>
      <c r="G36" s="1753" t="s">
        <v>4032</v>
      </c>
      <c r="H36" s="373">
        <f>SUMIF(109:109,G36,110:110)-SUMIF(109:109,C36,110:110)+100</f>
        <v>100</v>
      </c>
      <c r="I36" s="1753" t="s">
        <v>4032</v>
      </c>
      <c r="J36" s="373">
        <f>SUMIF(109:109,I36,110:110)-SUMIF(109:109,C36,110:110)+100</f>
        <v>100</v>
      </c>
      <c r="K36" s="364">
        <v>2</v>
      </c>
      <c r="L36" s="2483"/>
      <c r="M36" s="2478"/>
      <c r="N36" s="2478"/>
      <c r="O36" s="2478"/>
      <c r="P36" s="3403"/>
      <c r="Q36" s="1257" t="str">
        <f t="shared" si="11"/>
        <v>公共部分装修</v>
      </c>
      <c r="R36" s="666" t="s">
        <v>18</v>
      </c>
      <c r="S36" s="667">
        <f t="shared" si="12"/>
        <v>100</v>
      </c>
      <c r="T36" s="666" t="s">
        <v>18</v>
      </c>
      <c r="U36" s="667">
        <f t="shared" si="13"/>
        <v>100</v>
      </c>
      <c r="V36" s="666" t="s">
        <v>18</v>
      </c>
      <c r="W36" s="667">
        <f t="shared" si="14"/>
        <v>100</v>
      </c>
      <c r="X36" s="1259"/>
      <c r="Y36" s="3367"/>
      <c r="Z36" s="1258" t="str">
        <f t="shared" si="18"/>
        <v>公共部分装修</v>
      </c>
      <c r="AA36" s="1258">
        <f t="shared" si="15"/>
        <v>1</v>
      </c>
      <c r="AB36" s="1258">
        <f t="shared" si="16"/>
        <v>1</v>
      </c>
      <c r="AC36" s="1258">
        <f t="shared" si="17"/>
        <v>1</v>
      </c>
    </row>
    <row r="37" spans="1:29" s="102" customFormat="1" ht="15">
      <c r="A37" s="409"/>
      <c r="B37" s="363" t="s">
        <v>1701</v>
      </c>
      <c r="C37" s="410">
        <v>1</v>
      </c>
      <c r="D37" s="118">
        <v>100</v>
      </c>
      <c r="E37" s="410">
        <v>1</v>
      </c>
      <c r="F37" s="363">
        <f>LOOKUP(E37,112:112,113:113)-LOOKUP(C37,112:112,113:113)+100</f>
        <v>100</v>
      </c>
      <c r="G37" s="412">
        <v>1</v>
      </c>
      <c r="H37" s="118">
        <f>LOOKUP(G37,112:112,113:113)-LOOKUP(C37,112:112,113:113)+100</f>
        <v>100</v>
      </c>
      <c r="I37" s="412">
        <v>1</v>
      </c>
      <c r="J37" s="118">
        <f>LOOKUP(I37,112:112,113:113)-LOOKUP(C37,112:112,113:113)+100</f>
        <v>100</v>
      </c>
      <c r="K37" s="364">
        <v>1</v>
      </c>
      <c r="L37" s="2479"/>
      <c r="M37" s="2431"/>
      <c r="N37" s="2431"/>
      <c r="O37" s="2431"/>
      <c r="P37" s="3403"/>
      <c r="Q37" s="529" t="str">
        <f t="shared" si="11"/>
        <v>成新度</v>
      </c>
      <c r="R37" s="663" t="s">
        <v>18</v>
      </c>
      <c r="S37" s="664">
        <f t="shared" si="12"/>
        <v>100</v>
      </c>
      <c r="T37" s="663" t="s">
        <v>18</v>
      </c>
      <c r="U37" s="664">
        <f t="shared" si="13"/>
        <v>100</v>
      </c>
      <c r="V37" s="663" t="s">
        <v>18</v>
      </c>
      <c r="W37" s="664">
        <f t="shared" si="14"/>
        <v>100</v>
      </c>
      <c r="X37" s="665"/>
      <c r="Y37" s="3367"/>
      <c r="Z37" s="50" t="str">
        <f t="shared" si="18"/>
        <v>成新度</v>
      </c>
      <c r="AA37" s="50">
        <f t="shared" si="15"/>
        <v>1</v>
      </c>
      <c r="AB37" s="50">
        <f t="shared" si="16"/>
        <v>1</v>
      </c>
      <c r="AC37" s="50">
        <f t="shared" si="17"/>
        <v>1</v>
      </c>
    </row>
    <row r="38" spans="1:29" ht="15">
      <c r="A38" s="408"/>
      <c r="B38" s="363" t="s">
        <v>1702</v>
      </c>
      <c r="C38" s="1753" t="s">
        <v>4033</v>
      </c>
      <c r="D38" s="373">
        <v>100</v>
      </c>
      <c r="E38" s="1753" t="s">
        <v>4033</v>
      </c>
      <c r="F38" s="399">
        <f>SUMIF(114:114,E38,115:115)-SUMIF(114:114,C38,115:115)+100</f>
        <v>100</v>
      </c>
      <c r="G38" s="1753" t="s">
        <v>4033</v>
      </c>
      <c r="H38" s="373">
        <f>SUMIF(114:114,G38,115:115)-SUMIF(114:114,C38,115:115)+100</f>
        <v>100</v>
      </c>
      <c r="I38" s="1753" t="s">
        <v>4033</v>
      </c>
      <c r="J38" s="373">
        <f>SUMIF(114:114,I38,115:115)-SUMIF(114:114,C38,115:115)+100</f>
        <v>100</v>
      </c>
      <c r="K38" s="364">
        <v>2</v>
      </c>
      <c r="L38" s="2483"/>
      <c r="M38" s="2478"/>
      <c r="N38" s="2478"/>
      <c r="O38" s="2478"/>
      <c r="P38" s="3403" t="s">
        <v>1696</v>
      </c>
      <c r="Q38" s="1257" t="str">
        <f t="shared" si="11"/>
        <v>物业管理</v>
      </c>
      <c r="R38" s="666" t="s">
        <v>18</v>
      </c>
      <c r="S38" s="667">
        <f t="shared" si="12"/>
        <v>100</v>
      </c>
      <c r="T38" s="666" t="s">
        <v>18</v>
      </c>
      <c r="U38" s="667">
        <f t="shared" si="13"/>
        <v>100</v>
      </c>
      <c r="V38" s="666" t="s">
        <v>18</v>
      </c>
      <c r="W38" s="667">
        <f t="shared" si="14"/>
        <v>100</v>
      </c>
      <c r="X38" s="1259"/>
      <c r="Y38" s="3367" t="s">
        <v>1696</v>
      </c>
      <c r="Z38" s="1258" t="str">
        <f t="shared" si="18"/>
        <v>物业管理</v>
      </c>
      <c r="AA38" s="1258">
        <f t="shared" si="15"/>
        <v>1</v>
      </c>
      <c r="AB38" s="1258">
        <f t="shared" si="16"/>
        <v>1</v>
      </c>
      <c r="AC38" s="1258">
        <f t="shared" si="17"/>
        <v>1</v>
      </c>
    </row>
    <row r="39" spans="1:29" ht="15">
      <c r="A39" s="408"/>
      <c r="B39" s="363" t="s">
        <v>1703</v>
      </c>
      <c r="C39" s="1753" t="s">
        <v>4007</v>
      </c>
      <c r="D39" s="373">
        <v>100</v>
      </c>
      <c r="E39" s="1753" t="s">
        <v>4007</v>
      </c>
      <c r="F39" s="399">
        <f>SUMIF(116:116,E39,117:117)-SUMIF(116:116,C39,117:117)+100</f>
        <v>100</v>
      </c>
      <c r="G39" s="1753" t="s">
        <v>4007</v>
      </c>
      <c r="H39" s="373">
        <f>SUMIF(116:116,G39,117:117)-SUMIF(116:116,C39,117:117)+100</f>
        <v>100</v>
      </c>
      <c r="I39" s="1753" t="s">
        <v>4007</v>
      </c>
      <c r="J39" s="373">
        <f>SUMIF(116:116,I39,117:117)-SUMIF(116:116,C39,117:117)+100</f>
        <v>100</v>
      </c>
      <c r="K39" s="364">
        <v>1</v>
      </c>
      <c r="L39" s="2483"/>
      <c r="M39" s="2478"/>
      <c r="N39" s="2478"/>
      <c r="O39" s="2478"/>
      <c r="P39" s="3403"/>
      <c r="Q39" s="1257" t="str">
        <f t="shared" si="11"/>
        <v>市政基础设施</v>
      </c>
      <c r="R39" s="666" t="s">
        <v>18</v>
      </c>
      <c r="S39" s="667">
        <f t="shared" si="12"/>
        <v>100</v>
      </c>
      <c r="T39" s="666" t="s">
        <v>18</v>
      </c>
      <c r="U39" s="667">
        <f t="shared" si="13"/>
        <v>100</v>
      </c>
      <c r="V39" s="666" t="s">
        <v>18</v>
      </c>
      <c r="W39" s="667">
        <f t="shared" si="14"/>
        <v>100</v>
      </c>
      <c r="X39" s="1259"/>
      <c r="Y39" s="3367"/>
      <c r="Z39" s="1258" t="str">
        <f t="shared" si="18"/>
        <v>市政基础设施</v>
      </c>
      <c r="AA39" s="1258">
        <f t="shared" si="15"/>
        <v>1</v>
      </c>
      <c r="AB39" s="1258">
        <f t="shared" si="16"/>
        <v>1</v>
      </c>
      <c r="AC39" s="1258">
        <f t="shared" si="17"/>
        <v>1</v>
      </c>
    </row>
    <row r="40" spans="1:29" ht="15">
      <c r="A40" s="408"/>
      <c r="B40" s="363" t="s">
        <v>1704</v>
      </c>
      <c r="C40" s="1753"/>
      <c r="D40" s="373">
        <v>100</v>
      </c>
      <c r="E40" s="1754"/>
      <c r="F40" s="399">
        <f>SUMIF(118:118,E40,119:119)-SUMIF(118:118,C40,119:119)+100</f>
        <v>100</v>
      </c>
      <c r="G40" s="1753"/>
      <c r="H40" s="373">
        <f>SUMIF(118:118,G40,119:119)-SUMIF(118:118,C40,119:119)+100</f>
        <v>100</v>
      </c>
      <c r="I40" s="1753"/>
      <c r="J40" s="373">
        <f>SUMIF(118:118,I40,119:119)-SUMIF(118:118,C40,119:119)+100</f>
        <v>100</v>
      </c>
      <c r="K40" s="364"/>
      <c r="L40" s="2483"/>
      <c r="M40" s="2478"/>
      <c r="N40" s="2478"/>
      <c r="O40" s="2478"/>
      <c r="P40" s="3403"/>
      <c r="Q40" s="1257" t="str">
        <f t="shared" si="11"/>
        <v>房型</v>
      </c>
      <c r="R40" s="666" t="s">
        <v>18</v>
      </c>
      <c r="S40" s="667">
        <f t="shared" si="12"/>
        <v>100</v>
      </c>
      <c r="T40" s="666" t="s">
        <v>18</v>
      </c>
      <c r="U40" s="667">
        <f t="shared" si="13"/>
        <v>100</v>
      </c>
      <c r="V40" s="666" t="s">
        <v>18</v>
      </c>
      <c r="W40" s="667">
        <f t="shared" si="14"/>
        <v>100</v>
      </c>
      <c r="X40" s="1259"/>
      <c r="Y40" s="3367"/>
      <c r="Z40" s="1258" t="str">
        <f t="shared" si="18"/>
        <v>房型</v>
      </c>
      <c r="AA40" s="1258">
        <f t="shared" si="15"/>
        <v>1</v>
      </c>
      <c r="AB40" s="1258">
        <f t="shared" si="16"/>
        <v>1</v>
      </c>
      <c r="AC40" s="1258">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367"/>
      <c r="J41" s="373">
        <f>SUMIF(120:120,I41,121:121)-SUMIF(120:120,C41,121:121)+100</f>
        <v>100</v>
      </c>
      <c r="K41" s="1741"/>
      <c r="L41" s="2482"/>
      <c r="M41" s="2484"/>
      <c r="N41" s="2484"/>
      <c r="O41" s="2484"/>
      <c r="P41" s="3403"/>
      <c r="Q41" s="530" t="str">
        <f t="shared" si="11"/>
        <v>单套/主力户型建筑面积</v>
      </c>
      <c r="R41" s="668" t="s">
        <v>18</v>
      </c>
      <c r="S41" s="669">
        <f t="shared" si="12"/>
        <v>100</v>
      </c>
      <c r="T41" s="668" t="s">
        <v>18</v>
      </c>
      <c r="U41" s="669">
        <f t="shared" si="13"/>
        <v>100</v>
      </c>
      <c r="V41" s="668" t="s">
        <v>18</v>
      </c>
      <c r="W41" s="669">
        <f t="shared" si="14"/>
        <v>100</v>
      </c>
      <c r="X41" s="670"/>
      <c r="Y41" s="3367"/>
      <c r="Z41" s="671" t="str">
        <f t="shared" si="18"/>
        <v>单套/主力户型建筑面积</v>
      </c>
      <c r="AA41" s="1258">
        <f t="shared" si="15"/>
        <v>1</v>
      </c>
      <c r="AB41" s="1258">
        <f t="shared" si="16"/>
        <v>1</v>
      </c>
      <c r="AC41" s="1258">
        <f t="shared" si="17"/>
        <v>1</v>
      </c>
    </row>
    <row r="42" spans="1:29" ht="15">
      <c r="A42" s="408"/>
      <c r="B42" s="363" t="s">
        <v>1706</v>
      </c>
      <c r="C42" s="1753" t="s">
        <v>4032</v>
      </c>
      <c r="D42" s="373">
        <v>100</v>
      </c>
      <c r="E42" s="1753" t="s">
        <v>4034</v>
      </c>
      <c r="F42" s="399">
        <f>SUMIF(122:122,E42,123:123)-SUMIF(122:122,C42,123:123)+100</f>
        <v>97</v>
      </c>
      <c r="G42" s="1753" t="s">
        <v>4034</v>
      </c>
      <c r="H42" s="373">
        <f>SUMIF(122:122,G42,123:123)-SUMIF(122:122,C42,123:123)+100</f>
        <v>97</v>
      </c>
      <c r="I42" s="1753" t="s">
        <v>4034</v>
      </c>
      <c r="J42" s="373">
        <f>SUMIF(122:122,I42,123:123)-SUMIF(122:122,C42,123:123)+100</f>
        <v>97</v>
      </c>
      <c r="K42" s="364">
        <v>1</v>
      </c>
      <c r="L42" s="2483"/>
      <c r="M42" s="2478"/>
      <c r="N42" s="2478"/>
      <c r="O42" s="2478"/>
      <c r="P42" s="3403"/>
      <c r="Q42" s="1257" t="str">
        <f t="shared" si="11"/>
        <v>内部装修</v>
      </c>
      <c r="R42" s="666" t="s">
        <v>18</v>
      </c>
      <c r="S42" s="667">
        <f t="shared" si="12"/>
        <v>97</v>
      </c>
      <c r="T42" s="666" t="s">
        <v>18</v>
      </c>
      <c r="U42" s="667">
        <f t="shared" si="13"/>
        <v>97</v>
      </c>
      <c r="V42" s="666" t="s">
        <v>18</v>
      </c>
      <c r="W42" s="667">
        <f t="shared" si="14"/>
        <v>97</v>
      </c>
      <c r="X42" s="1259"/>
      <c r="Y42" s="3367"/>
      <c r="Z42" s="1258" t="str">
        <f t="shared" si="18"/>
        <v>内部装修</v>
      </c>
      <c r="AA42" s="1258">
        <f t="shared" si="15"/>
        <v>1.0309278350515463</v>
      </c>
      <c r="AB42" s="1258">
        <f t="shared" si="16"/>
        <v>1.0309278350515463</v>
      </c>
      <c r="AC42" s="1258">
        <f t="shared" si="17"/>
        <v>1.0309278350515463</v>
      </c>
    </row>
    <row r="43" spans="1:29" ht="15">
      <c r="A43" s="408"/>
      <c r="B43" s="363" t="s">
        <v>1707</v>
      </c>
      <c r="C43" s="1753" t="s">
        <v>3439</v>
      </c>
      <c r="D43" s="373">
        <v>100</v>
      </c>
      <c r="E43" s="1753" t="s">
        <v>3439</v>
      </c>
      <c r="F43" s="399">
        <f>SUMIF(124:124,E43,125:125)-SUMIF(124:124,C43,125:125)+100</f>
        <v>100</v>
      </c>
      <c r="G43" s="1753" t="s">
        <v>3439</v>
      </c>
      <c r="H43" s="373">
        <f>SUMIF(124:124,G43,125:125)-SUMIF(124:124,C43,125:125)+100</f>
        <v>100</v>
      </c>
      <c r="I43" s="1753" t="s">
        <v>3439</v>
      </c>
      <c r="J43" s="373">
        <f>SUMIF(124:124,I43,125:125)-SUMIF(124:124,C43,125:125)+100</f>
        <v>100</v>
      </c>
      <c r="K43" s="364">
        <v>1</v>
      </c>
      <c r="L43" s="2483"/>
      <c r="M43" s="2478"/>
      <c r="N43" s="2478"/>
      <c r="O43" s="2478"/>
      <c r="P43" s="3403"/>
      <c r="Q43" s="1257" t="str">
        <f t="shared" si="11"/>
        <v>内部装修维护情况</v>
      </c>
      <c r="R43" s="666" t="s">
        <v>18</v>
      </c>
      <c r="S43" s="667">
        <f t="shared" si="12"/>
        <v>100</v>
      </c>
      <c r="T43" s="666" t="s">
        <v>18</v>
      </c>
      <c r="U43" s="667">
        <f t="shared" si="13"/>
        <v>100</v>
      </c>
      <c r="V43" s="666" t="s">
        <v>18</v>
      </c>
      <c r="W43" s="667">
        <f t="shared" si="14"/>
        <v>100</v>
      </c>
      <c r="X43" s="1259"/>
      <c r="Y43" s="3367"/>
      <c r="Z43" s="1258" t="str">
        <f t="shared" si="18"/>
        <v>内部装修维护情况</v>
      </c>
      <c r="AA43" s="1258">
        <f t="shared" si="15"/>
        <v>1</v>
      </c>
      <c r="AB43" s="1258">
        <f t="shared" si="16"/>
        <v>1</v>
      </c>
      <c r="AC43" s="1258">
        <f t="shared" si="17"/>
        <v>1</v>
      </c>
    </row>
    <row r="44" spans="1:29" s="102" customFormat="1" ht="15">
      <c r="A44" s="409"/>
      <c r="B44" s="1060">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1"/>
      <c r="L44" s="2479"/>
      <c r="M44" s="2431"/>
      <c r="N44" s="2431"/>
      <c r="O44" s="2431"/>
      <c r="P44" s="3403"/>
      <c r="Q44" s="529">
        <f t="shared" si="11"/>
        <v>111</v>
      </c>
      <c r="R44" s="663" t="s">
        <v>18</v>
      </c>
      <c r="S44" s="664">
        <f t="shared" si="12"/>
        <v>100</v>
      </c>
      <c r="T44" s="663" t="s">
        <v>18</v>
      </c>
      <c r="U44" s="664">
        <f t="shared" si="13"/>
        <v>100</v>
      </c>
      <c r="V44" s="663" t="s">
        <v>18</v>
      </c>
      <c r="W44" s="664">
        <f t="shared" si="14"/>
        <v>100</v>
      </c>
      <c r="X44" s="665"/>
      <c r="Y44" s="3367"/>
      <c r="Z44" s="50">
        <f t="shared" si="18"/>
        <v>111</v>
      </c>
      <c r="AA44" s="50">
        <f t="shared" si="15"/>
        <v>1</v>
      </c>
      <c r="AB44" s="50">
        <f t="shared" si="16"/>
        <v>1</v>
      </c>
      <c r="AC44" s="50">
        <f t="shared" si="17"/>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1"/>
      <c r="L45" s="2483"/>
      <c r="M45" s="2478"/>
      <c r="N45" s="2478"/>
      <c r="O45" s="2478"/>
      <c r="P45" s="3403"/>
      <c r="Q45" s="1257">
        <f t="shared" si="11"/>
        <v>111</v>
      </c>
      <c r="R45" s="666" t="s">
        <v>18</v>
      </c>
      <c r="S45" s="667">
        <f t="shared" si="12"/>
        <v>100</v>
      </c>
      <c r="T45" s="666" t="s">
        <v>18</v>
      </c>
      <c r="U45" s="667">
        <f t="shared" si="13"/>
        <v>100</v>
      </c>
      <c r="V45" s="666" t="s">
        <v>18</v>
      </c>
      <c r="W45" s="667">
        <f t="shared" si="14"/>
        <v>100</v>
      </c>
      <c r="X45" s="1259"/>
      <c r="Y45" s="3367"/>
      <c r="Z45" s="1258">
        <f t="shared" si="18"/>
        <v>111</v>
      </c>
      <c r="AA45" s="1258">
        <f t="shared" si="15"/>
        <v>1</v>
      </c>
      <c r="AB45" s="1258">
        <f t="shared" si="16"/>
        <v>1</v>
      </c>
      <c r="AC45" s="1258">
        <f t="shared" si="17"/>
        <v>1</v>
      </c>
    </row>
    <row r="46" spans="1:29" ht="15.75" thickBot="1">
      <c r="A46" s="414"/>
      <c r="B46" s="1742">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1"/>
      <c r="L46" s="2483"/>
      <c r="M46" s="2478"/>
      <c r="N46" s="2478"/>
      <c r="O46" s="2478"/>
      <c r="P46" s="3404"/>
      <c r="Q46" s="1257">
        <f t="shared" si="11"/>
        <v>111</v>
      </c>
      <c r="R46" s="666" t="s">
        <v>17</v>
      </c>
      <c r="S46" s="667">
        <f t="shared" si="12"/>
        <v>100</v>
      </c>
      <c r="T46" s="666" t="s">
        <v>17</v>
      </c>
      <c r="U46" s="667">
        <f t="shared" si="13"/>
        <v>100</v>
      </c>
      <c r="V46" s="666" t="s">
        <v>17</v>
      </c>
      <c r="W46" s="667">
        <f t="shared" si="14"/>
        <v>100</v>
      </c>
      <c r="X46" s="1259"/>
      <c r="Y46" s="3405"/>
      <c r="Z46" s="1258">
        <f t="shared" si="18"/>
        <v>111</v>
      </c>
      <c r="AA46" s="1258">
        <f t="shared" si="15"/>
        <v>1</v>
      </c>
      <c r="AB46" s="1258">
        <f t="shared" si="16"/>
        <v>1</v>
      </c>
      <c r="AC46" s="1258">
        <f t="shared" si="17"/>
        <v>1</v>
      </c>
    </row>
    <row r="47" spans="1:29" ht="15">
      <c r="A47" s="415" t="s">
        <v>1708</v>
      </c>
      <c r="B47" s="416"/>
      <c r="C47" s="1075" t="s">
        <v>16</v>
      </c>
      <c r="D47" s="417"/>
      <c r="E47" s="418">
        <v>20741</v>
      </c>
      <c r="F47" s="419"/>
      <c r="G47" s="420">
        <v>21746</v>
      </c>
      <c r="H47" s="421"/>
      <c r="I47" s="418">
        <v>23608</v>
      </c>
      <c r="J47" s="421"/>
      <c r="K47" s="1759"/>
      <c r="L47" s="2485"/>
      <c r="M47" s="2478"/>
      <c r="N47" s="2478"/>
      <c r="O47" s="2478"/>
      <c r="P47" s="3363" t="str">
        <f>A47</f>
        <v>成交单价（元/平方米）</v>
      </c>
      <c r="Q47" s="3363"/>
      <c r="R47" s="3368">
        <f>E47</f>
        <v>20741</v>
      </c>
      <c r="S47" s="3368"/>
      <c r="T47" s="3368">
        <f>G47</f>
        <v>21746</v>
      </c>
      <c r="U47" s="3368"/>
      <c r="V47" s="3368">
        <f>I47</f>
        <v>23608</v>
      </c>
      <c r="W47" s="3368"/>
      <c r="X47" s="384"/>
      <c r="Y47" s="672"/>
      <c r="Z47" s="384"/>
      <c r="AA47" s="384"/>
      <c r="AB47" s="384"/>
      <c r="AC47" s="384"/>
    </row>
    <row r="48" spans="1:29" ht="15.75" thickBot="1">
      <c r="A48" s="422" t="s">
        <v>1709</v>
      </c>
      <c r="B48" s="423"/>
      <c r="C48" s="1076">
        <f>R49</f>
        <v>21652</v>
      </c>
      <c r="D48" s="2133" t="s">
        <v>2137</v>
      </c>
      <c r="E48" s="1077">
        <f>R48</f>
        <v>19585</v>
      </c>
      <c r="F48" s="2134"/>
      <c r="G48" s="1076">
        <f>T48</f>
        <v>21979</v>
      </c>
      <c r="H48" s="2134"/>
      <c r="I48" s="1077">
        <f>V48</f>
        <v>23393</v>
      </c>
      <c r="J48" s="2134"/>
      <c r="K48" s="2135">
        <f>F48+H48+J48</f>
        <v>0</v>
      </c>
      <c r="L48" s="2485"/>
      <c r="M48" s="2478"/>
      <c r="N48" s="2478"/>
      <c r="O48" s="2478"/>
      <c r="P48" s="3363" t="str">
        <f>A48</f>
        <v>比较价值（元/平方米）</v>
      </c>
      <c r="Q48" s="3363"/>
      <c r="R48" s="3368">
        <f>IF(F1="售价",ROUND(PRODUCT(R47,AA7:AA46),0),ROUND(PRODUCT(R47,AA7:AA46),1))</f>
        <v>19585</v>
      </c>
      <c r="S48" s="3368"/>
      <c r="T48" s="3368">
        <f>IF(F1="售价",ROUND(PRODUCT(T47,AB7:AB46),0),ROUND(PRODUCT(T47,AB7:AB46),1))</f>
        <v>21979</v>
      </c>
      <c r="U48" s="3368"/>
      <c r="V48" s="3368">
        <f>IF(F1="售价",ROUND(PRODUCT(V47,AC7:AC46),0),ROUND(PRODUCT(V47,AC7:AC46),1))</f>
        <v>23393</v>
      </c>
      <c r="W48" s="3368"/>
      <c r="X48" s="384"/>
      <c r="Y48" s="384"/>
      <c r="Z48" s="384"/>
      <c r="AA48" s="384"/>
      <c r="AB48" s="384"/>
      <c r="AC48" s="384"/>
    </row>
    <row r="49" spans="1:29" ht="15.75" thickBot="1">
      <c r="A49" s="426" t="s">
        <v>1710</v>
      </c>
      <c r="B49" s="427"/>
      <c r="C49" s="1078">
        <f>R49</f>
        <v>21652</v>
      </c>
      <c r="D49" s="350"/>
      <c r="E49" s="350"/>
      <c r="F49" s="350"/>
      <c r="G49" s="350"/>
      <c r="H49" s="350"/>
      <c r="I49" s="350"/>
      <c r="J49" s="350"/>
      <c r="K49" s="1760"/>
      <c r="L49" s="2485"/>
      <c r="M49" s="2478"/>
      <c r="N49" s="2478"/>
      <c r="O49" s="2478"/>
      <c r="P49" s="3357" t="str">
        <f>A49</f>
        <v>估价对象XX用房的比较价值（楼面单价，元/平方米）</v>
      </c>
      <c r="Q49" s="3358"/>
      <c r="R49" s="3401">
        <f>IF(F1="售价",ROUND(IF(D48="简单平均",AVERAGE(R48:V48),R48*F48+T48*H48+V48*J48),0),ROUND(IF(D48="简单平均",AVERAGE(R48:V48),R48*F48+T48*H48+V48*J48),1))</f>
        <v>21652</v>
      </c>
      <c r="S49" s="3401"/>
      <c r="T49" s="3401"/>
      <c r="U49" s="3401"/>
      <c r="V49" s="3401"/>
      <c r="W49" s="3401"/>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5.9024763849885087E-2</v>
      </c>
      <c r="F52" s="434" t="str">
        <f>IF(OR(E52&gt;=0.3,E52&lt;=-0.3),"超过30%","")</f>
        <v/>
      </c>
      <c r="G52" s="433">
        <f>IF(G47&lt;G48,G48/G47-1,G47/G48-1)</f>
        <v>1.0714614181918547E-2</v>
      </c>
      <c r="H52" s="434" t="str">
        <f>IF(OR(G52&gt;=0.3,G52&lt;=-0.3),"超过30%","")</f>
        <v/>
      </c>
      <c r="I52" s="433">
        <f>IF(I47&lt;I48,I48/I47-1,I47/I48-1)</f>
        <v>9.1907835677338401E-3</v>
      </c>
      <c r="J52" s="434" t="str">
        <f>IF(OR(I52&gt;=0.3,I52&lt;=-0.3),"超过30%","")</f>
        <v/>
      </c>
      <c r="K52" s="2490"/>
      <c r="L52" s="2486"/>
      <c r="M52" s="2478"/>
      <c r="N52" s="2478"/>
      <c r="O52" s="2478"/>
    </row>
    <row r="53" spans="1:29" ht="13.5" customHeight="1">
      <c r="A53" s="2478"/>
      <c r="B53" s="2478"/>
      <c r="C53" s="431" t="s">
        <v>1712</v>
      </c>
      <c r="D53" s="435"/>
      <c r="E53" s="433">
        <f>IF(E48&lt;G48,G48/E48-1,E48/G48-1)</f>
        <v>0.12223640541230529</v>
      </c>
      <c r="F53" s="434" t="str">
        <f>IF(OR(E53&gt;=0.2,E53&lt;=-0.2),"超过20%","")</f>
        <v/>
      </c>
      <c r="G53" s="433">
        <f>IF(G48&lt;I48,I48/G48-1,G48/I48-1)</f>
        <v>6.433413713089764E-2</v>
      </c>
      <c r="H53" s="434" t="str">
        <f>IF(OR(G53&gt;=0.2,G53&lt;=-0.2),"超过20%","")</f>
        <v/>
      </c>
      <c r="I53" s="433">
        <f>IF(I48&lt;E48,E48/I48-1,I48/E48-1)</f>
        <v>0.1944345162113863</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4.8454751458463896E-2</v>
      </c>
      <c r="F54" s="434" t="str">
        <f>IF(OR(E54&gt;=0.3,E54&lt;=-0.3),"超过30%","")</f>
        <v/>
      </c>
      <c r="G54" s="433">
        <f>IF(G47&lt;I47,I47/G47-1,G47/I47-1)</f>
        <v>8.5624942518164326E-2</v>
      </c>
      <c r="H54" s="434" t="str">
        <f>IF(OR(G54&gt;=0.3,G54&lt;=-0.3),"超过30%","")</f>
        <v/>
      </c>
      <c r="I54" s="433">
        <f>IF(I47&lt;E47,E47/I47-1,I47/E47-1)</f>
        <v>0.13822862928499102</v>
      </c>
      <c r="J54" s="434" t="str">
        <f>IF(OR(I54&gt;=0.3,I54&lt;=-0.3),"超过30%","")</f>
        <v/>
      </c>
      <c r="K54" s="2493"/>
      <c r="L54" s="2487"/>
      <c r="M54" s="2488"/>
      <c r="N54" s="2488"/>
      <c r="O54" s="2488"/>
      <c r="P54" s="1762"/>
    </row>
    <row r="55" spans="1:29" s="436"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1.75" thickBot="1">
      <c r="A57" s="657" t="s">
        <v>1714</v>
      </c>
      <c r="B57" s="384"/>
      <c r="C57" s="658"/>
      <c r="D57" s="658"/>
      <c r="E57" s="658"/>
      <c r="F57" s="659"/>
      <c r="G57" s="659"/>
      <c r="H57" s="658"/>
      <c r="I57" s="658"/>
      <c r="J57" s="658"/>
      <c r="K57" s="881"/>
      <c r="L57" s="882"/>
      <c r="M57" s="880"/>
      <c r="N57" s="880"/>
      <c r="O57" s="880"/>
      <c r="P57" s="1763"/>
      <c r="Q57" s="438"/>
    </row>
    <row r="58" spans="1:29" s="441" customFormat="1" ht="15">
      <c r="A58" s="439" t="s">
        <v>1715</v>
      </c>
      <c r="B58" s="440"/>
      <c r="C58" s="1099" t="str">
        <f>YEAR(C7)&amp;"-"&amp;MONTH(C7)</f>
        <v>2024-10</v>
      </c>
      <c r="D58" s="1098">
        <f>EDATE(C58,-1)</f>
        <v>45536</v>
      </c>
      <c r="E58" s="1098">
        <f>EDATE(D58,-1)</f>
        <v>45505</v>
      </c>
      <c r="F58" s="1098">
        <f t="shared" ref="F58:O58" si="19">EDATE(E58,-1)</f>
        <v>45474</v>
      </c>
      <c r="G58" s="1098">
        <f t="shared" si="19"/>
        <v>45444</v>
      </c>
      <c r="H58" s="1098">
        <f t="shared" si="19"/>
        <v>45413</v>
      </c>
      <c r="I58" s="1098">
        <f t="shared" si="19"/>
        <v>45383</v>
      </c>
      <c r="J58" s="1098">
        <f t="shared" si="19"/>
        <v>45352</v>
      </c>
      <c r="K58" s="1098">
        <f t="shared" si="19"/>
        <v>45323</v>
      </c>
      <c r="L58" s="1098">
        <f t="shared" si="19"/>
        <v>45292</v>
      </c>
      <c r="M58" s="1098">
        <f t="shared" si="19"/>
        <v>45261</v>
      </c>
      <c r="N58" s="1098">
        <f t="shared" si="19"/>
        <v>45231</v>
      </c>
      <c r="O58" s="1098">
        <f t="shared" si="19"/>
        <v>45200</v>
      </c>
      <c r="P58" s="1094"/>
    </row>
    <row r="59" spans="1:29" s="102" customFormat="1" ht="15">
      <c r="A59" s="442"/>
      <c r="B59" s="1764"/>
      <c r="C59" s="1096">
        <v>100</v>
      </c>
      <c r="D59" s="444">
        <v>100</v>
      </c>
      <c r="E59" s="444">
        <v>100</v>
      </c>
      <c r="F59" s="444">
        <v>100</v>
      </c>
      <c r="G59" s="444">
        <v>100</v>
      </c>
      <c r="H59" s="444">
        <v>100</v>
      </c>
      <c r="I59" s="444">
        <v>100</v>
      </c>
      <c r="J59" s="444">
        <v>100</v>
      </c>
      <c r="K59" s="445"/>
      <c r="L59" s="445"/>
      <c r="M59" s="446"/>
      <c r="N59" s="445"/>
      <c r="O59" s="446"/>
      <c r="P59" s="1765"/>
    </row>
    <row r="60" spans="1:29" s="102" customFormat="1" ht="15.75" thickBot="1">
      <c r="A60" s="448" t="s">
        <v>1716</v>
      </c>
      <c r="B60" s="449"/>
      <c r="C60" s="450"/>
      <c r="D60" s="451"/>
      <c r="E60" s="451"/>
      <c r="F60" s="451"/>
      <c r="G60" s="451"/>
      <c r="H60" s="451"/>
      <c r="I60" s="451"/>
      <c r="J60" s="451"/>
      <c r="K60" s="451"/>
      <c r="L60" s="451"/>
      <c r="M60" s="452"/>
      <c r="N60" s="451"/>
      <c r="O60" s="452"/>
      <c r="P60" s="1765"/>
      <c r="Q60" s="438"/>
    </row>
    <row r="61" spans="1:29" s="102" customFormat="1" ht="15">
      <c r="A61" s="454" t="s">
        <v>1717</v>
      </c>
      <c r="B61" s="443"/>
      <c r="C61" s="455" t="s">
        <v>1718</v>
      </c>
      <c r="D61" s="3155" t="s">
        <v>4035</v>
      </c>
      <c r="E61" s="31"/>
      <c r="F61" s="31"/>
      <c r="G61" s="31"/>
      <c r="H61" s="31"/>
      <c r="I61" s="31"/>
      <c r="J61" s="31"/>
      <c r="K61" s="31"/>
      <c r="L61" s="456"/>
      <c r="M61" s="457"/>
      <c r="N61" s="872"/>
      <c r="O61" s="872"/>
      <c r="P61" s="1766"/>
      <c r="Q61" s="438"/>
    </row>
    <row r="62" spans="1:29" s="102" customFormat="1" ht="15.75" thickBot="1">
      <c r="A62" s="454"/>
      <c r="B62" s="443"/>
      <c r="C62" s="444">
        <v>100</v>
      </c>
      <c r="D62" s="445">
        <v>102</v>
      </c>
      <c r="E62" s="445"/>
      <c r="F62" s="445"/>
      <c r="G62" s="445"/>
      <c r="H62" s="445"/>
      <c r="I62" s="445"/>
      <c r="J62" s="445"/>
      <c r="K62" s="445"/>
      <c r="L62" s="445"/>
      <c r="M62" s="447"/>
      <c r="N62" s="872"/>
      <c r="O62" s="872"/>
      <c r="P62" s="1765"/>
      <c r="Q62" s="438"/>
    </row>
    <row r="63" spans="1:29">
      <c r="A63" s="378" t="s">
        <v>1719</v>
      </c>
      <c r="B63" s="459" t="s">
        <v>1685</v>
      </c>
      <c r="C63" s="460" t="str">
        <f>C9</f>
        <v>住宅</v>
      </c>
      <c r="D63" s="461"/>
      <c r="E63" s="461"/>
      <c r="F63" s="461"/>
      <c r="G63" s="461"/>
      <c r="H63" s="461"/>
      <c r="I63" s="461"/>
      <c r="J63" s="461"/>
      <c r="K63" s="462"/>
      <c r="L63" s="463"/>
      <c r="M63" s="464"/>
      <c r="N63" s="873"/>
      <c r="O63" s="873"/>
      <c r="P63" s="1767"/>
      <c r="Q63" s="438"/>
    </row>
    <row r="64" spans="1:29" ht="15.75" thickBot="1">
      <c r="A64" s="366"/>
      <c r="B64" s="465"/>
      <c r="C64" s="466">
        <v>100</v>
      </c>
      <c r="D64" s="466"/>
      <c r="E64" s="466"/>
      <c r="F64" s="466"/>
      <c r="G64" s="466"/>
      <c r="H64" s="466"/>
      <c r="I64" s="466"/>
      <c r="J64" s="466"/>
      <c r="K64" s="466"/>
      <c r="L64" s="466"/>
      <c r="M64" s="467"/>
      <c r="N64" s="874"/>
      <c r="O64" s="874"/>
      <c r="P64" s="1767"/>
      <c r="Q64" s="438"/>
    </row>
    <row r="65" spans="1:17" ht="27.75" thickTop="1">
      <c r="A65" s="366"/>
      <c r="B65" s="468" t="s">
        <v>1688</v>
      </c>
      <c r="C65" s="512" t="s">
        <v>4036</v>
      </c>
      <c r="D65" s="512" t="s">
        <v>4037</v>
      </c>
      <c r="E65" s="512"/>
      <c r="F65" s="512"/>
      <c r="G65" s="512"/>
      <c r="H65" s="512"/>
      <c r="I65" s="512"/>
      <c r="J65" s="512"/>
      <c r="K65" s="512"/>
      <c r="L65" s="512"/>
      <c r="M65" s="512"/>
      <c r="N65" s="874"/>
      <c r="O65" s="874"/>
      <c r="P65" s="1767"/>
      <c r="Q65" s="438"/>
    </row>
    <row r="66" spans="1:17" ht="15.75" thickBot="1">
      <c r="A66" s="366"/>
      <c r="B66" s="473"/>
      <c r="C66" s="466">
        <v>100</v>
      </c>
      <c r="D66" s="466">
        <f>C66-2</f>
        <v>98</v>
      </c>
      <c r="E66" s="466"/>
      <c r="F66" s="466"/>
      <c r="G66" s="466"/>
      <c r="H66" s="466"/>
      <c r="I66" s="466"/>
      <c r="J66" s="466"/>
      <c r="K66" s="466"/>
      <c r="L66" s="466"/>
      <c r="M66" s="467"/>
      <c r="N66" s="874"/>
      <c r="O66" s="874"/>
      <c r="P66" s="1767"/>
      <c r="Q66" s="438"/>
    </row>
    <row r="67" spans="1:17" ht="15.75" thickTop="1">
      <c r="A67" s="366"/>
      <c r="B67" s="476" t="s">
        <v>1689</v>
      </c>
      <c r="C67" s="477" t="str">
        <f>C68&amp;"（含）"&amp;"-"&amp;D68</f>
        <v>0（含）-0.5</v>
      </c>
      <c r="D67" s="477" t="str">
        <f t="shared" ref="D67:L67" si="20">D68&amp;"（含）"&amp;"-"&amp;E68</f>
        <v>0.5（含）-1</v>
      </c>
      <c r="E67" s="477" t="str">
        <f t="shared" si="20"/>
        <v>1（含）-1.5</v>
      </c>
      <c r="F67" s="477" t="str">
        <f t="shared" si="20"/>
        <v>1.5（含）-2</v>
      </c>
      <c r="G67" s="477" t="str">
        <f t="shared" si="20"/>
        <v>2（含）-2.5</v>
      </c>
      <c r="H67" s="477" t="str">
        <f t="shared" si="20"/>
        <v>2.5（含）-3</v>
      </c>
      <c r="I67" s="477" t="str">
        <f t="shared" si="20"/>
        <v>3（含）-3.5</v>
      </c>
      <c r="J67" s="477" t="str">
        <f t="shared" si="20"/>
        <v>3.5（含）-</v>
      </c>
      <c r="K67" s="477" t="str">
        <f>K68&amp;"（含）"&amp;"-"&amp;L68</f>
        <v>（含）-</v>
      </c>
      <c r="L67" s="477" t="str">
        <f t="shared" si="20"/>
        <v>（含）-</v>
      </c>
      <c r="M67" s="386" t="str">
        <f>M68&amp;"（含）"&amp;"-"&amp;P68</f>
        <v>（含）-</v>
      </c>
      <c r="N67" s="874"/>
      <c r="O67" s="874"/>
      <c r="P67" s="1767"/>
      <c r="Q67" s="438"/>
    </row>
    <row r="68" spans="1:17" ht="15">
      <c r="A68" s="366"/>
      <c r="B68" s="478"/>
      <c r="C68" s="479">
        <v>0</v>
      </c>
      <c r="D68" s="479">
        <f>C68+0.5</f>
        <v>0.5</v>
      </c>
      <c r="E68" s="479">
        <f t="shared" ref="E68:J68" si="21">D68+0.5</f>
        <v>1</v>
      </c>
      <c r="F68" s="479">
        <f t="shared" si="21"/>
        <v>1.5</v>
      </c>
      <c r="G68" s="479">
        <f t="shared" si="21"/>
        <v>2</v>
      </c>
      <c r="H68" s="479">
        <f t="shared" si="21"/>
        <v>2.5</v>
      </c>
      <c r="I68" s="479">
        <f t="shared" si="21"/>
        <v>3</v>
      </c>
      <c r="J68" s="479">
        <f t="shared" si="21"/>
        <v>3.5</v>
      </c>
      <c r="K68" s="480"/>
      <c r="L68" s="481"/>
      <c r="M68" s="482"/>
      <c r="N68" s="873"/>
      <c r="O68" s="873"/>
      <c r="P68" s="1767"/>
      <c r="Q68" s="438"/>
    </row>
    <row r="69" spans="1:17" ht="15.75" thickBot="1">
      <c r="A69" s="366"/>
      <c r="B69" s="465"/>
      <c r="C69" s="474">
        <v>100</v>
      </c>
      <c r="D69" s="474">
        <f t="shared" ref="D69:M69" si="22">C69-$K11</f>
        <v>98</v>
      </c>
      <c r="E69" s="474">
        <f t="shared" si="22"/>
        <v>96</v>
      </c>
      <c r="F69" s="474">
        <f t="shared" si="22"/>
        <v>94</v>
      </c>
      <c r="G69" s="474">
        <f t="shared" si="22"/>
        <v>92</v>
      </c>
      <c r="H69" s="474">
        <f t="shared" si="22"/>
        <v>90</v>
      </c>
      <c r="I69" s="474">
        <f t="shared" si="22"/>
        <v>88</v>
      </c>
      <c r="J69" s="474">
        <f t="shared" si="22"/>
        <v>86</v>
      </c>
      <c r="K69" s="474">
        <f t="shared" si="22"/>
        <v>84</v>
      </c>
      <c r="L69" s="474">
        <f t="shared" si="22"/>
        <v>82</v>
      </c>
      <c r="M69" s="475">
        <f t="shared" si="22"/>
        <v>80</v>
      </c>
      <c r="N69" s="874"/>
      <c r="O69" s="874"/>
      <c r="P69" s="1767"/>
      <c r="Q69" s="438"/>
    </row>
    <row r="70" spans="1:17" s="407" customFormat="1" ht="15.75" thickTop="1">
      <c r="A70" s="483"/>
      <c r="B70" s="468">
        <f>B12</f>
        <v>111</v>
      </c>
      <c r="C70" s="484"/>
      <c r="D70" s="484"/>
      <c r="E70" s="484"/>
      <c r="F70" s="484"/>
      <c r="G70" s="484"/>
      <c r="H70" s="485"/>
      <c r="I70" s="485"/>
      <c r="J70" s="485"/>
      <c r="K70" s="485"/>
      <c r="L70" s="486"/>
      <c r="M70" s="487"/>
      <c r="N70" s="875"/>
      <c r="O70" s="875"/>
      <c r="P70" s="1768"/>
      <c r="Q70" s="489"/>
    </row>
    <row r="71" spans="1:17" s="407" customFormat="1" ht="15.75" thickBot="1">
      <c r="A71" s="483"/>
      <c r="B71" s="473"/>
      <c r="C71" s="490"/>
      <c r="D71" s="466"/>
      <c r="E71" s="466"/>
      <c r="F71" s="466"/>
      <c r="G71" s="466"/>
      <c r="H71" s="466"/>
      <c r="I71" s="466"/>
      <c r="J71" s="466"/>
      <c r="K71" s="466"/>
      <c r="L71" s="466"/>
      <c r="M71" s="467"/>
      <c r="N71" s="874"/>
      <c r="O71" s="874"/>
      <c r="P71" s="1768"/>
      <c r="Q71" s="489"/>
    </row>
    <row r="72" spans="1:17" s="407" customFormat="1" ht="15.75" thickTop="1">
      <c r="A72" s="483"/>
      <c r="B72" s="468">
        <f>B13</f>
        <v>111</v>
      </c>
      <c r="C72" s="484"/>
      <c r="D72" s="484"/>
      <c r="E72" s="484"/>
      <c r="F72" s="484"/>
      <c r="G72" s="484"/>
      <c r="H72" s="485"/>
      <c r="I72" s="485"/>
      <c r="J72" s="485"/>
      <c r="K72" s="485"/>
      <c r="L72" s="486"/>
      <c r="M72" s="487"/>
      <c r="N72" s="875"/>
      <c r="O72" s="875"/>
      <c r="P72" s="1769"/>
      <c r="Q72" s="491"/>
    </row>
    <row r="73" spans="1:17" s="407" customFormat="1" ht="15.75" thickBot="1">
      <c r="A73" s="483"/>
      <c r="B73" s="473"/>
      <c r="C73" s="490"/>
      <c r="D73" s="490"/>
      <c r="E73" s="490"/>
      <c r="F73" s="490"/>
      <c r="G73" s="490"/>
      <c r="H73" s="492"/>
      <c r="I73" s="492"/>
      <c r="J73" s="492"/>
      <c r="K73" s="492"/>
      <c r="L73" s="492"/>
      <c r="M73" s="493"/>
      <c r="N73" s="875"/>
      <c r="O73" s="875"/>
      <c r="P73" s="1768"/>
      <c r="Q73" s="489"/>
    </row>
    <row r="74" spans="1:17" s="407" customFormat="1" ht="15.75" thickTop="1">
      <c r="A74" s="483"/>
      <c r="B74" s="476">
        <f>B14</f>
        <v>111</v>
      </c>
      <c r="C74" s="484"/>
      <c r="D74" s="484"/>
      <c r="E74" s="484"/>
      <c r="F74" s="484"/>
      <c r="G74" s="31"/>
      <c r="H74" s="494"/>
      <c r="I74" s="494"/>
      <c r="J74" s="494"/>
      <c r="K74" s="494"/>
      <c r="L74" s="495"/>
      <c r="M74" s="496"/>
      <c r="N74" s="875"/>
      <c r="O74" s="875"/>
      <c r="P74" s="1770"/>
      <c r="Q74" s="489"/>
    </row>
    <row r="75" spans="1:17" s="407" customFormat="1" ht="15.75" thickBot="1">
      <c r="A75" s="498"/>
      <c r="B75" s="499"/>
      <c r="C75" s="500"/>
      <c r="D75" s="500"/>
      <c r="E75" s="500"/>
      <c r="F75" s="500"/>
      <c r="G75" s="500"/>
      <c r="H75" s="501"/>
      <c r="I75" s="501"/>
      <c r="J75" s="501"/>
      <c r="K75" s="501"/>
      <c r="L75" s="501"/>
      <c r="M75" s="502"/>
      <c r="N75" s="875"/>
      <c r="O75" s="875"/>
      <c r="P75" s="1768"/>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3"/>
      <c r="O76" s="873"/>
      <c r="P76" s="1771"/>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4"/>
      <c r="O77" s="874"/>
      <c r="P77" s="1767"/>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3"/>
      <c r="O78" s="873"/>
      <c r="P78" s="1767"/>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4"/>
      <c r="O79" s="874"/>
      <c r="P79" s="1767"/>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3"/>
      <c r="O80" s="873"/>
      <c r="P80" s="1767"/>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4"/>
      <c r="O81" s="874"/>
      <c r="P81" s="1767"/>
      <c r="Q81" s="438"/>
    </row>
    <row r="82" spans="1:17" ht="15.75" thickTop="1">
      <c r="A82" s="366"/>
      <c r="B82" s="476" t="s">
        <v>1260</v>
      </c>
      <c r="C82" s="469" t="s">
        <v>1728</v>
      </c>
      <c r="D82" s="469" t="s">
        <v>1729</v>
      </c>
      <c r="E82" s="469" t="s">
        <v>1730</v>
      </c>
      <c r="F82" s="469" t="s">
        <v>1731</v>
      </c>
      <c r="G82" s="469" t="s">
        <v>1732</v>
      </c>
      <c r="H82" s="469"/>
      <c r="I82" s="469"/>
      <c r="J82" s="469"/>
      <c r="K82" s="469"/>
      <c r="L82" s="469"/>
      <c r="M82" s="1057"/>
      <c r="N82" s="874"/>
      <c r="O82" s="874"/>
      <c r="P82" s="1767"/>
      <c r="Q82" s="438"/>
    </row>
    <row r="83" spans="1:17" ht="15.75"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4"/>
      <c r="O83" s="874"/>
      <c r="P83" s="1767"/>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3"/>
      <c r="O84" s="873"/>
      <c r="P84" s="1767"/>
      <c r="Q84" s="438"/>
    </row>
    <row r="85" spans="1:17" ht="15.75" thickBot="1">
      <c r="A85" s="366"/>
      <c r="B85" s="473"/>
      <c r="C85" s="474">
        <v>100</v>
      </c>
      <c r="D85" s="474">
        <f>C85-$K23</f>
        <v>98</v>
      </c>
      <c r="E85" s="474">
        <f>D85-$K23</f>
        <v>96</v>
      </c>
      <c r="F85" s="474">
        <f>E85-$K23</f>
        <v>94</v>
      </c>
      <c r="G85" s="474">
        <f>F85-$K23</f>
        <v>92</v>
      </c>
      <c r="H85" s="474"/>
      <c r="I85" s="474"/>
      <c r="J85" s="474"/>
      <c r="K85" s="474"/>
      <c r="L85" s="474"/>
      <c r="M85" s="475"/>
      <c r="N85" s="874"/>
      <c r="O85" s="874"/>
      <c r="P85" s="1767"/>
      <c r="Q85" s="438"/>
    </row>
    <row r="86" spans="1:17" s="102" customFormat="1" ht="15.75" thickTop="1">
      <c r="A86" s="369"/>
      <c r="B86" s="468" t="s">
        <v>1734</v>
      </c>
      <c r="C86" s="484"/>
      <c r="D86" s="484"/>
      <c r="E86" s="484"/>
      <c r="F86" s="484"/>
      <c r="G86" s="484"/>
      <c r="H86" s="484"/>
      <c r="I86" s="484"/>
      <c r="J86" s="484"/>
      <c r="K86" s="484"/>
      <c r="L86" s="509"/>
      <c r="M86" s="510"/>
      <c r="N86" s="872"/>
      <c r="O86" s="872"/>
      <c r="P86" s="1767"/>
      <c r="Q86" s="438"/>
    </row>
    <row r="87" spans="1:17" s="102" customFormat="1" ht="15.75"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4"/>
      <c r="O87" s="874"/>
      <c r="P87" s="1767"/>
      <c r="Q87" s="438"/>
    </row>
    <row r="88" spans="1:17" s="102" customFormat="1" ht="15.75" thickTop="1">
      <c r="A88" s="369"/>
      <c r="B88" s="468" t="s">
        <v>1735</v>
      </c>
      <c r="C88" s="484"/>
      <c r="D88" s="484"/>
      <c r="E88" s="484"/>
      <c r="F88" s="1772"/>
      <c r="G88" s="484"/>
      <c r="H88" s="484"/>
      <c r="I88" s="484"/>
      <c r="J88" s="484"/>
      <c r="K88" s="484"/>
      <c r="L88" s="484"/>
      <c r="M88" s="510"/>
      <c r="N88" s="872"/>
      <c r="O88" s="872"/>
      <c r="P88" s="1767"/>
      <c r="Q88" s="438"/>
    </row>
    <row r="89" spans="1:17" s="102" customFormat="1" ht="15.75" thickBot="1">
      <c r="A89" s="369"/>
      <c r="B89" s="473"/>
      <c r="C89" s="511">
        <v>100</v>
      </c>
      <c r="D89" s="474">
        <f t="shared" ref="D89:M89" si="25">C89-$K26</f>
        <v>100</v>
      </c>
      <c r="E89" s="474">
        <f t="shared" si="25"/>
        <v>100</v>
      </c>
      <c r="F89" s="474">
        <f t="shared" si="25"/>
        <v>100</v>
      </c>
      <c r="G89" s="474">
        <f t="shared" si="25"/>
        <v>100</v>
      </c>
      <c r="H89" s="474">
        <f t="shared" si="25"/>
        <v>100</v>
      </c>
      <c r="I89" s="474">
        <f t="shared" si="25"/>
        <v>100</v>
      </c>
      <c r="J89" s="474">
        <f t="shared" si="25"/>
        <v>100</v>
      </c>
      <c r="K89" s="474">
        <f t="shared" si="25"/>
        <v>100</v>
      </c>
      <c r="L89" s="474">
        <f t="shared" si="25"/>
        <v>100</v>
      </c>
      <c r="M89" s="474">
        <f t="shared" si="25"/>
        <v>100</v>
      </c>
      <c r="N89" s="874"/>
      <c r="O89" s="874"/>
      <c r="P89" s="1767"/>
      <c r="Q89" s="438"/>
    </row>
    <row r="90" spans="1:17" s="407" customFormat="1" ht="15.75" thickTop="1">
      <c r="A90" s="483"/>
      <c r="B90" s="468">
        <f>B27</f>
        <v>111</v>
      </c>
      <c r="C90" s="3152" t="s">
        <v>3990</v>
      </c>
      <c r="D90" s="3152" t="s">
        <v>3991</v>
      </c>
      <c r="E90" s="3152" t="s">
        <v>3992</v>
      </c>
      <c r="F90" s="3152" t="s">
        <v>3437</v>
      </c>
      <c r="G90" s="3152" t="s">
        <v>3993</v>
      </c>
      <c r="H90" s="485"/>
      <c r="I90" s="485"/>
      <c r="J90" s="485"/>
      <c r="K90" s="485"/>
      <c r="L90" s="486"/>
      <c r="M90" s="487"/>
      <c r="N90" s="875"/>
      <c r="O90" s="875"/>
      <c r="P90" s="1768"/>
      <c r="Q90" s="489"/>
    </row>
    <row r="91" spans="1:17" s="407" customFormat="1" ht="15.75" thickBot="1">
      <c r="A91" s="483"/>
      <c r="B91" s="473"/>
      <c r="C91" s="490">
        <v>100</v>
      </c>
      <c r="D91" s="490">
        <f>C91-1</f>
        <v>99</v>
      </c>
      <c r="E91" s="490">
        <f t="shared" ref="E91:G91" si="26">D91-1</f>
        <v>98</v>
      </c>
      <c r="F91" s="490">
        <f t="shared" si="26"/>
        <v>97</v>
      </c>
      <c r="G91" s="490">
        <f t="shared" si="26"/>
        <v>96</v>
      </c>
      <c r="H91" s="492"/>
      <c r="I91" s="492"/>
      <c r="J91" s="492"/>
      <c r="K91" s="492"/>
      <c r="L91" s="492"/>
      <c r="M91" s="493"/>
      <c r="N91" s="875"/>
      <c r="O91" s="875"/>
      <c r="P91" s="1768"/>
      <c r="Q91" s="489"/>
    </row>
    <row r="92" spans="1:17" ht="15.75" thickTop="1">
      <c r="A92" s="366"/>
      <c r="B92" s="468">
        <f>B28</f>
        <v>111</v>
      </c>
      <c r="C92" s="484"/>
      <c r="D92" s="484"/>
      <c r="E92" s="484"/>
      <c r="F92" s="484"/>
      <c r="G92" s="512"/>
      <c r="H92" s="512"/>
      <c r="I92" s="512"/>
      <c r="J92" s="512"/>
      <c r="K92" s="513"/>
      <c r="L92" s="514"/>
      <c r="M92" s="515"/>
      <c r="N92" s="873"/>
      <c r="O92" s="873"/>
      <c r="P92" s="1767"/>
      <c r="Q92" s="438"/>
    </row>
    <row r="93" spans="1:17" ht="15.75" thickBot="1">
      <c r="A93" s="366"/>
      <c r="B93" s="473"/>
      <c r="C93" s="490"/>
      <c r="D93" s="466"/>
      <c r="E93" s="466"/>
      <c r="F93" s="466"/>
      <c r="G93" s="466"/>
      <c r="H93" s="466"/>
      <c r="I93" s="466"/>
      <c r="J93" s="466"/>
      <c r="K93" s="466"/>
      <c r="L93" s="466"/>
      <c r="M93" s="467"/>
      <c r="N93" s="874"/>
      <c r="O93" s="874"/>
      <c r="P93" s="1767"/>
      <c r="Q93" s="438"/>
    </row>
    <row r="94" spans="1:17" ht="15.75" thickTop="1">
      <c r="A94" s="366"/>
      <c r="B94" s="468">
        <f>B29</f>
        <v>111</v>
      </c>
      <c r="C94" s="484"/>
      <c r="D94" s="484"/>
      <c r="E94" s="484"/>
      <c r="F94" s="484"/>
      <c r="G94" s="512"/>
      <c r="H94" s="512"/>
      <c r="I94" s="512"/>
      <c r="J94" s="512"/>
      <c r="K94" s="513"/>
      <c r="L94" s="514"/>
      <c r="M94" s="515"/>
      <c r="N94" s="873"/>
      <c r="O94" s="873"/>
      <c r="P94" s="1767"/>
      <c r="Q94" s="438"/>
    </row>
    <row r="95" spans="1:17" ht="15.75" thickBot="1">
      <c r="A95" s="366"/>
      <c r="B95" s="473"/>
      <c r="C95" s="490"/>
      <c r="D95" s="490"/>
      <c r="E95" s="490"/>
      <c r="F95" s="490"/>
      <c r="G95" s="466"/>
      <c r="H95" s="466"/>
      <c r="I95" s="466"/>
      <c r="J95" s="466"/>
      <c r="K95" s="466"/>
      <c r="L95" s="466"/>
      <c r="M95" s="467"/>
      <c r="N95" s="874"/>
      <c r="O95" s="874"/>
      <c r="P95" s="1767"/>
      <c r="Q95" s="438"/>
    </row>
    <row r="96" spans="1:17" ht="15.75" thickTop="1">
      <c r="A96" s="366"/>
      <c r="B96" s="468">
        <f>B30</f>
        <v>111</v>
      </c>
      <c r="C96" s="484"/>
      <c r="D96" s="484"/>
      <c r="E96" s="484"/>
      <c r="F96" s="484"/>
      <c r="G96" s="512"/>
      <c r="H96" s="512"/>
      <c r="I96" s="512"/>
      <c r="J96" s="512"/>
      <c r="K96" s="513"/>
      <c r="L96" s="514"/>
      <c r="M96" s="515"/>
      <c r="N96" s="873"/>
      <c r="O96" s="873"/>
      <c r="P96" s="1767"/>
      <c r="Q96" s="438"/>
    </row>
    <row r="97" spans="1:17" ht="15.75" thickBot="1">
      <c r="A97" s="366"/>
      <c r="B97" s="473"/>
      <c r="C97" s="500"/>
      <c r="D97" s="500"/>
      <c r="E97" s="500"/>
      <c r="F97" s="500"/>
      <c r="G97" s="466"/>
      <c r="H97" s="466"/>
      <c r="I97" s="466"/>
      <c r="J97" s="466"/>
      <c r="K97" s="466"/>
      <c r="L97" s="466"/>
      <c r="M97" s="467"/>
      <c r="N97" s="874"/>
      <c r="O97" s="874"/>
      <c r="P97" s="1767"/>
      <c r="Q97" s="438"/>
    </row>
    <row r="98" spans="1:17" ht="15.75" thickTop="1">
      <c r="A98" s="366"/>
      <c r="B98" s="476">
        <f>B31</f>
        <v>111</v>
      </c>
      <c r="C98" s="516"/>
      <c r="D98" s="516"/>
      <c r="E98" s="516"/>
      <c r="F98" s="516"/>
      <c r="G98" s="516"/>
      <c r="H98" s="516"/>
      <c r="I98" s="516"/>
      <c r="J98" s="516"/>
      <c r="K98" s="517"/>
      <c r="L98" s="518"/>
      <c r="M98" s="519"/>
      <c r="N98" s="873"/>
      <c r="O98" s="873"/>
      <c r="P98" s="1767"/>
      <c r="Q98" s="438"/>
    </row>
    <row r="99" spans="1:17" ht="15.75" thickBot="1">
      <c r="A99" s="374"/>
      <c r="B99" s="499"/>
      <c r="C99" s="520"/>
      <c r="D99" s="520"/>
      <c r="E99" s="520"/>
      <c r="F99" s="520"/>
      <c r="G99" s="520"/>
      <c r="H99" s="520"/>
      <c r="I99" s="520"/>
      <c r="J99" s="520"/>
      <c r="K99" s="520"/>
      <c r="L99" s="520"/>
      <c r="M99" s="521"/>
      <c r="N99" s="874"/>
      <c r="O99" s="874"/>
      <c r="P99" s="1767"/>
      <c r="Q99" s="438"/>
    </row>
    <row r="100" spans="1:17">
      <c r="A100" s="378" t="s">
        <v>1694</v>
      </c>
      <c r="B100" s="459" t="s">
        <v>1736</v>
      </c>
      <c r="C100" s="3151" t="s">
        <v>4038</v>
      </c>
      <c r="D100" s="3151" t="s">
        <v>4039</v>
      </c>
      <c r="E100" s="3151" t="s">
        <v>4040</v>
      </c>
      <c r="F100" s="461"/>
      <c r="G100" s="461"/>
      <c r="H100" s="461"/>
      <c r="I100" s="461"/>
      <c r="J100" s="461"/>
      <c r="K100" s="462"/>
      <c r="L100" s="463"/>
      <c r="M100" s="464"/>
      <c r="N100" s="873"/>
      <c r="O100" s="873"/>
      <c r="P100" s="1767"/>
      <c r="Q100" s="438"/>
    </row>
    <row r="101" spans="1:17" ht="15.75" thickBot="1">
      <c r="A101" s="366"/>
      <c r="B101" s="473"/>
      <c r="C101" s="474">
        <v>100</v>
      </c>
      <c r="D101" s="474">
        <f t="shared" ref="D101:M101" si="27">C101-$K32</f>
        <v>97</v>
      </c>
      <c r="E101" s="474">
        <f t="shared" si="27"/>
        <v>94</v>
      </c>
      <c r="F101" s="474">
        <f t="shared" si="27"/>
        <v>91</v>
      </c>
      <c r="G101" s="474">
        <f t="shared" si="27"/>
        <v>88</v>
      </c>
      <c r="H101" s="474">
        <f t="shared" si="27"/>
        <v>85</v>
      </c>
      <c r="I101" s="474">
        <f t="shared" si="27"/>
        <v>82</v>
      </c>
      <c r="J101" s="474">
        <f t="shared" si="27"/>
        <v>79</v>
      </c>
      <c r="K101" s="474">
        <f t="shared" si="27"/>
        <v>76</v>
      </c>
      <c r="L101" s="474">
        <f t="shared" si="27"/>
        <v>73</v>
      </c>
      <c r="M101" s="474">
        <f t="shared" si="27"/>
        <v>70</v>
      </c>
      <c r="N101" s="874"/>
      <c r="O101" s="874"/>
      <c r="P101" s="1767"/>
      <c r="Q101" s="438"/>
    </row>
    <row r="102" spans="1:17" ht="15.75" thickTop="1">
      <c r="A102" s="366"/>
      <c r="B102" s="468" t="s">
        <v>1737</v>
      </c>
      <c r="C102" s="508" t="str">
        <f>C103&amp;"(含)"&amp;"-"&amp;D103</f>
        <v>0(含)-100</v>
      </c>
      <c r="D102" s="508" t="str">
        <f t="shared" ref="D102:L102" si="28">D103&amp;"(含)"&amp;"-"&amp;E103</f>
        <v>100(含)-</v>
      </c>
      <c r="E102" s="508" t="str">
        <f t="shared" si="28"/>
        <v>(含)-</v>
      </c>
      <c r="F102" s="508" t="str">
        <f t="shared" si="28"/>
        <v>(含)-</v>
      </c>
      <c r="G102" s="508" t="str">
        <f t="shared" si="28"/>
        <v>(含)-</v>
      </c>
      <c r="H102" s="508" t="str">
        <f t="shared" si="28"/>
        <v>(含)-</v>
      </c>
      <c r="I102" s="508" t="str">
        <f t="shared" si="28"/>
        <v>(含)-</v>
      </c>
      <c r="J102" s="508" t="str">
        <f t="shared" si="28"/>
        <v>(含)-</v>
      </c>
      <c r="K102" s="508" t="str">
        <f>K103&amp;"(含)"&amp;"-"&amp;L103</f>
        <v>(含)-</v>
      </c>
      <c r="L102" s="508" t="str">
        <f t="shared" si="28"/>
        <v>(含)-</v>
      </c>
      <c r="M102" s="508" t="str">
        <f>M103&amp;"(含)"&amp;"-"&amp;P103</f>
        <v>(含)-</v>
      </c>
      <c r="N102" s="872"/>
      <c r="O102" s="872"/>
      <c r="P102" s="1767"/>
      <c r="Q102" s="438"/>
    </row>
    <row r="103" spans="1:17" s="407" customFormat="1">
      <c r="A103" s="405"/>
      <c r="B103" s="522"/>
      <c r="C103" s="6">
        <v>0</v>
      </c>
      <c r="D103" s="6">
        <v>100</v>
      </c>
      <c r="E103" s="6"/>
      <c r="F103" s="6"/>
      <c r="G103" s="6"/>
      <c r="H103" s="6"/>
      <c r="I103" s="6"/>
      <c r="J103" s="523"/>
      <c r="K103" s="523"/>
      <c r="L103" s="524"/>
      <c r="M103" s="525"/>
      <c r="N103" s="875"/>
      <c r="O103" s="875"/>
      <c r="P103" s="1768"/>
      <c r="Q103" s="489"/>
    </row>
    <row r="104" spans="1:17" s="407" customFormat="1" ht="15.75" thickBot="1">
      <c r="A104" s="483"/>
      <c r="B104" s="473"/>
      <c r="C104" s="490"/>
      <c r="D104" s="466"/>
      <c r="E104" s="466"/>
      <c r="F104" s="466"/>
      <c r="G104" s="466"/>
      <c r="H104" s="466"/>
      <c r="I104" s="466"/>
      <c r="J104" s="466"/>
      <c r="K104" s="466"/>
      <c r="L104" s="466"/>
      <c r="M104" s="466"/>
      <c r="N104" s="874"/>
      <c r="O104" s="874"/>
      <c r="P104" s="1768"/>
      <c r="Q104" s="489"/>
    </row>
    <row r="105" spans="1:17" ht="15" thickTop="1">
      <c r="A105" s="408"/>
      <c r="B105" s="468" t="s">
        <v>1738</v>
      </c>
      <c r="C105" s="3152" t="s">
        <v>4041</v>
      </c>
      <c r="D105" s="484"/>
      <c r="E105" s="512"/>
      <c r="F105" s="512"/>
      <c r="G105" s="512"/>
      <c r="H105" s="512"/>
      <c r="I105" s="512"/>
      <c r="J105" s="512"/>
      <c r="K105" s="513"/>
      <c r="L105" s="514"/>
      <c r="M105" s="515"/>
      <c r="N105" s="873"/>
      <c r="O105" s="873"/>
      <c r="P105" s="1767"/>
      <c r="Q105" s="438"/>
    </row>
    <row r="106" spans="1:17" ht="15.75" thickBot="1">
      <c r="A106" s="366"/>
      <c r="B106" s="473"/>
      <c r="C106" s="474">
        <v>100</v>
      </c>
      <c r="D106" s="474">
        <f t="shared" ref="D106:M106" si="29">C106-$K34</f>
        <v>98</v>
      </c>
      <c r="E106" s="474">
        <f t="shared" si="29"/>
        <v>96</v>
      </c>
      <c r="F106" s="474">
        <f t="shared" si="29"/>
        <v>94</v>
      </c>
      <c r="G106" s="474">
        <f t="shared" si="29"/>
        <v>92</v>
      </c>
      <c r="H106" s="474">
        <f t="shared" si="29"/>
        <v>90</v>
      </c>
      <c r="I106" s="474">
        <f t="shared" si="29"/>
        <v>88</v>
      </c>
      <c r="J106" s="474">
        <f t="shared" si="29"/>
        <v>86</v>
      </c>
      <c r="K106" s="474">
        <f t="shared" si="29"/>
        <v>84</v>
      </c>
      <c r="L106" s="474">
        <f t="shared" si="29"/>
        <v>82</v>
      </c>
      <c r="M106" s="474">
        <f t="shared" si="29"/>
        <v>80</v>
      </c>
      <c r="N106" s="874"/>
      <c r="O106" s="874"/>
      <c r="P106" s="1767"/>
      <c r="Q106" s="438"/>
    </row>
    <row r="107" spans="1:17" ht="15" thickTop="1">
      <c r="A107" s="408"/>
      <c r="B107" s="468" t="s">
        <v>1739</v>
      </c>
      <c r="C107" s="3156" t="s">
        <v>4042</v>
      </c>
      <c r="D107" s="3156" t="s">
        <v>4043</v>
      </c>
      <c r="E107" s="512"/>
      <c r="F107" s="512"/>
      <c r="G107" s="512"/>
      <c r="H107" s="512"/>
      <c r="I107" s="512"/>
      <c r="J107" s="512"/>
      <c r="K107" s="513"/>
      <c r="L107" s="514"/>
      <c r="M107" s="515"/>
      <c r="N107" s="873"/>
      <c r="O107" s="873"/>
      <c r="P107" s="1767"/>
      <c r="Q107" s="438"/>
    </row>
    <row r="108" spans="1:17" ht="15.75" thickBot="1">
      <c r="A108" s="366"/>
      <c r="B108" s="473"/>
      <c r="C108" s="474">
        <v>100</v>
      </c>
      <c r="D108" s="474">
        <f t="shared" ref="D108:M108" si="30">C108-$K35</f>
        <v>98</v>
      </c>
      <c r="E108" s="474">
        <f t="shared" si="30"/>
        <v>96</v>
      </c>
      <c r="F108" s="474">
        <f t="shared" si="30"/>
        <v>94</v>
      </c>
      <c r="G108" s="474">
        <f t="shared" si="30"/>
        <v>92</v>
      </c>
      <c r="H108" s="474">
        <f t="shared" si="30"/>
        <v>90</v>
      </c>
      <c r="I108" s="474">
        <f t="shared" si="30"/>
        <v>88</v>
      </c>
      <c r="J108" s="474">
        <f t="shared" si="30"/>
        <v>86</v>
      </c>
      <c r="K108" s="474">
        <f t="shared" si="30"/>
        <v>84</v>
      </c>
      <c r="L108" s="474">
        <f t="shared" si="30"/>
        <v>82</v>
      </c>
      <c r="M108" s="474">
        <f t="shared" si="30"/>
        <v>80</v>
      </c>
      <c r="N108" s="874"/>
      <c r="O108" s="874"/>
      <c r="P108" s="1767"/>
      <c r="Q108" s="438"/>
    </row>
    <row r="109" spans="1:17" ht="15" thickTop="1">
      <c r="A109" s="408"/>
      <c r="B109" s="468" t="s">
        <v>1740</v>
      </c>
      <c r="C109" s="3152" t="s">
        <v>4044</v>
      </c>
      <c r="D109" s="3152" t="s">
        <v>4045</v>
      </c>
      <c r="E109" s="3152" t="s">
        <v>4046</v>
      </c>
      <c r="F109" s="3156" t="s">
        <v>4047</v>
      </c>
      <c r="G109" s="512"/>
      <c r="H109" s="512"/>
      <c r="I109" s="512"/>
      <c r="J109" s="512"/>
      <c r="K109" s="513"/>
      <c r="L109" s="514"/>
      <c r="M109" s="515"/>
      <c r="N109" s="873"/>
      <c r="O109" s="873"/>
      <c r="P109" s="1767"/>
      <c r="Q109" s="438"/>
    </row>
    <row r="110" spans="1:17" ht="15.75" thickBot="1">
      <c r="A110" s="366"/>
      <c r="B110" s="473"/>
      <c r="C110" s="474">
        <v>100</v>
      </c>
      <c r="D110" s="474">
        <f t="shared" ref="D110:M110" si="31">C110-$K36</f>
        <v>98</v>
      </c>
      <c r="E110" s="474">
        <f t="shared" si="31"/>
        <v>96</v>
      </c>
      <c r="F110" s="474">
        <f t="shared" si="31"/>
        <v>94</v>
      </c>
      <c r="G110" s="474">
        <f t="shared" si="31"/>
        <v>92</v>
      </c>
      <c r="H110" s="474">
        <f t="shared" si="31"/>
        <v>90</v>
      </c>
      <c r="I110" s="474">
        <f t="shared" si="31"/>
        <v>88</v>
      </c>
      <c r="J110" s="474">
        <f t="shared" si="31"/>
        <v>86</v>
      </c>
      <c r="K110" s="474">
        <f t="shared" si="31"/>
        <v>84</v>
      </c>
      <c r="L110" s="474">
        <f t="shared" si="31"/>
        <v>82</v>
      </c>
      <c r="M110" s="474">
        <f t="shared" si="31"/>
        <v>80</v>
      </c>
      <c r="N110" s="874"/>
      <c r="O110" s="874"/>
      <c r="P110" s="1767"/>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5"/>
      <c r="O111" s="875"/>
      <c r="P111" s="1768"/>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5"/>
      <c r="O112" s="875"/>
      <c r="P112" s="1768"/>
      <c r="Q112" s="489"/>
    </row>
    <row r="113" spans="1:17" s="407" customFormat="1" ht="15.7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5"/>
      <c r="O113" s="875"/>
      <c r="P113" s="1768"/>
      <c r="Q113" s="489"/>
    </row>
    <row r="114" spans="1:17" ht="15" thickTop="1">
      <c r="A114" s="408"/>
      <c r="B114" s="468" t="s">
        <v>1741</v>
      </c>
      <c r="C114" s="3152" t="s">
        <v>4048</v>
      </c>
      <c r="D114" s="3152" t="s">
        <v>4049</v>
      </c>
      <c r="E114" s="512"/>
      <c r="F114" s="512"/>
      <c r="G114" s="512"/>
      <c r="H114" s="512"/>
      <c r="I114" s="512"/>
      <c r="J114" s="512"/>
      <c r="K114" s="513"/>
      <c r="L114" s="514"/>
      <c r="M114" s="515"/>
      <c r="N114" s="873"/>
      <c r="O114" s="873"/>
      <c r="P114" s="1767"/>
      <c r="Q114" s="438"/>
    </row>
    <row r="115" spans="1:17" ht="15.75" thickBot="1">
      <c r="A115" s="366"/>
      <c r="B115" s="473"/>
      <c r="C115" s="474">
        <v>100</v>
      </c>
      <c r="D115" s="474">
        <f t="shared" ref="D115:M115" si="32">C115-$K38</f>
        <v>98</v>
      </c>
      <c r="E115" s="474">
        <f t="shared" si="32"/>
        <v>96</v>
      </c>
      <c r="F115" s="474">
        <f t="shared" si="32"/>
        <v>94</v>
      </c>
      <c r="G115" s="474">
        <f t="shared" si="32"/>
        <v>92</v>
      </c>
      <c r="H115" s="474">
        <f t="shared" si="32"/>
        <v>90</v>
      </c>
      <c r="I115" s="474">
        <f t="shared" si="32"/>
        <v>88</v>
      </c>
      <c r="J115" s="474">
        <f t="shared" si="32"/>
        <v>86</v>
      </c>
      <c r="K115" s="474">
        <f t="shared" si="32"/>
        <v>84</v>
      </c>
      <c r="L115" s="474">
        <f t="shared" si="32"/>
        <v>82</v>
      </c>
      <c r="M115" s="474">
        <f t="shared" si="32"/>
        <v>80</v>
      </c>
      <c r="N115" s="874"/>
      <c r="O115" s="874"/>
      <c r="P115" s="1767"/>
      <c r="Q115" s="438"/>
    </row>
    <row r="116" spans="1:17" ht="15" thickTop="1">
      <c r="A116" s="408"/>
      <c r="B116" s="468" t="s">
        <v>1742</v>
      </c>
      <c r="C116" s="484" t="str">
        <f>C82</f>
        <v>七通</v>
      </c>
      <c r="D116" s="484" t="str">
        <f>D82</f>
        <v>六通</v>
      </c>
      <c r="E116" s="484" t="str">
        <f>E82</f>
        <v>五通</v>
      </c>
      <c r="F116" s="484" t="str">
        <f>F82</f>
        <v>四通</v>
      </c>
      <c r="G116" s="484" t="str">
        <f>G82</f>
        <v>三通</v>
      </c>
      <c r="H116" s="512"/>
      <c r="I116" s="512"/>
      <c r="J116" s="512"/>
      <c r="K116" s="513"/>
      <c r="L116" s="514"/>
      <c r="M116" s="515"/>
      <c r="N116" s="873"/>
      <c r="O116" s="873"/>
      <c r="P116" s="1767"/>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4"/>
      <c r="O117" s="874"/>
      <c r="P117" s="1767"/>
      <c r="Q117" s="438"/>
    </row>
    <row r="118" spans="1:17" ht="15" thickTop="1">
      <c r="A118" s="408"/>
      <c r="B118" s="468" t="s">
        <v>1743</v>
      </c>
      <c r="C118" s="512"/>
      <c r="D118" s="512"/>
      <c r="E118" s="512"/>
      <c r="F118" s="512"/>
      <c r="G118" s="512"/>
      <c r="H118" s="512"/>
      <c r="I118" s="512"/>
      <c r="J118" s="512"/>
      <c r="K118" s="513"/>
      <c r="L118" s="514"/>
      <c r="M118" s="515"/>
      <c r="N118" s="873"/>
      <c r="O118" s="873"/>
      <c r="P118" s="1767"/>
      <c r="Q118" s="438"/>
    </row>
    <row r="119" spans="1:17" ht="15.75" thickBot="1">
      <c r="A119" s="366"/>
      <c r="B119" s="473"/>
      <c r="C119" s="474">
        <v>100</v>
      </c>
      <c r="D119" s="474">
        <f t="shared" ref="D119:M119" si="33">C119-$K40</f>
        <v>100</v>
      </c>
      <c r="E119" s="474">
        <f t="shared" si="33"/>
        <v>100</v>
      </c>
      <c r="F119" s="474">
        <f t="shared" si="33"/>
        <v>100</v>
      </c>
      <c r="G119" s="474">
        <f t="shared" si="33"/>
        <v>100</v>
      </c>
      <c r="H119" s="474">
        <f t="shared" si="33"/>
        <v>100</v>
      </c>
      <c r="I119" s="474">
        <f t="shared" si="33"/>
        <v>100</v>
      </c>
      <c r="J119" s="474">
        <f t="shared" si="33"/>
        <v>100</v>
      </c>
      <c r="K119" s="474">
        <f t="shared" si="33"/>
        <v>100</v>
      </c>
      <c r="L119" s="474">
        <f t="shared" si="33"/>
        <v>100</v>
      </c>
      <c r="M119" s="474">
        <f t="shared" si="33"/>
        <v>100</v>
      </c>
      <c r="N119" s="874"/>
      <c r="O119" s="874"/>
      <c r="P119" s="1767"/>
      <c r="Q119" s="438"/>
    </row>
    <row r="120" spans="1:17" s="407" customFormat="1" ht="28.5" thickTop="1">
      <c r="A120" s="405"/>
      <c r="B120" s="468" t="s">
        <v>1705</v>
      </c>
      <c r="C120" s="484"/>
      <c r="D120" s="484"/>
      <c r="E120" s="484"/>
      <c r="F120" s="484"/>
      <c r="G120" s="484"/>
      <c r="H120" s="484"/>
      <c r="I120" s="484"/>
      <c r="J120" s="484"/>
      <c r="K120" s="484"/>
      <c r="L120" s="509"/>
      <c r="M120" s="510"/>
      <c r="N120" s="875"/>
      <c r="O120" s="875"/>
      <c r="P120" s="1768"/>
      <c r="Q120" s="489"/>
    </row>
    <row r="121" spans="1:17" s="407" customFormat="1" ht="15.75" thickBot="1">
      <c r="A121" s="483"/>
      <c r="B121" s="465"/>
      <c r="C121" s="490"/>
      <c r="D121" s="466"/>
      <c r="E121" s="466"/>
      <c r="F121" s="466"/>
      <c r="G121" s="466"/>
      <c r="H121" s="466"/>
      <c r="I121" s="466"/>
      <c r="J121" s="466"/>
      <c r="K121" s="466"/>
      <c r="L121" s="466"/>
      <c r="M121" s="466"/>
      <c r="N121" s="875"/>
      <c r="O121" s="875"/>
      <c r="P121" s="1768"/>
      <c r="Q121" s="489"/>
    </row>
    <row r="122" spans="1:17" ht="15" thickTop="1">
      <c r="A122" s="408"/>
      <c r="B122" s="468" t="s">
        <v>1744</v>
      </c>
      <c r="C122" s="3152" t="s">
        <v>4044</v>
      </c>
      <c r="D122" s="3152" t="s">
        <v>4045</v>
      </c>
      <c r="E122" s="3152" t="s">
        <v>4046</v>
      </c>
      <c r="F122" s="3156" t="s">
        <v>4047</v>
      </c>
      <c r="G122" s="512"/>
      <c r="H122" s="512"/>
      <c r="I122" s="512"/>
      <c r="J122" s="512"/>
      <c r="K122" s="513"/>
      <c r="L122" s="514"/>
      <c r="M122" s="515"/>
      <c r="N122" s="873"/>
      <c r="O122" s="873"/>
      <c r="P122" s="1767"/>
      <c r="Q122" s="438"/>
    </row>
    <row r="123" spans="1:17" ht="15.75" thickBot="1">
      <c r="A123" s="366"/>
      <c r="B123" s="473"/>
      <c r="C123" s="474">
        <v>100</v>
      </c>
      <c r="D123" s="474">
        <f t="shared" ref="D123:M123" si="34">C123-$K42</f>
        <v>99</v>
      </c>
      <c r="E123" s="474">
        <f t="shared" si="34"/>
        <v>98</v>
      </c>
      <c r="F123" s="474">
        <f t="shared" si="34"/>
        <v>97</v>
      </c>
      <c r="G123" s="474">
        <f t="shared" si="34"/>
        <v>96</v>
      </c>
      <c r="H123" s="474">
        <f t="shared" si="34"/>
        <v>95</v>
      </c>
      <c r="I123" s="474">
        <f t="shared" si="34"/>
        <v>94</v>
      </c>
      <c r="J123" s="474">
        <f t="shared" si="34"/>
        <v>93</v>
      </c>
      <c r="K123" s="474">
        <f t="shared" si="34"/>
        <v>92</v>
      </c>
      <c r="L123" s="474">
        <f t="shared" si="34"/>
        <v>91</v>
      </c>
      <c r="M123" s="474">
        <f t="shared" si="34"/>
        <v>90</v>
      </c>
      <c r="N123" s="874"/>
      <c r="O123" s="874"/>
      <c r="P123" s="1767"/>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3"/>
      <c r="O124" s="873"/>
      <c r="P124" s="1768"/>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4"/>
      <c r="O125" s="874"/>
      <c r="P125" s="1767"/>
      <c r="Q125" s="438"/>
    </row>
    <row r="126" spans="1:17" s="407" customFormat="1" ht="15" thickTop="1">
      <c r="A126" s="405"/>
      <c r="B126" s="468">
        <f>B44</f>
        <v>111</v>
      </c>
      <c r="C126" s="484"/>
      <c r="D126" s="484"/>
      <c r="E126" s="484"/>
      <c r="F126" s="484"/>
      <c r="G126" s="484"/>
      <c r="H126" s="485"/>
      <c r="I126" s="485"/>
      <c r="J126" s="485"/>
      <c r="K126" s="485"/>
      <c r="L126" s="486"/>
      <c r="M126" s="487"/>
      <c r="N126" s="875"/>
      <c r="O126" s="875"/>
      <c r="P126" s="1768"/>
      <c r="Q126" s="489"/>
    </row>
    <row r="127" spans="1:17" s="407" customFormat="1" ht="15.75" thickBot="1">
      <c r="A127" s="483"/>
      <c r="B127" s="473"/>
      <c r="C127" s="490"/>
      <c r="D127" s="466"/>
      <c r="E127" s="466"/>
      <c r="F127" s="466"/>
      <c r="G127" s="490"/>
      <c r="H127" s="492"/>
      <c r="I127" s="492"/>
      <c r="J127" s="492"/>
      <c r="K127" s="492"/>
      <c r="L127" s="492"/>
      <c r="M127" s="493"/>
      <c r="N127" s="875"/>
      <c r="O127" s="875"/>
      <c r="P127" s="1768"/>
      <c r="Q127" s="489"/>
    </row>
    <row r="128" spans="1:17" ht="15" thickTop="1">
      <c r="A128" s="408"/>
      <c r="B128" s="468">
        <f>B45</f>
        <v>111</v>
      </c>
      <c r="C128" s="484"/>
      <c r="D128" s="484"/>
      <c r="E128" s="484"/>
      <c r="F128" s="484"/>
      <c r="G128" s="512"/>
      <c r="H128" s="512"/>
      <c r="I128" s="512"/>
      <c r="J128" s="512"/>
      <c r="K128" s="513"/>
      <c r="L128" s="514"/>
      <c r="M128" s="515"/>
      <c r="N128" s="873"/>
      <c r="O128" s="873"/>
      <c r="P128" s="1767"/>
      <c r="Q128" s="438"/>
    </row>
    <row r="129" spans="1:17" ht="15.75" thickBot="1">
      <c r="A129" s="366"/>
      <c r="B129" s="473"/>
      <c r="C129" s="490"/>
      <c r="D129" s="490"/>
      <c r="E129" s="490"/>
      <c r="F129" s="490"/>
      <c r="G129" s="466"/>
      <c r="H129" s="466"/>
      <c r="I129" s="466"/>
      <c r="J129" s="466"/>
      <c r="K129" s="466"/>
      <c r="L129" s="466"/>
      <c r="M129" s="467"/>
      <c r="N129" s="874"/>
      <c r="O129" s="874"/>
      <c r="P129" s="1767"/>
      <c r="Q129" s="438"/>
    </row>
    <row r="130" spans="1:17" ht="15" thickTop="1">
      <c r="A130" s="408"/>
      <c r="B130" s="476">
        <f>B46</f>
        <v>111</v>
      </c>
      <c r="C130" s="484"/>
      <c r="D130" s="484"/>
      <c r="E130" s="484"/>
      <c r="F130" s="484"/>
      <c r="G130" s="516"/>
      <c r="H130" s="516"/>
      <c r="I130" s="516"/>
      <c r="J130" s="516"/>
      <c r="K130" s="31"/>
      <c r="L130" s="456"/>
      <c r="M130" s="519"/>
      <c r="N130" s="873"/>
      <c r="O130" s="873"/>
      <c r="P130" s="1767"/>
      <c r="Q130" s="438"/>
    </row>
    <row r="131" spans="1:17" ht="15.75" thickBot="1">
      <c r="A131" s="374"/>
      <c r="B131" s="499"/>
      <c r="C131" s="500"/>
      <c r="D131" s="500"/>
      <c r="E131" s="500"/>
      <c r="F131" s="500"/>
      <c r="G131" s="520"/>
      <c r="H131" s="520"/>
      <c r="I131" s="520"/>
      <c r="J131" s="520"/>
      <c r="K131" s="520"/>
      <c r="L131" s="520"/>
      <c r="M131" s="521"/>
      <c r="N131" s="874"/>
      <c r="O131" s="874"/>
      <c r="P131" s="1767"/>
      <c r="Q131" s="438"/>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8" t="s">
        <v>1749</v>
      </c>
      <c r="D138" s="128" t="s">
        <v>1750</v>
      </c>
      <c r="E138" s="1781" t="s">
        <v>1751</v>
      </c>
      <c r="F138" s="1782" t="s">
        <v>1752</v>
      </c>
      <c r="G138" s="128" t="s">
        <v>1750</v>
      </c>
      <c r="H138" s="129" t="s">
        <v>1751</v>
      </c>
      <c r="I138" s="1783"/>
      <c r="J138" s="128" t="s">
        <v>1753</v>
      </c>
      <c r="K138" s="129" t="s">
        <v>1754</v>
      </c>
    </row>
    <row r="139" spans="1:17" ht="15">
      <c r="B139" s="808">
        <v>6</v>
      </c>
      <c r="C139" s="809">
        <v>96</v>
      </c>
      <c r="D139" s="1784" t="s">
        <v>1755</v>
      </c>
      <c r="E139" s="810">
        <v>100</v>
      </c>
      <c r="F139" s="811">
        <v>102.5</v>
      </c>
      <c r="G139" s="1784" t="s">
        <v>1755</v>
      </c>
      <c r="H139" s="812">
        <v>105</v>
      </c>
      <c r="I139" s="1785" t="s">
        <v>1756</v>
      </c>
      <c r="J139" s="809">
        <v>20</v>
      </c>
      <c r="K139" s="813">
        <f>C145/(J139-2)</f>
        <v>4.0555555555555553E-3</v>
      </c>
    </row>
    <row r="140" spans="1:17" ht="15">
      <c r="B140" s="814">
        <v>5</v>
      </c>
      <c r="C140" s="815">
        <v>100</v>
      </c>
      <c r="D140" s="815"/>
      <c r="E140" s="816"/>
      <c r="F140" s="817">
        <v>102</v>
      </c>
      <c r="G140" s="815"/>
      <c r="H140" s="818"/>
      <c r="I140" s="1786" t="s">
        <v>1757</v>
      </c>
      <c r="J140" s="262">
        <f>ROUNDUP((J139-1)/2,0)</f>
        <v>10</v>
      </c>
      <c r="K140" s="819">
        <v>100</v>
      </c>
    </row>
    <row r="141" spans="1:17" ht="15">
      <c r="B141" s="814">
        <v>4</v>
      </c>
      <c r="C141" s="815">
        <v>102</v>
      </c>
      <c r="D141" s="815"/>
      <c r="E141" s="816"/>
      <c r="F141" s="817">
        <v>101.5</v>
      </c>
      <c r="G141" s="815"/>
      <c r="H141" s="818"/>
      <c r="I141" s="1786" t="s">
        <v>1758</v>
      </c>
      <c r="J141" s="262">
        <v>1</v>
      </c>
      <c r="K141" s="820">
        <f>ROUND(100+(J141-J140)*K139*100,1)</f>
        <v>96.4</v>
      </c>
    </row>
    <row r="142" spans="1:17" ht="15">
      <c r="B142" s="814">
        <v>3</v>
      </c>
      <c r="C142" s="815">
        <v>103</v>
      </c>
      <c r="D142" s="815"/>
      <c r="E142" s="816"/>
      <c r="F142" s="817">
        <v>101</v>
      </c>
      <c r="G142" s="815"/>
      <c r="H142" s="818"/>
      <c r="I142" s="1786" t="s">
        <v>1759</v>
      </c>
      <c r="J142" s="262">
        <f>J139</f>
        <v>20</v>
      </c>
      <c r="K142" s="821">
        <v>95</v>
      </c>
    </row>
    <row r="143" spans="1:17" ht="15">
      <c r="B143" s="814">
        <v>2</v>
      </c>
      <c r="C143" s="815">
        <v>100</v>
      </c>
      <c r="D143" s="815"/>
      <c r="E143" s="816"/>
      <c r="F143" s="817">
        <v>100.5</v>
      </c>
      <c r="G143" s="815"/>
      <c r="H143" s="818"/>
      <c r="I143" s="1786" t="s">
        <v>1760</v>
      </c>
      <c r="J143" s="815">
        <v>15</v>
      </c>
      <c r="K143" s="820">
        <f>ROUND(100+(J143-J140)*K139*100,1)</f>
        <v>102</v>
      </c>
    </row>
    <row r="144" spans="1:17" ht="15">
      <c r="B144" s="814">
        <v>1</v>
      </c>
      <c r="C144" s="815">
        <v>98</v>
      </c>
      <c r="D144" s="1787" t="s">
        <v>1761</v>
      </c>
      <c r="E144" s="816">
        <v>102</v>
      </c>
      <c r="F144" s="822">
        <v>100</v>
      </c>
      <c r="G144" s="1787" t="s">
        <v>1761</v>
      </c>
      <c r="H144" s="818">
        <v>105</v>
      </c>
      <c r="I144" s="1786" t="s">
        <v>1760</v>
      </c>
      <c r="J144" s="815">
        <v>18</v>
      </c>
      <c r="K144" s="820">
        <f>ROUND(100+(J144-J140)*K139*100,1)</f>
        <v>103.2</v>
      </c>
    </row>
    <row r="145" spans="2:11" ht="15.75" thickBot="1">
      <c r="B145" s="1788" t="s">
        <v>1762</v>
      </c>
      <c r="C145" s="823">
        <f>ROUND(MAX(C139:C144)/MIN(C139:C144)-1,3)</f>
        <v>7.2999999999999995E-2</v>
      </c>
      <c r="D145" s="824"/>
      <c r="E145" s="824"/>
      <c r="F145" s="1789" t="s">
        <v>1763</v>
      </c>
      <c r="G145" s="1790"/>
      <c r="H145" s="1791"/>
      <c r="I145" s="1792" t="s">
        <v>1760</v>
      </c>
      <c r="J145" s="825">
        <v>8</v>
      </c>
      <c r="K145" s="826">
        <f>ROUND(100+(J145-J140)*K139*100,1)</f>
        <v>99.2</v>
      </c>
    </row>
    <row r="147" spans="2:11">
      <c r="B147" s="1773" t="s">
        <v>1764</v>
      </c>
    </row>
    <row r="148" spans="2:11">
      <c r="B148" s="177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Normal="70" zoomScaleSheetLayoutView="100" workbookViewId="0">
      <selection activeCell="G45" sqref="G45"/>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4055</v>
      </c>
      <c r="D1" s="1265" t="s">
        <v>4056</v>
      </c>
      <c r="E1" s="1266" t="s">
        <v>678</v>
      </c>
      <c r="F1" s="993">
        <f ca="1">J53</f>
        <v>-1.1200000000000001</v>
      </c>
      <c r="G1" s="1280">
        <f>MATCH(C1,'数据-取费表'!A6:A16,0)+5</f>
        <v>7</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f ca="1">C40+J29+L46</f>
        <v>0</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f ca="1">C6+C10+C12</f>
        <v>0</v>
      </c>
      <c r="D5" s="1267" t="s">
        <v>693</v>
      </c>
      <c r="E5" s="1002"/>
      <c r="F5" s="1003"/>
      <c r="G5" s="1286"/>
      <c r="H5" s="290">
        <v>1</v>
      </c>
      <c r="I5" s="291" t="s">
        <v>692</v>
      </c>
      <c r="J5" s="1001">
        <f ca="1">J6+J10+J12</f>
        <v>0</v>
      </c>
      <c r="K5" s="1267" t="s">
        <v>693</v>
      </c>
      <c r="L5" s="1002"/>
      <c r="M5" s="1003"/>
    </row>
    <row r="6" spans="1:37" ht="18" customHeight="1">
      <c r="A6" s="1000" t="s">
        <v>398</v>
      </c>
      <c r="B6" s="3412" t="s">
        <v>694</v>
      </c>
      <c r="C6" s="1005">
        <f ca="1">ROUND(F6*F8*F7*(1-F9)/10000,0)</f>
        <v>0</v>
      </c>
      <c r="D6" s="146" t="s">
        <v>2108</v>
      </c>
      <c r="E6" s="293" t="s">
        <v>696</v>
      </c>
      <c r="F6" s="294">
        <f ca="1">INDIRECT("'数据-取费表'!u"&amp;$G$1)</f>
        <v>0.8</v>
      </c>
      <c r="G6" s="1286"/>
      <c r="H6" s="1000" t="s">
        <v>398</v>
      </c>
      <c r="I6" s="3412" t="s">
        <v>694</v>
      </c>
      <c r="J6" s="292">
        <f ca="1">ROUND(M6*M8*M7*(1-M9)/10000,0)</f>
        <v>0</v>
      </c>
      <c r="K6" s="146" t="s">
        <v>2107</v>
      </c>
      <c r="L6" s="293" t="s">
        <v>696</v>
      </c>
      <c r="M6" s="294">
        <f ca="1">INDIRECT("'数据-取费表'!z"&amp;$G$1)</f>
        <v>0</v>
      </c>
    </row>
    <row r="7" spans="1:37" ht="18" customHeight="1">
      <c r="A7" s="1004"/>
      <c r="B7" s="3413"/>
      <c r="C7" s="1006"/>
      <c r="D7" s="298"/>
      <c r="E7" s="1007" t="s">
        <v>697</v>
      </c>
      <c r="F7" s="294">
        <f ca="1">IF(INDIRECT("'数据-取费表'!ah"&amp;$G$1)="",INDIRECT("'数据-取费表'!k"&amp;$G$1),INDIRECT("'数据-取费表'!ah"&amp;$G$1))</f>
        <v>0</v>
      </c>
      <c r="G7" s="1286"/>
      <c r="H7" s="295"/>
      <c r="I7" s="3413"/>
      <c r="J7" s="297"/>
      <c r="K7" s="298"/>
      <c r="L7" s="293" t="s">
        <v>697</v>
      </c>
      <c r="M7" s="294">
        <f ca="1">F7</f>
        <v>0</v>
      </c>
    </row>
    <row r="8" spans="1:37" ht="18" customHeight="1">
      <c r="A8" s="295"/>
      <c r="B8" s="3413"/>
      <c r="C8" s="297"/>
      <c r="D8" s="298"/>
      <c r="E8" s="293" t="s">
        <v>698</v>
      </c>
      <c r="F8" s="294">
        <f ca="1">INDIRECT("'数据-取费表'!ai"&amp;$G$1)</f>
        <v>365</v>
      </c>
      <c r="G8" s="1286"/>
      <c r="H8" s="295"/>
      <c r="I8" s="3413"/>
      <c r="J8" s="297"/>
      <c r="K8" s="298"/>
      <c r="L8" s="293" t="s">
        <v>698</v>
      </c>
      <c r="M8" s="294">
        <f ca="1">INDIRECT("'数据-取费表'!ai"&amp;$G$1)</f>
        <v>365</v>
      </c>
    </row>
    <row r="9" spans="1:37" ht="18" customHeight="1">
      <c r="A9" s="295"/>
      <c r="B9" s="3414"/>
      <c r="C9" s="297"/>
      <c r="D9" s="298"/>
      <c r="E9" s="293" t="s">
        <v>699</v>
      </c>
      <c r="F9" s="303">
        <f ca="1">INDIRECT("'数据-取费表'!w"&amp;$G$1)</f>
        <v>0.1</v>
      </c>
      <c r="G9" s="1286"/>
      <c r="H9" s="295"/>
      <c r="I9" s="3414"/>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2116</v>
      </c>
      <c r="E10" s="304" t="s">
        <v>701</v>
      </c>
      <c r="F10" s="1047" t="s">
        <v>4057</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1</v>
      </c>
      <c r="G13" s="1286"/>
      <c r="H13" s="1010">
        <v>2</v>
      </c>
      <c r="I13" s="1011" t="s">
        <v>704</v>
      </c>
      <c r="J13" s="999">
        <f ca="1">ROUND(J14*J15,0)</f>
        <v>0</v>
      </c>
      <c r="K13" s="1018" t="s">
        <v>705</v>
      </c>
      <c r="L13" s="1293"/>
      <c r="M13" s="1294"/>
    </row>
    <row r="14" spans="1:37" ht="18" customHeight="1">
      <c r="A14" s="922" t="s">
        <v>397</v>
      </c>
      <c r="B14" s="293" t="s">
        <v>707</v>
      </c>
      <c r="C14" s="309">
        <f ca="1">INDIRECT("'数据-取费表'!m"&amp;$G$1)+INDIRECT("'数据-取费表'!t"&amp;$G$1)</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0.03</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ROUND(INDIRECT("'数据-取费表'!m"&amp;$G$1)*F16,0)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ROUND(F17*(F43+INDIRECT("'数据-取费表'!S"&amp;$G$1))/10000,0)</f>
        <v>0</v>
      </c>
      <c r="D17" s="293" t="s">
        <v>717</v>
      </c>
      <c r="E17" s="293" t="s">
        <v>718</v>
      </c>
      <c r="F17" s="23">
        <f>'数据-取费表'!B35</f>
        <v>200</v>
      </c>
      <c r="G17" s="1297"/>
      <c r="H17" s="922" t="s">
        <v>398</v>
      </c>
      <c r="I17" s="293"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ROUND(J6*M18/(1+'数据-取费表'!C42),2)</f>
        <v>0</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IF(K19="按租金收入计税",ROUND(J6*M19/(1+'数据-取费表'!C42),2),ROUND(C29*M19*0.7,2))</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ROUND(M20*M21/10000,2)</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15</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ROUND(J14*M22,2)</f>
        <v>0</v>
      </c>
      <c r="K22" s="1250" t="s">
        <v>739</v>
      </c>
      <c r="L22" s="293" t="s">
        <v>712</v>
      </c>
      <c r="M22" s="319">
        <f ca="1">INDIRECT("'数据-取费表'!Ak"&amp;$G$1)</f>
        <v>0.01</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ROUND(J13*M23,2)</f>
        <v>0</v>
      </c>
      <c r="K23" s="1250" t="s">
        <v>743</v>
      </c>
      <c r="L23" s="293" t="s">
        <v>744</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f ca="1">ROUND(J5*M24,2)</f>
        <v>0</v>
      </c>
      <c r="K24" s="1023" t="s">
        <v>748</v>
      </c>
      <c r="L24" s="1021" t="s">
        <v>744</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f ca="1">ROUND(J26/(1+F40)^F41,0)</f>
        <v>0</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0</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IF(项目基本情况!B11="自然人","——",ROUND(C6*F32/(1+'数据-取费表'!C42),2))</f>
        <v>0</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IF(项目基本情况!B11="自然人","——",IF(D33="按租金收入计税",ROUND(C6*F33/(1+'数据-取费表'!C42),2),IF(D33="按房产原值计税",ROUND(C29*F33*0.7,2),INDIRECT("'数据-取费表'!Aj"&amp;$G$1))))</f>
        <v>0</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IF(项目基本情况!B11="自然人","——",ROUND(F34*F35/10000,2))</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ROUND(C29*F36,2)</f>
        <v>0</v>
      </c>
      <c r="D36" s="1250" t="s">
        <v>771</v>
      </c>
      <c r="E36" s="293" t="s">
        <v>712</v>
      </c>
      <c r="F36" s="319">
        <f ca="1">INDIRECT("'数据-取费表'!Ak"&amp;$G$1)</f>
        <v>0.01</v>
      </c>
      <c r="G36" s="1286"/>
      <c r="H36" s="2464"/>
      <c r="I36" s="1299"/>
      <c r="J36" s="1300"/>
      <c r="K36" s="2322"/>
      <c r="L36" s="2464"/>
      <c r="M36" s="2464"/>
    </row>
    <row r="37" spans="1:18" ht="18" customHeight="1">
      <c r="A37" s="922" t="s">
        <v>437</v>
      </c>
      <c r="B37" s="293" t="s">
        <v>742</v>
      </c>
      <c r="C37" s="21">
        <f ca="1">ROUND(C13*F37,2)</f>
        <v>0</v>
      </c>
      <c r="D37" s="1250" t="s">
        <v>743</v>
      </c>
      <c r="E37" s="293" t="s">
        <v>744</v>
      </c>
      <c r="F37" s="320">
        <f ca="1">INDIRECT("'数据-取费表'!Al"&amp;$G$1)</f>
        <v>1E-3</v>
      </c>
      <c r="G37" s="1286"/>
      <c r="H37" s="2464"/>
      <c r="I37" s="1299"/>
      <c r="J37" s="1300"/>
      <c r="K37" s="2322"/>
      <c r="L37" s="2464"/>
      <c r="M37" s="2464"/>
    </row>
    <row r="38" spans="1:18" ht="18" customHeight="1" thickBot="1">
      <c r="A38" s="1020" t="s">
        <v>684</v>
      </c>
      <c r="B38" s="1021" t="s">
        <v>728</v>
      </c>
      <c r="C38" s="1022">
        <f ca="1">ROUND(C5*F38,2)</f>
        <v>0</v>
      </c>
      <c r="D38" s="1023" t="s">
        <v>748</v>
      </c>
      <c r="E38" s="1021" t="s">
        <v>744</v>
      </c>
      <c r="F38" s="1017">
        <f ca="1">INDIRECT("'数据-取费表'!Am"&amp;$G$1)</f>
        <v>0.01</v>
      </c>
      <c r="G38" s="1286"/>
      <c r="H38" s="2464"/>
      <c r="I38" s="1299"/>
      <c r="J38" s="1300"/>
      <c r="K38" s="2462"/>
      <c r="L38" s="2464"/>
      <c r="M38" s="2464"/>
    </row>
    <row r="39" spans="1:18" ht="24.6" customHeight="1" thickTop="1">
      <c r="A39" s="1010" t="s">
        <v>394</v>
      </c>
      <c r="B39" s="1025" t="s">
        <v>772</v>
      </c>
      <c r="C39" s="301">
        <f ca="1">C5-C30</f>
        <v>0</v>
      </c>
      <c r="D39" s="1026" t="s">
        <v>773</v>
      </c>
      <c r="E39" s="1027"/>
      <c r="F39" s="1028"/>
      <c r="G39" s="1286"/>
      <c r="H39" s="2464"/>
      <c r="I39" s="1299"/>
      <c r="J39" s="1300"/>
      <c r="K39" s="2462"/>
      <c r="L39" s="2464"/>
      <c r="M39" s="2464"/>
    </row>
    <row r="40" spans="1:18" ht="18" customHeight="1">
      <c r="A40" s="290" t="s">
        <v>395</v>
      </c>
      <c r="B40" s="291" t="s">
        <v>774</v>
      </c>
      <c r="C40" s="292">
        <f ca="1">ROUND(C39*(1-((1+F42)/(1+F40))^F41)/(F40-F42),0)</f>
        <v>0</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f ca="1">IF(INDIRECT("'数据-取费表'!af"&amp;$G$1)=0,INDIRECT("'数据-取费表'!ae"&amp;$G$1),INDIRECT("'数据-取费表'!af"&amp;$G$1))</f>
        <v>-1.1200000000000001</v>
      </c>
      <c r="G41" s="1286"/>
      <c r="H41" s="120"/>
      <c r="I41" s="1299"/>
      <c r="J41" s="1300"/>
      <c r="K41" s="2322"/>
      <c r="L41" s="120"/>
      <c r="M41" s="120"/>
    </row>
    <row r="42" spans="1:18" ht="18" customHeight="1">
      <c r="A42" s="299"/>
      <c r="B42" s="300"/>
      <c r="C42" s="301"/>
      <c r="D42" s="318"/>
      <c r="E42" s="293" t="s">
        <v>766</v>
      </c>
      <c r="F42" s="303">
        <f ca="1">INDIRECT("'数据-取费表'!v"&amp;$G$1)</f>
        <v>1.4999999999999999E-2</v>
      </c>
      <c r="G42" s="1286"/>
      <c r="H42" s="120"/>
      <c r="I42" s="1299"/>
      <c r="J42" s="1300"/>
      <c r="K42" s="2322"/>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str">
        <f ca="1">IF(M47="住宅",0,IF(L48&gt;J51,L60,J60))</f>
        <v>0</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4030</v>
      </c>
      <c r="K47" s="1317" t="s">
        <v>816</v>
      </c>
      <c r="L47" s="1318">
        <f ca="1">INDIRECT("'数据-取费表'!d"&amp;$G$1)</f>
        <v>0</v>
      </c>
      <c r="M47" s="1282" t="str">
        <f>IF(ISNUMBER(FIND("住宅",C1)),"住宅","非住宅")</f>
        <v>非住宅</v>
      </c>
      <c r="O47" s="1319" t="s">
        <v>403</v>
      </c>
      <c r="P47" s="1320" t="s">
        <v>817</v>
      </c>
      <c r="Q47" s="1321">
        <f ca="1">C40+J29</f>
        <v>0</v>
      </c>
      <c r="R47" s="1321" t="s">
        <v>818</v>
      </c>
    </row>
    <row r="48" spans="1:18" s="1286" customFormat="1" ht="28.5" thickBot="1">
      <c r="A48" s="1041" t="s">
        <v>438</v>
      </c>
      <c r="B48" s="291" t="s">
        <v>692</v>
      </c>
      <c r="C48" s="1262">
        <f ca="1">C49+C53+C55</f>
        <v>0</v>
      </c>
      <c r="D48" s="1043"/>
      <c r="E48" s="1044"/>
      <c r="F48" s="902"/>
      <c r="G48" s="680"/>
      <c r="H48" s="681"/>
      <c r="I48" s="1322" t="s">
        <v>819</v>
      </c>
      <c r="J48" s="1323" t="s">
        <v>4058</v>
      </c>
      <c r="K48" s="1324" t="s">
        <v>820</v>
      </c>
      <c r="L48" s="1325">
        <f ca="1">INDIRECT("'数据-取费表'!f"&amp;$G$1)</f>
        <v>0</v>
      </c>
      <c r="O48" s="1319" t="s">
        <v>404</v>
      </c>
      <c r="P48" s="1320" t="s">
        <v>821</v>
      </c>
      <c r="Q48" s="1321" t="str">
        <f ca="1">J60</f>
        <v>0</v>
      </c>
      <c r="R48" s="1321" t="s">
        <v>822</v>
      </c>
    </row>
    <row r="49" spans="1:18" s="1286" customFormat="1" ht="13.5" thickBot="1">
      <c r="A49" s="915" t="s">
        <v>439</v>
      </c>
      <c r="B49" s="1273" t="s">
        <v>779</v>
      </c>
      <c r="C49" s="1045">
        <f ca="1">ROUND(F49*F51*F50*(1-F52)/10000,0)</f>
        <v>0</v>
      </c>
      <c r="D49" s="986" t="s">
        <v>2109</v>
      </c>
      <c r="E49" s="1274" t="s">
        <v>780</v>
      </c>
      <c r="F49" s="991"/>
      <c r="H49" s="681"/>
      <c r="I49" s="1322" t="s">
        <v>823</v>
      </c>
      <c r="J49" s="1326">
        <v>2025</v>
      </c>
      <c r="K49" s="1324" t="s">
        <v>824</v>
      </c>
      <c r="L49" s="1327"/>
      <c r="O49" s="1328" t="s">
        <v>405</v>
      </c>
      <c r="P49" s="1320" t="s">
        <v>825</v>
      </c>
      <c r="Q49" s="1321">
        <f ca="1">C29</f>
        <v>0</v>
      </c>
      <c r="R49" s="1321" t="s">
        <v>818</v>
      </c>
    </row>
    <row r="50" spans="1:18" s="1286" customFormat="1" ht="13.5" thickBot="1">
      <c r="A50" s="916"/>
      <c r="B50" s="919"/>
      <c r="C50" s="1049"/>
      <c r="D50" s="893"/>
      <c r="E50" s="987" t="s">
        <v>697</v>
      </c>
      <c r="F50" s="988">
        <f ca="1">F7</f>
        <v>0</v>
      </c>
      <c r="H50" s="681"/>
      <c r="I50" s="1322" t="s">
        <v>826</v>
      </c>
      <c r="J50" s="1329">
        <f>SUMPRODUCT((I63:I65=J47)*(J62:L62=J48)*(J63:L65))</f>
        <v>60</v>
      </c>
      <c r="K50" s="1324" t="s">
        <v>827</v>
      </c>
      <c r="L50" s="1327"/>
      <c r="M50" s="1330"/>
      <c r="O50" s="1328" t="s">
        <v>406</v>
      </c>
      <c r="P50" s="1320" t="s">
        <v>828</v>
      </c>
      <c r="Q50" s="1331" t="e">
        <f ca="1">J58</f>
        <v>#VALUE!</v>
      </c>
      <c r="R50" s="1321"/>
    </row>
    <row r="51" spans="1:18" s="1286" customFormat="1" ht="13.5" thickBot="1">
      <c r="A51" s="917"/>
      <c r="B51" s="919"/>
      <c r="C51" s="920"/>
      <c r="D51" s="893"/>
      <c r="E51" s="921" t="s">
        <v>698</v>
      </c>
      <c r="F51" s="294">
        <f ca="1">F8</f>
        <v>365</v>
      </c>
      <c r="I51" s="1332" t="s">
        <v>829</v>
      </c>
      <c r="J51" s="1325">
        <f>IF(J49="",J50,J49+J50-YEAR('数据-取费表'!B2))</f>
        <v>61</v>
      </c>
      <c r="K51" s="1333" t="s">
        <v>830</v>
      </c>
      <c r="L51" s="1334">
        <f ca="1">ROUND(-PV(INDIRECT("'数据-取费表'!h"&amp;$G$1),J51,(C39-C13*C76),0),0)</f>
        <v>0</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-1.1200000000000001</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f ca="1">IF(M47="住宅",IF(D1="——",MAX(J51,L48),MAX(J51,L48-'数据-取费表'!B24)),IF(D1="——",MIN(J51,L48),MIN(J51,L48-'数据-取费表'!B24)))</f>
        <v>-1.1200000000000001</v>
      </c>
      <c r="K53" s="3410" t="s">
        <v>837</v>
      </c>
      <c r="L53" s="3411"/>
      <c r="O53" s="1319" t="s">
        <v>409</v>
      </c>
      <c r="P53" s="1320" t="s">
        <v>838</v>
      </c>
      <c r="Q53" s="1321">
        <f ca="1">Q47+Q48</f>
        <v>0</v>
      </c>
      <c r="R53" s="1321" t="s">
        <v>410</v>
      </c>
    </row>
    <row r="54" spans="1:18" s="1286" customFormat="1" ht="13.5" thickBot="1">
      <c r="A54" s="1074"/>
      <c r="B54" s="1269" t="s">
        <v>679</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#VALUE!</v>
      </c>
      <c r="K55" s="1344" t="s">
        <v>841</v>
      </c>
      <c r="L55" s="1345"/>
      <c r="O55" s="1312" t="s">
        <v>811</v>
      </c>
      <c r="P55" s="1313" t="s">
        <v>812</v>
      </c>
      <c r="Q55" s="1314" t="s">
        <v>813</v>
      </c>
      <c r="R55" s="1314" t="s">
        <v>814</v>
      </c>
    </row>
    <row r="56" spans="1:18" s="1286" customFormat="1" ht="25.5" thickTop="1" thickBot="1">
      <c r="A56" s="897">
        <v>2</v>
      </c>
      <c r="B56" s="898" t="s">
        <v>704</v>
      </c>
      <c r="C56" s="223">
        <f ca="1">C13</f>
        <v>0</v>
      </c>
      <c r="D56" s="1346"/>
      <c r="E56" s="1347"/>
      <c r="F56" s="1339"/>
      <c r="I56" s="1348" t="s">
        <v>842</v>
      </c>
      <c r="J56" s="1349" t="s">
        <v>3430</v>
      </c>
      <c r="K56" s="1322" t="s">
        <v>843</v>
      </c>
      <c r="L56" s="1325" t="str">
        <f ca="1">IF(L48&lt;J51,"——",L48-J53)</f>
        <v>——</v>
      </c>
      <c r="O56" s="1319" t="s">
        <v>403</v>
      </c>
      <c r="P56" s="1320" t="s">
        <v>817</v>
      </c>
      <c r="Q56" s="1321">
        <f ca="1">C40+J29</f>
        <v>0</v>
      </c>
      <c r="R56" s="1321" t="s">
        <v>818</v>
      </c>
    </row>
    <row r="57" spans="1:18" s="1286" customFormat="1" ht="24.75" thickBot="1">
      <c r="A57" s="1350"/>
      <c r="B57" s="890" t="s">
        <v>767</v>
      </c>
      <c r="C57" s="229">
        <f ca="1">C29</f>
        <v>0</v>
      </c>
      <c r="D57" s="1351"/>
      <c r="E57" s="1352"/>
      <c r="F57" s="1353"/>
      <c r="I57" s="1354" t="s">
        <v>844</v>
      </c>
      <c r="J57" s="1355" t="str">
        <f ca="1">IF(OR(M47="住宅",J51&lt;L48,J56="是"),"——",J51-L48)</f>
        <v>——</v>
      </c>
      <c r="K57" s="1322" t="s">
        <v>845</v>
      </c>
      <c r="L57" s="1325" t="str">
        <f ca="1">IF(L48&lt;J51,"——",IF(L55="比较法",L49,IF(L55="基准地价",L50,L51)))</f>
        <v>——</v>
      </c>
      <c r="O57" s="1319" t="s">
        <v>404</v>
      </c>
      <c r="P57" s="1320" t="s">
        <v>846</v>
      </c>
      <c r="Q57" s="1321">
        <f ca="1">L60</f>
        <v>0</v>
      </c>
      <c r="R57" s="1321" t="s">
        <v>847</v>
      </c>
    </row>
    <row r="58" spans="1:18" s="1286" customFormat="1" ht="24.75" thickBot="1">
      <c r="A58" s="306" t="s">
        <v>393</v>
      </c>
      <c r="B58" s="898" t="s">
        <v>714</v>
      </c>
      <c r="C58" s="307">
        <f ca="1">ROUND(C59+C64+C65+C66,0)</f>
        <v>0</v>
      </c>
      <c r="D58" s="900" t="s">
        <v>715</v>
      </c>
      <c r="E58" s="901"/>
      <c r="F58" s="902"/>
      <c r="I58" s="1354" t="s">
        <v>848</v>
      </c>
      <c r="J58" s="1356" t="e">
        <f ca="1">IF(J55&lt;0.4,0.4,J55)</f>
        <v>#VALUE!</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IF(项目基本情况!B11="自然人","——",ROUND(C48*F60/(1+'数据-取费表'!C42),2))</f>
        <v>0</v>
      </c>
      <c r="D60" s="904" t="s">
        <v>724</v>
      </c>
      <c r="E60" s="890" t="s">
        <v>712</v>
      </c>
      <c r="F60" s="321">
        <f t="shared" ref="F60:F66" si="0">F32</f>
        <v>5.5000000000000007E-2</v>
      </c>
      <c r="I60" s="1357" t="s">
        <v>853</v>
      </c>
      <c r="J60" s="1358" t="str">
        <f ca="1">IF(OR(M47="住宅",J51&lt;L48,J56="是"),"0",ROUND(J59/(1+J52)^J53,0))</f>
        <v>0</v>
      </c>
      <c r="K60" s="1359" t="s">
        <v>854</v>
      </c>
      <c r="L60" s="1358">
        <f ca="1">IF(OR(M47="住宅",L48&lt;J51),0,ROUND(L57*(L58/L59-1),0))</f>
        <v>0</v>
      </c>
      <c r="O60" s="1328" t="s">
        <v>407</v>
      </c>
      <c r="P60" s="1320" t="s">
        <v>855</v>
      </c>
      <c r="Q60" s="1321" t="e">
        <f ca="1">L58</f>
        <v>#DIV/0!</v>
      </c>
      <c r="R60" s="1321" t="s">
        <v>856</v>
      </c>
    </row>
    <row r="61" spans="1:18" s="1286" customFormat="1" ht="13.5" thickBot="1">
      <c r="A61" s="922" t="s">
        <v>781</v>
      </c>
      <c r="B61" s="890" t="s">
        <v>782</v>
      </c>
      <c r="C61" s="21">
        <f ca="1">IF(项目基本情况!B11="自然人","——",IF(D61="按租金收入计税",ROUND(C49*F61/(1+'数据-取费表'!C42),2),IF(D61="按房产原值计税",ROUND(C57*F61*0.7,2),INDIRECT("'数据-取费表'!Aj"&amp;$G$1))))</f>
        <v>0</v>
      </c>
      <c r="D61" s="1272" t="s">
        <v>3333</v>
      </c>
      <c r="E61" s="890" t="s">
        <v>783</v>
      </c>
      <c r="F61" s="313">
        <f t="shared" si="0"/>
        <v>0.12</v>
      </c>
      <c r="I61" s="1360"/>
      <c r="J61" s="1360"/>
      <c r="K61" s="1360"/>
      <c r="L61" s="1360"/>
      <c r="O61" s="1328" t="s">
        <v>408</v>
      </c>
      <c r="P61" s="1320" t="str">
        <f>K59</f>
        <v>续建工期及建筑物耐用年限下的土地年期修正系数Kn</v>
      </c>
      <c r="Q61" s="1321" t="e">
        <f ca="1">L59</f>
        <v>#DIV/0!</v>
      </c>
      <c r="R61" s="1321" t="s">
        <v>857</v>
      </c>
    </row>
    <row r="62" spans="1:18" s="1286" customFormat="1" ht="13.5" thickBot="1">
      <c r="A62" s="922" t="s">
        <v>784</v>
      </c>
      <c r="B62" s="889" t="s">
        <v>785</v>
      </c>
      <c r="C62" s="22">
        <f ca="1">IF(项目基本情况!B11="自然人","——",ROUND(F62*F63/10000,2))</f>
        <v>0</v>
      </c>
      <c r="D62" s="905" t="s">
        <v>786</v>
      </c>
      <c r="E62" s="890" t="s">
        <v>787</v>
      </c>
      <c r="F62" s="316">
        <f t="shared" si="0"/>
        <v>1.5</v>
      </c>
      <c r="I62" s="1361" t="s">
        <v>858</v>
      </c>
      <c r="J62" s="609" t="s">
        <v>859</v>
      </c>
      <c r="K62" s="609" t="s">
        <v>860</v>
      </c>
      <c r="L62" s="609" t="s">
        <v>861</v>
      </c>
      <c r="M62" s="1362" t="s">
        <v>862</v>
      </c>
      <c r="O62" s="1319" t="s">
        <v>409</v>
      </c>
      <c r="P62" s="1320" t="s">
        <v>863</v>
      </c>
      <c r="Q62" s="1321">
        <f ca="1">Q56+Q57</f>
        <v>0</v>
      </c>
      <c r="R62" s="1321" t="s">
        <v>410</v>
      </c>
    </row>
    <row r="63" spans="1:18" s="1286" customFormat="1" ht="13.5" thickBot="1">
      <c r="A63" s="317"/>
      <c r="B63" s="896"/>
      <c r="C63" s="26"/>
      <c r="D63" s="906"/>
      <c r="E63" s="890" t="s">
        <v>788</v>
      </c>
      <c r="F63" s="294">
        <f t="shared" ca="1" si="0"/>
        <v>0</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f ca="1">ROUND(C57*F64,2)</f>
        <v>0</v>
      </c>
      <c r="D64" s="904" t="s">
        <v>791</v>
      </c>
      <c r="E64" s="890" t="s">
        <v>783</v>
      </c>
      <c r="F64" s="319">
        <f t="shared" ca="1" si="0"/>
        <v>0.01</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ROUND(C56*F65,2)</f>
        <v>0</v>
      </c>
      <c r="D65" s="904" t="s">
        <v>743</v>
      </c>
      <c r="E65" s="890" t="s">
        <v>744</v>
      </c>
      <c r="F65" s="320">
        <f t="shared" ca="1" si="0"/>
        <v>1E-3</v>
      </c>
      <c r="I65" s="1361" t="s">
        <v>867</v>
      </c>
      <c r="J65" s="609">
        <v>40</v>
      </c>
      <c r="K65" s="609">
        <v>30</v>
      </c>
      <c r="L65" s="609">
        <v>50</v>
      </c>
      <c r="M65" s="1363">
        <v>0.02</v>
      </c>
      <c r="O65" s="1319" t="s">
        <v>403</v>
      </c>
      <c r="P65" s="1320" t="s">
        <v>868</v>
      </c>
      <c r="Q65" s="1321">
        <f ca="1">C40+J29</f>
        <v>0</v>
      </c>
      <c r="R65" s="1321" t="s">
        <v>818</v>
      </c>
    </row>
    <row r="66" spans="1:18" s="1286" customFormat="1" ht="16.5" thickBot="1">
      <c r="A66" s="922" t="s">
        <v>793</v>
      </c>
      <c r="B66" s="890" t="s">
        <v>728</v>
      </c>
      <c r="C66" s="21">
        <f ca="1">ROUND(C48*F66,2)</f>
        <v>0</v>
      </c>
      <c r="D66" s="904" t="s">
        <v>794</v>
      </c>
      <c r="E66" s="890" t="s">
        <v>712</v>
      </c>
      <c r="F66" s="303">
        <f t="shared" ca="1" si="0"/>
        <v>0.01</v>
      </c>
      <c r="O66" s="1319" t="s">
        <v>404</v>
      </c>
      <c r="P66" s="1320" t="s">
        <v>846</v>
      </c>
      <c r="Q66" s="1321">
        <f ca="1">L60</f>
        <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0</v>
      </c>
      <c r="R67" s="1321" t="s">
        <v>870</v>
      </c>
    </row>
    <row r="68" spans="1:18" s="1286" customFormat="1" ht="16.5" thickBot="1">
      <c r="A68" s="887" t="s">
        <v>395</v>
      </c>
      <c r="B68" s="888" t="s">
        <v>774</v>
      </c>
      <c r="C68" s="292" t="e">
        <f ca="1">ROUND(C67*(1-((1+F70)/(1+F68))^F69)/(F68-F70),0)</f>
        <v>#DIV/0!</v>
      </c>
      <c r="D68" s="905" t="s">
        <v>758</v>
      </c>
      <c r="E68" s="890" t="s">
        <v>759</v>
      </c>
      <c r="F68" s="303">
        <f ca="1">F40</f>
        <v>0</v>
      </c>
      <c r="O68" s="1328" t="s">
        <v>406</v>
      </c>
      <c r="P68" s="1365" t="s">
        <v>871</v>
      </c>
      <c r="Q68" s="1321">
        <f ca="1">ROUND(Q69-Q70*Q71,0)</f>
        <v>0</v>
      </c>
      <c r="R68" s="1321" t="s">
        <v>414</v>
      </c>
    </row>
    <row r="69" spans="1:18" s="1286" customFormat="1" ht="13.5" thickBot="1">
      <c r="A69" s="891"/>
      <c r="B69" s="892"/>
      <c r="C69" s="297"/>
      <c r="D69" s="910" t="s">
        <v>762</v>
      </c>
      <c r="E69" s="890" t="s">
        <v>763</v>
      </c>
      <c r="F69" s="323">
        <f ca="1">F41</f>
        <v>-1.1200000000000001</v>
      </c>
      <c r="O69" s="1328" t="s">
        <v>411</v>
      </c>
      <c r="P69" s="1365" t="s">
        <v>872</v>
      </c>
      <c r="Q69" s="1321">
        <f ca="1">C39</f>
        <v>0</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ROUND(C68*10000/F71,0)</f>
        <v>#DIV/0!</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f ca="1">Q65+Q66</f>
        <v>0</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c r="D1" s="1265" t="s">
        <v>43</v>
      </c>
      <c r="E1" s="1266" t="s">
        <v>678</v>
      </c>
      <c r="F1" s="993">
        <f ca="1">J53</f>
        <v>0</v>
      </c>
      <c r="G1" s="1280">
        <f>MATCH(C1,'数据-取费表'!A6:A16,0)+5</f>
        <v>10</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878</v>
      </c>
      <c r="B2" s="3113" t="e">
        <f ca="1">ROUND(D2/10000,4)</f>
        <v>#DIV/0!</v>
      </c>
      <c r="C2" s="1283" t="s">
        <v>879</v>
      </c>
      <c r="D2" s="1369" t="e">
        <f ca="1">C40+J29+L46</f>
        <v>#DIV/0!</v>
      </c>
      <c r="E2" s="1289" t="s">
        <v>880</v>
      </c>
      <c r="F2" s="1290"/>
      <c r="G2" s="2469"/>
      <c r="H2" s="2459"/>
      <c r="I2" s="2459"/>
      <c r="J2" s="2459"/>
      <c r="K2" s="2460"/>
      <c r="L2" s="2459"/>
      <c r="M2" s="2459"/>
    </row>
    <row r="3" spans="1:37" ht="18" customHeight="1" thickBot="1">
      <c r="A3" s="1291" t="s">
        <v>881</v>
      </c>
      <c r="B3" s="1292">
        <f ca="1">IF(ISERROR(D2/F43),0,ROUND(D2/F43,0))</f>
        <v>0</v>
      </c>
      <c r="C3" s="1283" t="s">
        <v>882</v>
      </c>
      <c r="D3" s="1283"/>
      <c r="E3" s="1289"/>
      <c r="F3" s="1290"/>
      <c r="G3" s="2469"/>
      <c r="H3" s="648" t="s">
        <v>876</v>
      </c>
      <c r="I3" s="1284"/>
      <c r="J3" s="1284"/>
      <c r="K3" s="1285"/>
      <c r="L3" s="1284"/>
      <c r="M3" s="1284"/>
    </row>
    <row r="4" spans="1:37" ht="18" customHeight="1">
      <c r="A4" s="286" t="s">
        <v>883</v>
      </c>
      <c r="B4" s="287" t="s">
        <v>884</v>
      </c>
      <c r="C4" s="287" t="s">
        <v>885</v>
      </c>
      <c r="D4" s="287" t="s">
        <v>886</v>
      </c>
      <c r="E4" s="288" t="s">
        <v>887</v>
      </c>
      <c r="F4" s="289"/>
      <c r="G4" s="1286"/>
      <c r="H4" s="286" t="s">
        <v>883</v>
      </c>
      <c r="I4" s="287" t="s">
        <v>884</v>
      </c>
      <c r="J4" s="287" t="s">
        <v>885</v>
      </c>
      <c r="K4" s="287" t="s">
        <v>886</v>
      </c>
      <c r="L4" s="288" t="s">
        <v>887</v>
      </c>
      <c r="M4" s="289"/>
    </row>
    <row r="5" spans="1:37" ht="18" customHeight="1">
      <c r="A5" s="290">
        <v>1</v>
      </c>
      <c r="B5" s="291" t="s">
        <v>888</v>
      </c>
      <c r="C5" s="1001">
        <f ca="1">C6+C10+C12</f>
        <v>0</v>
      </c>
      <c r="D5" s="1267" t="s">
        <v>889</v>
      </c>
      <c r="E5" s="1002"/>
      <c r="F5" s="1003"/>
      <c r="G5" s="1286"/>
      <c r="H5" s="290">
        <v>1</v>
      </c>
      <c r="I5" s="291" t="s">
        <v>888</v>
      </c>
      <c r="J5" s="1001">
        <f ca="1">J6+J10+J12</f>
        <v>0</v>
      </c>
      <c r="K5" s="1267" t="s">
        <v>889</v>
      </c>
      <c r="L5" s="1002"/>
      <c r="M5" s="1003"/>
    </row>
    <row r="6" spans="1:37" ht="18" customHeight="1">
      <c r="A6" s="1000" t="s">
        <v>398</v>
      </c>
      <c r="B6" s="3412" t="s">
        <v>694</v>
      </c>
      <c r="C6" s="1005">
        <f ca="1">ROUND(F6*F8*F7*(1-F9),0)</f>
        <v>0</v>
      </c>
      <c r="D6" s="146" t="s">
        <v>2105</v>
      </c>
      <c r="E6" s="293" t="s">
        <v>696</v>
      </c>
      <c r="F6" s="294">
        <f ca="1">INDIRECT("'数据-取费表'!u"&amp;$G$1)</f>
        <v>0</v>
      </c>
      <c r="G6" s="1286"/>
      <c r="H6" s="1000" t="s">
        <v>398</v>
      </c>
      <c r="I6" s="3412" t="s">
        <v>694</v>
      </c>
      <c r="J6" s="292">
        <f ca="1">ROUND(M6*M8*M7*(1-M9),0)</f>
        <v>0</v>
      </c>
      <c r="K6" s="1278" t="s">
        <v>2106</v>
      </c>
      <c r="L6" s="293" t="s">
        <v>696</v>
      </c>
      <c r="M6" s="294">
        <f ca="1">INDIRECT("'数据-取费表'!z"&amp;$G$1)</f>
        <v>0</v>
      </c>
    </row>
    <row r="7" spans="1:37" ht="18" customHeight="1">
      <c r="A7" s="1004"/>
      <c r="B7" s="3413"/>
      <c r="C7" s="1006"/>
      <c r="D7" s="298"/>
      <c r="E7" s="1007" t="s">
        <v>697</v>
      </c>
      <c r="F7" s="294">
        <f ca="1">IF(INDIRECT("'数据-取费表'!ah"&amp;$G$1)="",INDIRECT("'数据-取费表'!k"&amp;$G$1),INDIRECT("'数据-取费表'!ah"&amp;$G$1))</f>
        <v>0</v>
      </c>
      <c r="G7" s="1286"/>
      <c r="H7" s="295"/>
      <c r="I7" s="3413"/>
      <c r="J7" s="297"/>
      <c r="K7" s="298"/>
      <c r="L7" s="293" t="s">
        <v>697</v>
      </c>
      <c r="M7" s="294">
        <f ca="1">F7</f>
        <v>0</v>
      </c>
    </row>
    <row r="8" spans="1:37" ht="18" customHeight="1">
      <c r="A8" s="295"/>
      <c r="B8" s="3413"/>
      <c r="C8" s="297"/>
      <c r="D8" s="298"/>
      <c r="E8" s="293" t="s">
        <v>698</v>
      </c>
      <c r="F8" s="294">
        <f ca="1">INDIRECT("'数据-取费表'!ai"&amp;$G$1)</f>
        <v>0</v>
      </c>
      <c r="G8" s="1286"/>
      <c r="H8" s="295"/>
      <c r="I8" s="3413"/>
      <c r="J8" s="297"/>
      <c r="K8" s="298"/>
      <c r="L8" s="293" t="s">
        <v>698</v>
      </c>
      <c r="M8" s="294">
        <f ca="1">INDIRECT("'数据-取费表'!ai"&amp;$G$1)</f>
        <v>0</v>
      </c>
    </row>
    <row r="9" spans="1:37" ht="18" customHeight="1">
      <c r="A9" s="295"/>
      <c r="B9" s="3414"/>
      <c r="C9" s="297"/>
      <c r="D9" s="298"/>
      <c r="E9" s="293" t="s">
        <v>699</v>
      </c>
      <c r="F9" s="303">
        <f ca="1">INDIRECT("'数据-取费表'!w"&amp;$G$1)</f>
        <v>0</v>
      </c>
      <c r="G9" s="1286"/>
      <c r="H9" s="295"/>
      <c r="I9" s="3414"/>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2115</v>
      </c>
      <c r="E10" s="304" t="s">
        <v>701</v>
      </c>
      <c r="F10" s="1047"/>
      <c r="G10" s="1286"/>
      <c r="H10" s="1000" t="s">
        <v>402</v>
      </c>
      <c r="I10" s="1268" t="s">
        <v>700</v>
      </c>
      <c r="J10" s="292">
        <f ca="1">ROUND(IF(M10="押一",J6/12*M11,IF(M10="押二",J6/12*2*M11,IF(M10="押三",J6/12*3*M11,J11*M11))),0)</f>
        <v>0</v>
      </c>
      <c r="K10" s="1279" t="s">
        <v>2117</v>
      </c>
      <c r="L10" s="304" t="s">
        <v>701</v>
      </c>
      <c r="M10" s="1047"/>
    </row>
    <row r="11" spans="1:37" ht="18" customHeight="1">
      <c r="A11" s="299"/>
      <c r="B11" s="1269" t="s">
        <v>890</v>
      </c>
      <c r="C11" s="899"/>
      <c r="D11" s="298"/>
      <c r="E11" s="304" t="s">
        <v>702</v>
      </c>
      <c r="F11" s="305">
        <f ca="1">'数据-取费表'!B39</f>
        <v>1.4999999999999999E-2</v>
      </c>
      <c r="G11" s="1286"/>
      <c r="H11" s="1008"/>
      <c r="I11" s="1269" t="s">
        <v>891</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0</v>
      </c>
      <c r="G13" s="1286"/>
      <c r="H13" s="1010">
        <v>2</v>
      </c>
      <c r="I13" s="1011" t="s">
        <v>704</v>
      </c>
      <c r="J13" s="999">
        <f ca="1">ROUND(J14*J15,0)</f>
        <v>0</v>
      </c>
      <c r="K13" s="1018" t="s">
        <v>705</v>
      </c>
      <c r="L13" s="1293"/>
      <c r="M13" s="1294"/>
    </row>
    <row r="14" spans="1:37" ht="18" customHeight="1">
      <c r="A14" s="922" t="s">
        <v>397</v>
      </c>
      <c r="B14" s="293" t="s">
        <v>707</v>
      </c>
      <c r="C14" s="309">
        <f ca="1">ROUND(INDIRECT("'数据-取费表'!l"&amp;$G$1)*F43+'数据-取费表'!L14*INDIRECT("'数据-取费表'!S"&amp;$G$1),0)</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0.03</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ROUND(INDIRECT("'数据-取费表'!l"&amp;$G$1)*F43*F16,0)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ROUND(F17*(F43+INDIRECT("'数据-取费表'!S"&amp;$G$1)),0)</f>
        <v>0</v>
      </c>
      <c r="D17" s="293" t="s">
        <v>717</v>
      </c>
      <c r="E17" s="293" t="s">
        <v>718</v>
      </c>
      <c r="F17" s="23">
        <f>'数据-取费表'!B35</f>
        <v>200</v>
      </c>
      <c r="G17" s="1297"/>
      <c r="H17" s="922" t="s">
        <v>398</v>
      </c>
      <c r="I17" s="293"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ROUND(J6*M18/(1+'数据-取费表'!C42),0)</f>
        <v>0</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IF(K19="按租金收入计税",ROUND(J6*M19/(1+'数据-取费表'!C42),0),ROUND(C29*M19*0.7,0))</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ROUND(M20*M21,0)</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ROUND(J14*M22,0)</f>
        <v>0</v>
      </c>
      <c r="K22" s="1250" t="s">
        <v>739</v>
      </c>
      <c r="L22" s="293" t="s">
        <v>712</v>
      </c>
      <c r="M22" s="319">
        <f ca="1">INDIRECT("'数据-取费表'!Ak"&amp;$G$1)</f>
        <v>0</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ROUND(J13*M23,0)</f>
        <v>0</v>
      </c>
      <c r="K23" s="1250" t="s">
        <v>743</v>
      </c>
      <c r="L23" s="293" t="s">
        <v>744</v>
      </c>
      <c r="M23" s="320">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f ca="1">ROUND(J5*M24,0)</f>
        <v>0</v>
      </c>
      <c r="K24" s="1023" t="s">
        <v>748</v>
      </c>
      <c r="L24" s="1021" t="s">
        <v>744</v>
      </c>
      <c r="M24" s="1017">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ht="18" customHeight="1">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f ca="1">ROUND(J26/(1+F40)^F41,0)</f>
        <v>0</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0</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IF(项目基本情况!B11="自然人","——",ROUND(C6*F32/(1+'数据-取费表'!C42),0))</f>
        <v>0</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IF(项目基本情况!B11="自然人","——",IF(D33="按租金收入计税",ROUND(C6*F33/(1+'数据-取费表'!C42),0),IF(D33="按房产原值计税",ROUND(C29*F33*0.7,0),INDIRECT("'数据-取费表'!Aj"&amp;$G$1))))</f>
        <v>0</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IF(项目基本情况!B11="自然人","——",ROUND(F34*F35,0))</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ROUND(C29*F36,0)</f>
        <v>0</v>
      </c>
      <c r="D36" s="1250" t="s">
        <v>771</v>
      </c>
      <c r="E36" s="293" t="s">
        <v>712</v>
      </c>
      <c r="F36" s="319">
        <f ca="1">INDIRECT("'数据-取费表'!Ak"&amp;$G$1)</f>
        <v>0</v>
      </c>
      <c r="G36" s="1286"/>
      <c r="H36" s="2464"/>
      <c r="I36" s="1299"/>
      <c r="J36" s="1300"/>
      <c r="K36" s="2322"/>
      <c r="L36" s="2464"/>
      <c r="M36" s="2464"/>
    </row>
    <row r="37" spans="1:18" ht="18" customHeight="1">
      <c r="A37" s="922" t="s">
        <v>437</v>
      </c>
      <c r="B37" s="293" t="s">
        <v>742</v>
      </c>
      <c r="C37" s="21">
        <f ca="1">ROUND(C13*F37,0)</f>
        <v>0</v>
      </c>
      <c r="D37" s="1250" t="s">
        <v>743</v>
      </c>
      <c r="E37" s="293" t="s">
        <v>744</v>
      </c>
      <c r="F37" s="320">
        <f ca="1">INDIRECT("'数据-取费表'!Al"&amp;$G$1)</f>
        <v>0</v>
      </c>
      <c r="G37" s="1286"/>
      <c r="H37" s="2464"/>
      <c r="I37" s="1299"/>
      <c r="J37" s="1300"/>
      <c r="K37" s="2322"/>
      <c r="L37" s="2464"/>
      <c r="M37" s="2464"/>
    </row>
    <row r="38" spans="1:18" ht="18" customHeight="1" thickBot="1">
      <c r="A38" s="1020" t="s">
        <v>684</v>
      </c>
      <c r="B38" s="1021" t="s">
        <v>728</v>
      </c>
      <c r="C38" s="1022">
        <f ca="1">ROUND(C5*F38,0)</f>
        <v>0</v>
      </c>
      <c r="D38" s="1023" t="s">
        <v>748</v>
      </c>
      <c r="E38" s="1021" t="s">
        <v>744</v>
      </c>
      <c r="F38" s="1017">
        <f ca="1">INDIRECT("'数据-取费表'!Am"&amp;$G$1)</f>
        <v>0</v>
      </c>
      <c r="G38" s="1286"/>
      <c r="H38" s="2464"/>
      <c r="I38" s="1299"/>
      <c r="J38" s="1300"/>
      <c r="K38" s="2462"/>
      <c r="L38" s="2464"/>
      <c r="M38" s="2464"/>
    </row>
    <row r="39" spans="1:18" ht="24.6" customHeight="1" thickTop="1">
      <c r="A39" s="1010" t="s">
        <v>394</v>
      </c>
      <c r="B39" s="1025" t="s">
        <v>772</v>
      </c>
      <c r="C39" s="301">
        <f ca="1">C5-C30</f>
        <v>0</v>
      </c>
      <c r="D39" s="1026" t="s">
        <v>773</v>
      </c>
      <c r="E39" s="1027"/>
      <c r="F39" s="1028"/>
      <c r="G39" s="1286"/>
      <c r="H39" s="2464"/>
      <c r="I39" s="1299"/>
      <c r="J39" s="1300"/>
      <c r="K39" s="2462"/>
      <c r="L39" s="2464"/>
      <c r="M39" s="2464"/>
    </row>
    <row r="40" spans="1:18" ht="18" customHeight="1">
      <c r="A40" s="290" t="s">
        <v>395</v>
      </c>
      <c r="B40" s="291" t="s">
        <v>774</v>
      </c>
      <c r="C40" s="292" t="e">
        <f ca="1">ROUND(C39*(1-((1+F42)/(1+F40))^F41)/(F40-F42),0)</f>
        <v>#DIV/0!</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f ca="1">IF(INDIRECT("'数据-取费表'!af"&amp;$G$1)=0,INDIRECT("'数据-取费表'!ae"&amp;$G$1),INDIRECT("'数据-取费表'!af"&amp;$G$1))</f>
        <v>0</v>
      </c>
      <c r="G41" s="1286"/>
      <c r="H41" s="120"/>
      <c r="I41" s="1299"/>
      <c r="J41" s="1300"/>
      <c r="K41" s="2322"/>
      <c r="L41" s="120"/>
      <c r="M41" s="120"/>
    </row>
    <row r="42" spans="1:18" ht="18" customHeight="1">
      <c r="A42" s="299"/>
      <c r="B42" s="300"/>
      <c r="C42" s="301"/>
      <c r="D42" s="318"/>
      <c r="E42" s="293" t="s">
        <v>766</v>
      </c>
      <c r="F42" s="303">
        <f ca="1">INDIRECT("'数据-取费表'!v"&amp;$G$1)</f>
        <v>0</v>
      </c>
      <c r="G42" s="1286"/>
      <c r="H42" s="120"/>
      <c r="I42" s="1299"/>
      <c r="J42" s="1300"/>
      <c r="K42" s="2322"/>
      <c r="L42" s="120"/>
      <c r="M42" s="120"/>
    </row>
    <row r="43" spans="1:18" ht="18" customHeight="1" thickBot="1">
      <c r="A43" s="324" t="s">
        <v>396</v>
      </c>
      <c r="B43" s="325" t="s">
        <v>776</v>
      </c>
      <c r="C43" s="326" t="e">
        <f ca="1">ROUND(C40/F43,0)</f>
        <v>#DIV/0!</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3118" t="s">
        <v>3349</v>
      </c>
      <c r="B45" s="1301"/>
      <c r="C45" s="1370" t="e">
        <f ca="1">ROUND((C68-C40)/10000,4)</f>
        <v>#DIV/0!</v>
      </c>
      <c r="D45" s="3119" t="s">
        <v>3350</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6" t="s">
        <v>687</v>
      </c>
      <c r="B47" s="918" t="s">
        <v>688</v>
      </c>
      <c r="C47" s="918" t="s">
        <v>689</v>
      </c>
      <c r="D47" s="918" t="s">
        <v>690</v>
      </c>
      <c r="E47" s="989" t="s">
        <v>691</v>
      </c>
      <c r="F47" s="990"/>
      <c r="G47" s="680"/>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1" t="s">
        <v>438</v>
      </c>
      <c r="B48" s="291" t="s">
        <v>692</v>
      </c>
      <c r="C48" s="1262">
        <f ca="1">C49+C53+C55</f>
        <v>0</v>
      </c>
      <c r="D48" s="1043"/>
      <c r="E48" s="1044"/>
      <c r="F48" s="902"/>
      <c r="G48" s="680"/>
      <c r="H48" s="681"/>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5" t="s">
        <v>439</v>
      </c>
      <c r="B49" s="1273" t="s">
        <v>779</v>
      </c>
      <c r="C49" s="1045">
        <f ca="1">ROUND(F49*F51*F50*(1-F52),0)</f>
        <v>0</v>
      </c>
      <c r="D49" s="986" t="s">
        <v>695</v>
      </c>
      <c r="E49" s="1274" t="s">
        <v>780</v>
      </c>
      <c r="F49" s="991"/>
      <c r="H49" s="681"/>
      <c r="I49" s="1322" t="s">
        <v>823</v>
      </c>
      <c r="J49" s="1326"/>
      <c r="K49" s="1324" t="s">
        <v>824</v>
      </c>
      <c r="L49" s="1327"/>
      <c r="O49" s="1328" t="s">
        <v>405</v>
      </c>
      <c r="P49" s="1320" t="s">
        <v>825</v>
      </c>
      <c r="Q49" s="1321">
        <f ca="1">C29</f>
        <v>0</v>
      </c>
      <c r="R49" s="1321" t="s">
        <v>818</v>
      </c>
    </row>
    <row r="50" spans="1:18" s="1286" customFormat="1" ht="13.5" thickBot="1">
      <c r="A50" s="916"/>
      <c r="B50" s="919"/>
      <c r="C50" s="920"/>
      <c r="D50" s="893"/>
      <c r="E50" s="987" t="s">
        <v>697</v>
      </c>
      <c r="F50" s="988">
        <f ca="1">F7</f>
        <v>0</v>
      </c>
      <c r="H50" s="681"/>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7"/>
      <c r="B51" s="919"/>
      <c r="C51" s="920"/>
      <c r="D51" s="893"/>
      <c r="E51" s="921" t="s">
        <v>698</v>
      </c>
      <c r="F51" s="294">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0</v>
      </c>
      <c r="R52" s="1321" t="s">
        <v>835</v>
      </c>
    </row>
    <row r="53" spans="1:18" s="1286" customFormat="1" ht="30.75" customHeight="1" thickBot="1">
      <c r="A53" s="1042" t="s">
        <v>440</v>
      </c>
      <c r="B53" s="314" t="s">
        <v>700</v>
      </c>
      <c r="C53" s="307">
        <f ca="1">ROUND(IF(F53="押一",C49/12*F11,IF(F53="押二",C49/12*2*F11,IF(F53="押三",C49/12*3*F11,C54*F11))),0)</f>
        <v>0</v>
      </c>
      <c r="D53" s="149" t="s">
        <v>2118</v>
      </c>
      <c r="E53" s="304" t="s">
        <v>701</v>
      </c>
      <c r="F53" s="1047"/>
      <c r="I53" s="1338" t="s">
        <v>836</v>
      </c>
      <c r="J53" s="1998">
        <f ca="1">IF(M47="住宅",IF(D1="——",MAX(J51,L48),MAX(J51,L48-'数据-取费表'!B24)),IF(D1="——",MIN(J51,L48),MIN(J51,L48-'数据-取费表'!B24)))</f>
        <v>0</v>
      </c>
      <c r="K53" s="3410" t="s">
        <v>837</v>
      </c>
      <c r="L53" s="3411"/>
      <c r="O53" s="1319" t="s">
        <v>409</v>
      </c>
      <c r="P53" s="1320" t="s">
        <v>838</v>
      </c>
      <c r="Q53" s="1321" t="e">
        <f ca="1">Q47+Q48</f>
        <v>#DIV/0!</v>
      </c>
      <c r="R53" s="1321" t="s">
        <v>410</v>
      </c>
    </row>
    <row r="54" spans="1:18" s="1286" customFormat="1" ht="13.5" thickBot="1">
      <c r="A54" s="915"/>
      <c r="B54" s="1371" t="s">
        <v>891</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7">
        <v>2</v>
      </c>
      <c r="B56" s="898" t="s">
        <v>704</v>
      </c>
      <c r="C56" s="223">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0" t="s">
        <v>767</v>
      </c>
      <c r="C57" s="229">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6" t="s">
        <v>393</v>
      </c>
      <c r="B58" s="898" t="s">
        <v>714</v>
      </c>
      <c r="C58" s="307">
        <f ca="1">ROUND(C59+C64+C65+C66,0)</f>
        <v>0</v>
      </c>
      <c r="D58" s="900" t="s">
        <v>715</v>
      </c>
      <c r="E58" s="901"/>
      <c r="F58" s="902"/>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IF(项目基本情况!B11="自然人","——",ROUND(C48*F60/(1+'数据-取费表'!C42),0))</f>
        <v>0</v>
      </c>
      <c r="D60" s="904" t="s">
        <v>724</v>
      </c>
      <c r="E60" s="890" t="s">
        <v>712</v>
      </c>
      <c r="F60" s="321">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2" t="s">
        <v>781</v>
      </c>
      <c r="B61" s="890" t="s">
        <v>782</v>
      </c>
      <c r="C61" s="21">
        <f ca="1">IF(项目基本情况!B11="自然人","——",IF(D61="按租金收入计税",ROUND(C49*F61/(1+'数据-取费表'!C42),0),IF(D61="按房产原值计税",ROUND(C57*F61*0.7,0),INDIRECT("'数据-取费表'!Aj"&amp;$G$1))))</f>
        <v>0</v>
      </c>
      <c r="D61" s="1272" t="s">
        <v>3333</v>
      </c>
      <c r="E61" s="890" t="s">
        <v>783</v>
      </c>
      <c r="F61" s="313">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2" t="s">
        <v>784</v>
      </c>
      <c r="B62" s="889" t="s">
        <v>785</v>
      </c>
      <c r="C62" s="22">
        <f ca="1">IF(项目基本情况!B11="自然人","——",ROUND(F62*F63,0))</f>
        <v>0</v>
      </c>
      <c r="D62" s="905" t="s">
        <v>786</v>
      </c>
      <c r="E62" s="890" t="s">
        <v>787</v>
      </c>
      <c r="F62" s="316">
        <f t="shared" si="0"/>
        <v>1.5</v>
      </c>
      <c r="I62" s="1361" t="s">
        <v>858</v>
      </c>
      <c r="J62" s="609" t="s">
        <v>859</v>
      </c>
      <c r="K62" s="609" t="s">
        <v>860</v>
      </c>
      <c r="L62" s="609" t="s">
        <v>861</v>
      </c>
      <c r="M62" s="1362" t="s">
        <v>862</v>
      </c>
      <c r="O62" s="1319" t="s">
        <v>409</v>
      </c>
      <c r="P62" s="1320" t="s">
        <v>863</v>
      </c>
      <c r="Q62" s="1321" t="e">
        <f ca="1">Q56+Q57</f>
        <v>#DIV/0!</v>
      </c>
      <c r="R62" s="1321" t="s">
        <v>410</v>
      </c>
    </row>
    <row r="63" spans="1:18" s="1286" customFormat="1" ht="13.5" thickBot="1">
      <c r="A63" s="317"/>
      <c r="B63" s="896"/>
      <c r="C63" s="26"/>
      <c r="D63" s="906"/>
      <c r="E63" s="890" t="s">
        <v>788</v>
      </c>
      <c r="F63" s="294">
        <f t="shared" ca="1" si="0"/>
        <v>0</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f ca="1">ROUND(C57*F64,0)</f>
        <v>0</v>
      </c>
      <c r="D64" s="904" t="s">
        <v>791</v>
      </c>
      <c r="E64" s="890" t="s">
        <v>783</v>
      </c>
      <c r="F64" s="319">
        <f t="shared" ca="1" si="0"/>
        <v>0</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ROUND(C56*F65,0)</f>
        <v>0</v>
      </c>
      <c r="D65" s="904" t="s">
        <v>743</v>
      </c>
      <c r="E65" s="890" t="s">
        <v>744</v>
      </c>
      <c r="F65" s="320">
        <f t="shared" ca="1" si="0"/>
        <v>0</v>
      </c>
      <c r="I65" s="1361" t="s">
        <v>867</v>
      </c>
      <c r="J65" s="609">
        <v>40</v>
      </c>
      <c r="K65" s="609">
        <v>30</v>
      </c>
      <c r="L65" s="609">
        <v>50</v>
      </c>
      <c r="M65" s="1363">
        <v>0.02</v>
      </c>
      <c r="O65" s="1319" t="s">
        <v>403</v>
      </c>
      <c r="P65" s="1320" t="s">
        <v>868</v>
      </c>
      <c r="Q65" s="1321" t="e">
        <f ca="1">C40+J29</f>
        <v>#DIV/0!</v>
      </c>
      <c r="R65" s="1321" t="s">
        <v>818</v>
      </c>
    </row>
    <row r="66" spans="1:18" s="1286" customFormat="1" ht="16.5" thickBot="1">
      <c r="A66" s="922" t="s">
        <v>793</v>
      </c>
      <c r="B66" s="890" t="s">
        <v>728</v>
      </c>
      <c r="C66" s="21">
        <f ca="1">ROUND(C48*F66,0)</f>
        <v>0</v>
      </c>
      <c r="D66" s="904" t="s">
        <v>794</v>
      </c>
      <c r="E66" s="890" t="s">
        <v>712</v>
      </c>
      <c r="F66" s="303">
        <f t="shared" ca="1" si="0"/>
        <v>0</v>
      </c>
      <c r="O66" s="1319" t="s">
        <v>404</v>
      </c>
      <c r="P66" s="1320" t="s">
        <v>846</v>
      </c>
      <c r="Q66" s="1321" t="e">
        <f ca="1">L60</f>
        <v>#DIV/0!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0</v>
      </c>
      <c r="R67" s="1321" t="s">
        <v>870</v>
      </c>
    </row>
    <row r="68" spans="1:18" s="1286" customFormat="1" ht="16.5" thickBot="1">
      <c r="A68" s="887" t="s">
        <v>395</v>
      </c>
      <c r="B68" s="888" t="s">
        <v>774</v>
      </c>
      <c r="C68" s="292" t="e">
        <f ca="1">ROUND(C67*(1-((1+F70)/(1+F68))^F69)/(F68-F70),0)</f>
        <v>#DIV/0!</v>
      </c>
      <c r="D68" s="905" t="s">
        <v>758</v>
      </c>
      <c r="E68" s="890" t="s">
        <v>759</v>
      </c>
      <c r="F68" s="303">
        <f ca="1">F40</f>
        <v>0</v>
      </c>
      <c r="O68" s="1328" t="s">
        <v>406</v>
      </c>
      <c r="P68" s="1365" t="s">
        <v>871</v>
      </c>
      <c r="Q68" s="1321">
        <f ca="1">ROUND(Q69-Q70*Q71,0)</f>
        <v>0</v>
      </c>
      <c r="R68" s="1321" t="s">
        <v>414</v>
      </c>
    </row>
    <row r="69" spans="1:18" s="1286" customFormat="1" ht="13.5" thickBot="1">
      <c r="A69" s="891"/>
      <c r="B69" s="892"/>
      <c r="C69" s="297"/>
      <c r="D69" s="910" t="s">
        <v>762</v>
      </c>
      <c r="E69" s="890" t="s">
        <v>763</v>
      </c>
      <c r="F69" s="323">
        <f ca="1">F41</f>
        <v>0</v>
      </c>
      <c r="O69" s="1328" t="s">
        <v>411</v>
      </c>
      <c r="P69" s="1365" t="s">
        <v>872</v>
      </c>
      <c r="Q69" s="1321">
        <f ca="1">C39</f>
        <v>0</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ROUND(C68/F71,0)</f>
        <v>#DIV/0!</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t="e">
        <f ca="1">Q65+Q66</f>
        <v>#DIV/0!</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2432</v>
      </c>
      <c r="B1" s="2574"/>
      <c r="C1" s="2586"/>
      <c r="D1" s="2586"/>
      <c r="E1" s="2575"/>
      <c r="F1" s="2576"/>
      <c r="G1" s="2577"/>
      <c r="J1" s="2580" t="s">
        <v>2311</v>
      </c>
      <c r="K1" s="2581"/>
      <c r="L1" s="2581"/>
      <c r="M1" s="2581"/>
      <c r="N1" s="2581"/>
      <c r="O1" s="2581"/>
      <c r="P1" s="2581"/>
      <c r="Q1" s="2581"/>
      <c r="R1" s="2582"/>
      <c r="S1" s="2583"/>
      <c r="T1" s="2583"/>
      <c r="U1" s="2583"/>
    </row>
    <row r="2" spans="1:22" s="2595" customFormat="1" ht="13.15" customHeight="1">
      <c r="A2" s="1287" t="s">
        <v>2312</v>
      </c>
      <c r="B2" s="2585" t="e">
        <f>IF(D2="——",C40,C40+E2)</f>
        <v>#DIV/0!</v>
      </c>
      <c r="C2" s="2586" t="s">
        <v>2313</v>
      </c>
      <c r="D2" s="3127" t="s">
        <v>3356</v>
      </c>
      <c r="E2" s="3128"/>
      <c r="F2" s="2588"/>
      <c r="G2" s="2589"/>
      <c r="H2" s="2590"/>
      <c r="I2" s="2591"/>
      <c r="J2" s="3421" t="s">
        <v>2314</v>
      </c>
      <c r="K2" s="3422"/>
      <c r="L2" s="2592" t="s">
        <v>2315</v>
      </c>
      <c r="M2" s="2592" t="s">
        <v>2316</v>
      </c>
      <c r="N2" s="2592" t="s">
        <v>2317</v>
      </c>
      <c r="O2" s="2592" t="s">
        <v>2318</v>
      </c>
      <c r="P2" s="2592" t="s">
        <v>2319</v>
      </c>
      <c r="Q2" s="2593" t="s">
        <v>2320</v>
      </c>
      <c r="R2" s="2594" t="s">
        <v>2321</v>
      </c>
      <c r="S2" s="2583"/>
      <c r="T2" s="2583"/>
      <c r="U2" s="2583"/>
      <c r="V2" s="2591"/>
    </row>
    <row r="3" spans="1:22" s="2595" customFormat="1" ht="13.15" customHeight="1">
      <c r="A3" s="2596" t="s">
        <v>2322</v>
      </c>
      <c r="B3" s="2597" t="e">
        <f>ROUND(B2*10000/B4,0)</f>
        <v>#DIV/0!</v>
      </c>
      <c r="C3" s="2586" t="s">
        <v>2323</v>
      </c>
      <c r="D3" s="2586"/>
      <c r="E3" s="2587"/>
      <c r="F3" s="2588"/>
      <c r="G3" s="2589"/>
      <c r="H3" s="2590"/>
      <c r="I3" s="2591"/>
      <c r="J3" s="3423" t="s">
        <v>2324</v>
      </c>
      <c r="K3" s="3424"/>
      <c r="L3" s="2598"/>
      <c r="M3" s="2598"/>
      <c r="N3" s="2598"/>
      <c r="O3" s="2598"/>
      <c r="P3" s="2598"/>
      <c r="Q3" s="2599"/>
      <c r="R3" s="2600">
        <f>SUM(L3:Q3)</f>
        <v>0</v>
      </c>
      <c r="S3" s="2583"/>
      <c r="T3" s="2583"/>
      <c r="U3" s="2583"/>
      <c r="V3" s="2591"/>
    </row>
    <row r="4" spans="1:22" s="2595" customFormat="1" ht="13.15" customHeight="1">
      <c r="A4" s="2601" t="s">
        <v>2325</v>
      </c>
      <c r="B4" s="2602"/>
      <c r="C4" s="2586"/>
      <c r="D4" s="2586"/>
      <c r="E4" s="2587"/>
      <c r="F4" s="2588"/>
      <c r="G4" s="2589"/>
      <c r="H4" s="2590"/>
      <c r="I4" s="2591"/>
      <c r="J4" s="3423" t="s">
        <v>2326</v>
      </c>
      <c r="K4" s="3424"/>
      <c r="L4" s="2603"/>
      <c r="M4" s="2603"/>
      <c r="N4" s="2603"/>
      <c r="O4" s="2603"/>
      <c r="P4" s="2603"/>
      <c r="Q4" s="2604"/>
      <c r="R4" s="2605">
        <f>SUM(L4:Q4)</f>
        <v>0</v>
      </c>
      <c r="S4" s="2583"/>
      <c r="T4" s="2583"/>
      <c r="U4" s="2583"/>
      <c r="V4" s="2591"/>
    </row>
    <row r="5" spans="1:22" s="2595" customFormat="1" ht="13.15" customHeight="1" thickBot="1">
      <c r="A5" s="2606" t="s">
        <v>2327</v>
      </c>
      <c r="B5" s="2607"/>
      <c r="C5" s="2586"/>
      <c r="D5" s="2608"/>
      <c r="E5" s="2588"/>
      <c r="F5" s="2588"/>
      <c r="G5" s="2589"/>
      <c r="H5" s="2590"/>
      <c r="I5" s="2591"/>
      <c r="J5" s="2609" t="s">
        <v>2328</v>
      </c>
      <c r="K5" s="2610"/>
      <c r="L5" s="2610"/>
      <c r="M5" s="2611"/>
      <c r="N5" s="2611"/>
      <c r="O5" s="2611"/>
      <c r="P5" s="2611"/>
      <c r="Q5" s="2611"/>
      <c r="R5" s="2594">
        <f>SUM(R14,R19,R24,R25,R27,R28)</f>
        <v>0</v>
      </c>
      <c r="S5" s="2583"/>
      <c r="T5" s="2583" t="s">
        <v>2329</v>
      </c>
      <c r="U5" s="2583" t="e">
        <f>ROUND(R5*10000/365/R3,1)</f>
        <v>#DIV/0!</v>
      </c>
      <c r="V5" s="2591"/>
    </row>
    <row r="6" spans="1:22" s="2595" customFormat="1" ht="13.15" customHeight="1" thickBot="1">
      <c r="A6" s="3429" t="s">
        <v>2330</v>
      </c>
      <c r="B6" s="3430"/>
      <c r="C6" s="3431"/>
      <c r="D6" s="2612"/>
      <c r="E6" s="2613"/>
      <c r="F6" s="2614"/>
      <c r="G6" s="2615"/>
      <c r="H6" s="2590"/>
      <c r="I6" s="2591"/>
      <c r="J6" s="3415">
        <v>1</v>
      </c>
      <c r="K6" s="3416" t="s">
        <v>2331</v>
      </c>
      <c r="L6" s="2616" t="s">
        <v>2332</v>
      </c>
      <c r="M6" s="2617" t="s">
        <v>2333</v>
      </c>
      <c r="N6" s="2617" t="s">
        <v>2334</v>
      </c>
      <c r="O6" s="2617" t="s">
        <v>2335</v>
      </c>
      <c r="P6" s="2617" t="s">
        <v>2336</v>
      </c>
      <c r="Q6" s="2617" t="s">
        <v>2337</v>
      </c>
      <c r="R6" s="2600" t="s">
        <v>2338</v>
      </c>
      <c r="S6" s="2583"/>
      <c r="T6" s="2583" t="s">
        <v>2339</v>
      </c>
      <c r="U6" s="2583"/>
      <c r="V6" s="2591"/>
    </row>
    <row r="7" spans="1:22" s="2595" customFormat="1" ht="13.15" customHeight="1">
      <c r="A7" s="2618" t="s">
        <v>2340</v>
      </c>
      <c r="B7" s="2619"/>
      <c r="C7" s="2620"/>
      <c r="D7" s="2621">
        <f>SUM(D9,D10,D11,D17,0)</f>
        <v>0</v>
      </c>
      <c r="E7" s="2622" t="e">
        <f>E9+E10+E11+E17</f>
        <v>#DIV/0!</v>
      </c>
      <c r="F7" s="2623"/>
      <c r="G7" s="2624"/>
      <c r="H7" s="2590"/>
      <c r="I7" s="2591"/>
      <c r="J7" s="3415"/>
      <c r="K7" s="3417"/>
      <c r="L7" s="2625" t="s">
        <v>2341</v>
      </c>
      <c r="M7" s="2626"/>
      <c r="N7" s="2602"/>
      <c r="O7" s="2627"/>
      <c r="P7" s="2627"/>
      <c r="Q7" s="2628">
        <v>365</v>
      </c>
      <c r="R7" s="2629">
        <f>ROUND(M7*N7*O7*P7*Q7/10000,0)</f>
        <v>0</v>
      </c>
      <c r="S7" s="2583"/>
      <c r="T7" s="2583" t="s">
        <v>2342</v>
      </c>
      <c r="U7" s="2583"/>
      <c r="V7" s="2591"/>
    </row>
    <row r="8" spans="1:22" s="2595" customFormat="1" ht="13.15" customHeight="1">
      <c r="A8" s="2630" t="s">
        <v>2343</v>
      </c>
      <c r="B8" s="3432" t="s">
        <v>2344</v>
      </c>
      <c r="C8" s="3433"/>
      <c r="D8" s="2631" t="s">
        <v>2345</v>
      </c>
      <c r="E8" s="2632" t="s">
        <v>2346</v>
      </c>
      <c r="F8" s="2633" t="s">
        <v>2347</v>
      </c>
      <c r="G8" s="2634"/>
      <c r="H8" s="2590"/>
      <c r="I8" s="2591"/>
      <c r="J8" s="3415"/>
      <c r="K8" s="3417"/>
      <c r="L8" s="2625" t="s">
        <v>2348</v>
      </c>
      <c r="M8" s="2626"/>
      <c r="N8" s="2602"/>
      <c r="O8" s="2627"/>
      <c r="P8" s="2627"/>
      <c r="Q8" s="2628">
        <v>365</v>
      </c>
      <c r="R8" s="2629">
        <f t="shared" ref="R8:R13" si="0">ROUND(M8*N8*O8*P8*Q8/10000,0)</f>
        <v>0</v>
      </c>
      <c r="S8" s="2583"/>
      <c r="T8" s="2583" t="s">
        <v>2349</v>
      </c>
      <c r="U8" s="2583"/>
      <c r="V8" s="2591"/>
    </row>
    <row r="9" spans="1:22" s="2595" customFormat="1" ht="13.15" customHeight="1">
      <c r="A9" s="2630">
        <v>1</v>
      </c>
      <c r="B9" s="3432" t="s">
        <v>2350</v>
      </c>
      <c r="C9" s="3433"/>
      <c r="D9" s="2631">
        <f>ROUND(D6*E9,0)</f>
        <v>0</v>
      </c>
      <c r="E9" s="2635"/>
      <c r="F9" s="2636" t="s">
        <v>2351</v>
      </c>
      <c r="G9" s="2615"/>
      <c r="H9" s="2590"/>
      <c r="I9" s="2591"/>
      <c r="J9" s="3415"/>
      <c r="K9" s="3417"/>
      <c r="L9" s="2625" t="s">
        <v>2352</v>
      </c>
      <c r="M9" s="2626"/>
      <c r="N9" s="2602"/>
      <c r="O9" s="2627"/>
      <c r="P9" s="2627"/>
      <c r="Q9" s="2628">
        <v>365</v>
      </c>
      <c r="R9" s="2629">
        <f t="shared" si="0"/>
        <v>0</v>
      </c>
      <c r="S9" s="2583"/>
      <c r="T9" s="2583"/>
      <c r="U9" s="2583"/>
      <c r="V9" s="2591"/>
    </row>
    <row r="10" spans="1:22" s="2595" customFormat="1" ht="13.15" customHeight="1">
      <c r="A10" s="2630">
        <v>2</v>
      </c>
      <c r="B10" s="3432" t="s">
        <v>2353</v>
      </c>
      <c r="C10" s="3433"/>
      <c r="D10" s="2631">
        <f>ROUND(D6*E10,0)</f>
        <v>0</v>
      </c>
      <c r="E10" s="2635"/>
      <c r="F10" s="2636" t="s">
        <v>2354</v>
      </c>
      <c r="G10" s="2615"/>
      <c r="H10" s="2590"/>
      <c r="I10" s="2591"/>
      <c r="J10" s="3415"/>
      <c r="K10" s="3417"/>
      <c r="L10" s="2625" t="s">
        <v>2355</v>
      </c>
      <c r="M10" s="2626"/>
      <c r="N10" s="2602"/>
      <c r="O10" s="2627"/>
      <c r="P10" s="2627"/>
      <c r="Q10" s="2628">
        <v>365</v>
      </c>
      <c r="R10" s="2629">
        <f t="shared" si="0"/>
        <v>0</v>
      </c>
      <c r="S10" s="2583"/>
      <c r="T10" s="2583"/>
      <c r="U10" s="2583"/>
      <c r="V10" s="2591"/>
    </row>
    <row r="11" spans="1:22" s="2595" customFormat="1" ht="13.15" customHeight="1">
      <c r="A11" s="2630">
        <v>3</v>
      </c>
      <c r="B11" s="3432" t="s">
        <v>2356</v>
      </c>
      <c r="C11" s="3433"/>
      <c r="D11" s="2631">
        <f>D12+D14+D15+D16</f>
        <v>0</v>
      </c>
      <c r="E11" s="2637" t="e">
        <f>D11/D6</f>
        <v>#DIV/0!</v>
      </c>
      <c r="F11" s="2633"/>
      <c r="G11" s="2634"/>
      <c r="H11" s="2590"/>
      <c r="I11" s="2591"/>
      <c r="J11" s="3415"/>
      <c r="K11" s="3417"/>
      <c r="L11" s="2625" t="s">
        <v>2357</v>
      </c>
      <c r="M11" s="2626"/>
      <c r="N11" s="2602"/>
      <c r="O11" s="2627"/>
      <c r="P11" s="2627"/>
      <c r="Q11" s="2628">
        <v>365</v>
      </c>
      <c r="R11" s="2629">
        <f t="shared" si="0"/>
        <v>0</v>
      </c>
      <c r="S11" s="2583"/>
      <c r="T11" s="2583"/>
      <c r="U11" s="2583"/>
      <c r="V11" s="2591"/>
    </row>
    <row r="12" spans="1:22" s="2595" customFormat="1" ht="13.15" customHeight="1">
      <c r="A12" s="2638" t="s">
        <v>2358</v>
      </c>
      <c r="B12" s="3425" t="s">
        <v>2359</v>
      </c>
      <c r="C12" s="3426"/>
      <c r="D12" s="2639">
        <f>ROUND(D13*1.2%*(1-30%),0)</f>
        <v>0</v>
      </c>
      <c r="E12" s="2640">
        <v>1.2E-2</v>
      </c>
      <c r="F12" s="2633" t="s">
        <v>2360</v>
      </c>
      <c r="G12" s="2634"/>
      <c r="H12" s="2590"/>
      <c r="I12" s="2591"/>
      <c r="J12" s="3415"/>
      <c r="K12" s="3417"/>
      <c r="L12" s="2625" t="s">
        <v>2361</v>
      </c>
      <c r="M12" s="2626"/>
      <c r="N12" s="2602"/>
      <c r="O12" s="2627"/>
      <c r="P12" s="2627"/>
      <c r="Q12" s="2628">
        <v>365</v>
      </c>
      <c r="R12" s="2629">
        <f t="shared" si="0"/>
        <v>0</v>
      </c>
      <c r="S12" s="2583"/>
      <c r="T12" s="2583"/>
      <c r="U12" s="2583"/>
      <c r="V12" s="2591"/>
    </row>
    <row r="13" spans="1:22" s="2595" customFormat="1" ht="13.15" customHeight="1">
      <c r="A13" s="2638"/>
      <c r="B13" s="2641"/>
      <c r="C13" s="2642" t="s">
        <v>2362</v>
      </c>
      <c r="D13" s="2643"/>
      <c r="E13" s="2644"/>
      <c r="F13" s="2633"/>
      <c r="G13" s="2634"/>
      <c r="H13" s="2590"/>
      <c r="I13" s="2591"/>
      <c r="J13" s="3415"/>
      <c r="K13" s="3417"/>
      <c r="L13" s="2625" t="s">
        <v>2363</v>
      </c>
      <c r="M13" s="2626"/>
      <c r="N13" s="2602"/>
      <c r="O13" s="2627"/>
      <c r="P13" s="2627"/>
      <c r="Q13" s="2628">
        <v>365</v>
      </c>
      <c r="R13" s="2629">
        <f t="shared" si="0"/>
        <v>0</v>
      </c>
      <c r="S13" s="2583"/>
      <c r="T13" s="2583"/>
      <c r="U13" s="2583"/>
      <c r="V13" s="2591"/>
    </row>
    <row r="14" spans="1:22" s="2595" customFormat="1" ht="13.15" customHeight="1">
      <c r="A14" s="2638" t="s">
        <v>2364</v>
      </c>
      <c r="B14" s="3425" t="s">
        <v>2365</v>
      </c>
      <c r="C14" s="3426"/>
      <c r="D14" s="2639">
        <f>ROUND(E14*B5/10000,0)</f>
        <v>0</v>
      </c>
      <c r="E14" s="2628"/>
      <c r="F14" s="2633" t="s">
        <v>2366</v>
      </c>
      <c r="G14" s="2634"/>
      <c r="H14" s="2590"/>
      <c r="I14" s="2591"/>
      <c r="J14" s="3415"/>
      <c r="K14" s="3418"/>
      <c r="L14" s="2645" t="s">
        <v>2367</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2368</v>
      </c>
      <c r="B15" s="3425" t="s">
        <v>2369</v>
      </c>
      <c r="C15" s="3426"/>
      <c r="D15" s="2639">
        <f>ROUND(D6*E15,0)</f>
        <v>0</v>
      </c>
      <c r="E15" s="2640">
        <v>5.5E-2</v>
      </c>
      <c r="F15" s="2633" t="s">
        <v>2370</v>
      </c>
      <c r="G15" s="2615"/>
      <c r="H15" s="2590"/>
      <c r="I15" s="2591"/>
      <c r="J15" s="3415">
        <v>2</v>
      </c>
      <c r="K15" s="3416" t="s">
        <v>2371</v>
      </c>
      <c r="L15" s="2625" t="s">
        <v>2372</v>
      </c>
      <c r="M15" s="2626" t="s">
        <v>2373</v>
      </c>
      <c r="N15" s="2626" t="s">
        <v>2374</v>
      </c>
      <c r="O15" s="2627" t="s">
        <v>2375</v>
      </c>
      <c r="P15" s="2627" t="s">
        <v>2337</v>
      </c>
      <c r="Q15" s="2602" t="s">
        <v>2376</v>
      </c>
      <c r="R15" s="2649" t="s">
        <v>2338</v>
      </c>
      <c r="S15" s="2583"/>
      <c r="T15" s="2583"/>
      <c r="U15" s="2583"/>
      <c r="V15" s="2591"/>
    </row>
    <row r="16" spans="1:22" s="2595" customFormat="1" ht="13.15" customHeight="1">
      <c r="A16" s="2638" t="s">
        <v>2377</v>
      </c>
      <c r="B16" s="3425" t="s">
        <v>2378</v>
      </c>
      <c r="C16" s="3426"/>
      <c r="D16" s="2650">
        <f>D6*E16</f>
        <v>0</v>
      </c>
      <c r="E16" s="2651"/>
      <c r="F16" s="2636" t="s">
        <v>2379</v>
      </c>
      <c r="G16" s="2615"/>
      <c r="H16" s="2590"/>
      <c r="I16" s="2591"/>
      <c r="J16" s="3415"/>
      <c r="K16" s="3417"/>
      <c r="L16" s="2625" t="s">
        <v>2380</v>
      </c>
      <c r="M16" s="2626"/>
      <c r="N16" s="2626"/>
      <c r="O16" s="2627"/>
      <c r="P16" s="2628">
        <v>365</v>
      </c>
      <c r="Q16" s="2602"/>
      <c r="R16" s="2649">
        <f>ROUND(M16*N16*O16*P16/10000,0)</f>
        <v>0</v>
      </c>
      <c r="S16" s="2583"/>
      <c r="T16" s="2583"/>
      <c r="U16" s="2583"/>
      <c r="V16" s="2591"/>
    </row>
    <row r="17" spans="1:22" s="2595" customFormat="1" ht="13.15" customHeight="1" thickBot="1">
      <c r="A17" s="2652">
        <v>4</v>
      </c>
      <c r="B17" s="3427" t="s">
        <v>2381</v>
      </c>
      <c r="C17" s="3428"/>
      <c r="D17" s="2653">
        <f>ROUND(D6*E17,0)</f>
        <v>0</v>
      </c>
      <c r="E17" s="2654"/>
      <c r="F17" s="2655" t="s">
        <v>2382</v>
      </c>
      <c r="G17" s="2615"/>
      <c r="H17" s="2590"/>
      <c r="I17" s="2591"/>
      <c r="J17" s="3415"/>
      <c r="K17" s="3417"/>
      <c r="L17" s="2625" t="s">
        <v>2383</v>
      </c>
      <c r="M17" s="2626"/>
      <c r="N17" s="2626"/>
      <c r="O17" s="2627"/>
      <c r="P17" s="2628">
        <v>365</v>
      </c>
      <c r="Q17" s="2602"/>
      <c r="R17" s="2649">
        <f>ROUND(M17*N17*O17*P17/10000,0)</f>
        <v>0</v>
      </c>
      <c r="S17" s="2583"/>
      <c r="T17" s="2583"/>
      <c r="U17" s="2583"/>
      <c r="V17" s="2591"/>
    </row>
    <row r="18" spans="1:22" s="2595" customFormat="1" ht="13.15" customHeight="1" thickBot="1">
      <c r="A18" s="2618" t="s">
        <v>2384</v>
      </c>
      <c r="B18" s="2619"/>
      <c r="C18" s="2619"/>
      <c r="D18" s="2656">
        <f>ROUND(D6*E18,0)</f>
        <v>0</v>
      </c>
      <c r="E18" s="2657"/>
      <c r="F18" s="2658" t="s">
        <v>2385</v>
      </c>
      <c r="G18" s="2615"/>
      <c r="H18" s="2590"/>
      <c r="I18" s="2591"/>
      <c r="J18" s="3415"/>
      <c r="K18" s="3417"/>
      <c r="L18" s="2625" t="s">
        <v>2386</v>
      </c>
      <c r="M18" s="2626"/>
      <c r="N18" s="2626"/>
      <c r="O18" s="2627"/>
      <c r="P18" s="2628">
        <v>365</v>
      </c>
      <c r="Q18" s="2602"/>
      <c r="R18" s="2649">
        <f>ROUND(M18*N18*O18*P18/10000,0)</f>
        <v>0</v>
      </c>
      <c r="S18" s="2583"/>
      <c r="T18" s="2583"/>
      <c r="U18" s="2583"/>
      <c r="V18" s="2591"/>
    </row>
    <row r="19" spans="1:22" s="2595" customFormat="1" ht="13.15" customHeight="1" thickBot="1">
      <c r="A19" s="2659" t="s">
        <v>2387</v>
      </c>
      <c r="B19" s="2613"/>
      <c r="C19" s="2613"/>
      <c r="D19" s="2613"/>
      <c r="E19" s="2613"/>
      <c r="F19" s="2614"/>
      <c r="G19" s="2634"/>
      <c r="H19" s="2590"/>
      <c r="I19" s="2591"/>
      <c r="J19" s="3415"/>
      <c r="K19" s="3418"/>
      <c r="L19" s="2645" t="s">
        <v>2367</v>
      </c>
      <c r="M19" s="2646"/>
      <c r="N19" s="2646">
        <f>SUM(N16:N18)</f>
        <v>0</v>
      </c>
      <c r="O19" s="2647"/>
      <c r="P19" s="2660" t="s">
        <v>2431</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15">
        <v>3</v>
      </c>
      <c r="K20" s="3416" t="s">
        <v>2388</v>
      </c>
      <c r="L20" s="2625" t="s">
        <v>2389</v>
      </c>
      <c r="M20" s="2626" t="s">
        <v>2390</v>
      </c>
      <c r="N20" s="2663" t="s">
        <v>2391</v>
      </c>
      <c r="O20" s="2627" t="s">
        <v>2392</v>
      </c>
      <c r="P20" s="2628" t="s">
        <v>2393</v>
      </c>
      <c r="Q20" s="2602" t="s">
        <v>2394</v>
      </c>
      <c r="R20" s="2649" t="s">
        <v>2395</v>
      </c>
      <c r="S20" s="2583"/>
      <c r="T20" s="2583"/>
      <c r="U20" s="2583"/>
      <c r="V20" s="2591"/>
    </row>
    <row r="21" spans="1:22" s="2595" customFormat="1" ht="13.15" customHeight="1">
      <c r="A21" s="2618"/>
      <c r="B21" s="2619"/>
      <c r="C21" s="2664" t="s">
        <v>2396</v>
      </c>
      <c r="D21" s="2665" t="s">
        <v>2397</v>
      </c>
      <c r="E21" s="2666" t="s">
        <v>2398</v>
      </c>
      <c r="F21" s="2662"/>
      <c r="G21" s="2634"/>
      <c r="H21" s="2590"/>
      <c r="I21" s="2591"/>
      <c r="J21" s="3415"/>
      <c r="K21" s="3417"/>
      <c r="L21" s="2625" t="s">
        <v>2399</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2400</v>
      </c>
      <c r="D22" s="2669" t="s">
        <v>2401</v>
      </c>
      <c r="E22" s="2670" t="s">
        <v>2402</v>
      </c>
      <c r="F22" s="2662"/>
      <c r="G22" s="2583"/>
      <c r="H22" s="2590"/>
      <c r="I22" s="2591"/>
      <c r="J22" s="3415"/>
      <c r="K22" s="3417"/>
      <c r="L22" s="2625" t="s">
        <v>2403</v>
      </c>
      <c r="M22" s="2626"/>
      <c r="N22" s="2626"/>
      <c r="O22" s="2627"/>
      <c r="P22" s="2628">
        <v>365</v>
      </c>
      <c r="Q22" s="2602"/>
      <c r="R22" s="2667">
        <f>ROUND(M22*N22*O22*P22/10000,0)</f>
        <v>0</v>
      </c>
      <c r="S22" s="2583"/>
      <c r="T22" s="2583"/>
      <c r="U22" s="2583"/>
      <c r="V22" s="2591"/>
    </row>
    <row r="23" spans="1:22" s="2595" customFormat="1" ht="13.15" customHeight="1">
      <c r="A23" s="2671">
        <v>1</v>
      </c>
      <c r="B23" s="2672" t="s">
        <v>2404</v>
      </c>
      <c r="C23" s="2673">
        <f>D6</f>
        <v>0</v>
      </c>
      <c r="D23" s="2674">
        <f>C23*(1+D24)</f>
        <v>0</v>
      </c>
      <c r="E23" s="2675">
        <f>D23*(1+E24)</f>
        <v>0</v>
      </c>
      <c r="F23" s="2676"/>
      <c r="G23" s="2677"/>
      <c r="H23" s="2590"/>
      <c r="I23" s="2591"/>
      <c r="J23" s="3415"/>
      <c r="K23" s="3417"/>
      <c r="L23" s="2625" t="s">
        <v>2405</v>
      </c>
      <c r="M23" s="2626"/>
      <c r="N23" s="2626"/>
      <c r="O23" s="2627"/>
      <c r="P23" s="2628">
        <v>365</v>
      </c>
      <c r="Q23" s="2602"/>
      <c r="R23" s="2667">
        <f>ROUND(M23*N23*O23*P23/10000,0)</f>
        <v>0</v>
      </c>
      <c r="S23" s="2583"/>
      <c r="T23" s="2583"/>
      <c r="U23" s="2583"/>
      <c r="V23" s="2591"/>
    </row>
    <row r="24" spans="1:22" s="2595" customFormat="1" ht="13.15" customHeight="1">
      <c r="A24" s="2678"/>
      <c r="B24" s="2679" t="s">
        <v>2406</v>
      </c>
      <c r="C24" s="2680"/>
      <c r="D24" s="2681"/>
      <c r="E24" s="2682"/>
      <c r="F24" s="2683"/>
      <c r="G24" s="2677"/>
      <c r="H24" s="2590"/>
      <c r="I24" s="2591"/>
      <c r="J24" s="3415"/>
      <c r="K24" s="3418"/>
      <c r="L24" s="2645" t="s">
        <v>2367</v>
      </c>
      <c r="M24" s="2646">
        <f>SUM(M21:M23)</f>
        <v>0</v>
      </c>
      <c r="N24" s="2646"/>
      <c r="O24" s="2647"/>
      <c r="P24" s="2660" t="s">
        <v>2431</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2407</v>
      </c>
      <c r="L25" s="2686"/>
      <c r="M25" s="2686"/>
      <c r="N25" s="2686"/>
      <c r="O25" s="2686"/>
      <c r="P25" s="2687"/>
      <c r="Q25" s="2688">
        <v>0</v>
      </c>
      <c r="R25" s="2661">
        <f>ROUND(R14*Q25,0)</f>
        <v>0</v>
      </c>
      <c r="S25" s="2583"/>
      <c r="T25" s="2583"/>
      <c r="U25" s="2583"/>
      <c r="V25" s="2689"/>
    </row>
    <row r="26" spans="1:22" s="2690" customFormat="1" ht="13.15" customHeight="1">
      <c r="A26" s="2671">
        <v>2</v>
      </c>
      <c r="B26" s="2672" t="s">
        <v>2408</v>
      </c>
      <c r="C26" s="2673">
        <f>D7</f>
        <v>0</v>
      </c>
      <c r="D26" s="2674">
        <f>D23*D27</f>
        <v>0</v>
      </c>
      <c r="E26" s="2675">
        <f>E23*E27</f>
        <v>0</v>
      </c>
      <c r="F26" s="2676"/>
      <c r="G26" s="2677"/>
      <c r="H26" s="2590"/>
      <c r="I26" s="2591"/>
      <c r="J26" s="3419">
        <v>5</v>
      </c>
      <c r="K26" s="2691" t="s">
        <v>2409</v>
      </c>
      <c r="L26" s="2692"/>
      <c r="M26" s="2693"/>
      <c r="N26" s="2694" t="s">
        <v>2410</v>
      </c>
      <c r="O26" s="2694" t="s">
        <v>2411</v>
      </c>
      <c r="P26" s="2695" t="s">
        <v>2412</v>
      </c>
      <c r="Q26" s="2695" t="s">
        <v>2413</v>
      </c>
      <c r="R26" s="2600" t="s">
        <v>2338</v>
      </c>
      <c r="S26" s="2634"/>
      <c r="T26" s="2634"/>
      <c r="U26" s="2634"/>
      <c r="V26" s="2689"/>
    </row>
    <row r="27" spans="1:22" s="2595" customFormat="1" ht="13.15" customHeight="1">
      <c r="A27" s="2678"/>
      <c r="B27" s="2679" t="s">
        <v>2414</v>
      </c>
      <c r="C27" s="2696" t="e">
        <f>E7</f>
        <v>#DIV/0!</v>
      </c>
      <c r="D27" s="2681"/>
      <c r="E27" s="2682"/>
      <c r="F27" s="2683"/>
      <c r="G27" s="2677"/>
      <c r="H27" s="2697"/>
      <c r="I27" s="2689"/>
      <c r="J27" s="3420"/>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2415</v>
      </c>
      <c r="F28" s="2683"/>
      <c r="G28" s="2583"/>
      <c r="H28" s="2697"/>
      <c r="I28" s="2689"/>
      <c r="J28" s="2703">
        <v>6</v>
      </c>
      <c r="K28" s="2704" t="s">
        <v>2416</v>
      </c>
      <c r="L28" s="2705" t="s">
        <v>2417</v>
      </c>
      <c r="M28" s="2706"/>
      <c r="N28" s="2705" t="s">
        <v>2418</v>
      </c>
      <c r="O28" s="2707"/>
      <c r="P28" s="2705" t="s">
        <v>2419</v>
      </c>
      <c r="Q28" s="2708">
        <v>1.4999999999999999E-2</v>
      </c>
      <c r="R28" s="2709"/>
      <c r="S28" s="2583"/>
      <c r="T28" s="2583"/>
      <c r="U28" s="2583"/>
      <c r="V28" s="2689"/>
    </row>
    <row r="29" spans="1:22" s="2690" customFormat="1" ht="13.15" customHeight="1">
      <c r="A29" s="2671">
        <v>3</v>
      </c>
      <c r="B29" s="2672" t="s">
        <v>2420</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2414</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2421</v>
      </c>
      <c r="K31" s="2581"/>
      <c r="L31" s="2581"/>
      <c r="M31" s="2581"/>
      <c r="N31" s="2581"/>
      <c r="O31" s="2581"/>
      <c r="P31" s="2581"/>
      <c r="Q31" s="2581"/>
      <c r="R31" s="2582"/>
      <c r="S31" s="2583"/>
      <c r="T31" s="2583"/>
      <c r="U31" s="2583"/>
      <c r="V31" s="2689"/>
    </row>
    <row r="32" spans="1:22" s="2690" customFormat="1" ht="13.15" customHeight="1">
      <c r="A32" s="2671">
        <v>4</v>
      </c>
      <c r="B32" s="2672" t="s">
        <v>2422</v>
      </c>
      <c r="C32" s="2673">
        <f>C23-C26-C29</f>
        <v>0</v>
      </c>
      <c r="D32" s="2674">
        <f>D23-D26-D29</f>
        <v>0</v>
      </c>
      <c r="E32" s="2675">
        <f>E23-E26-E29</f>
        <v>0</v>
      </c>
      <c r="F32" s="2676"/>
      <c r="G32" s="2583"/>
      <c r="H32" s="2590"/>
      <c r="I32" s="2591"/>
      <c r="J32" s="3421" t="s">
        <v>2314</v>
      </c>
      <c r="K32" s="3422"/>
      <c r="L32" s="2592" t="s">
        <v>2315</v>
      </c>
      <c r="M32" s="2592" t="s">
        <v>2316</v>
      </c>
      <c r="N32" s="2592" t="s">
        <v>2317</v>
      </c>
      <c r="O32" s="2592" t="s">
        <v>2318</v>
      </c>
      <c r="P32" s="2592" t="s">
        <v>2319</v>
      </c>
      <c r="Q32" s="2593" t="s">
        <v>2320</v>
      </c>
      <c r="R32" s="2712" t="s">
        <v>2321</v>
      </c>
      <c r="S32" s="2583"/>
      <c r="T32" s="2583"/>
      <c r="U32" s="2583"/>
      <c r="V32" s="2689"/>
    </row>
    <row r="33" spans="1:23" s="2595" customFormat="1" ht="13.15" customHeight="1">
      <c r="A33" s="2671"/>
      <c r="B33" s="2672"/>
      <c r="C33" s="2673"/>
      <c r="D33" s="2713"/>
      <c r="E33" s="2714"/>
      <c r="F33" s="2676"/>
      <c r="G33" s="2583"/>
      <c r="H33" s="2697"/>
      <c r="I33" s="2689"/>
      <c r="J33" s="3423" t="s">
        <v>2324</v>
      </c>
      <c r="K33" s="3424"/>
      <c r="L33" s="2598"/>
      <c r="M33" s="2598"/>
      <c r="N33" s="2598"/>
      <c r="O33" s="2598"/>
      <c r="P33" s="2598"/>
      <c r="Q33" s="2599"/>
      <c r="R33" s="2715">
        <f>SUM(L33:Q33)</f>
        <v>0</v>
      </c>
      <c r="S33" s="2583"/>
      <c r="T33" s="2583"/>
      <c r="U33" s="2583"/>
      <c r="V33" s="2591"/>
    </row>
    <row r="34" spans="1:23" s="2595" customFormat="1" ht="13.15" customHeight="1">
      <c r="A34" s="2671">
        <v>5</v>
      </c>
      <c r="B34" s="2672" t="s">
        <v>2423</v>
      </c>
      <c r="C34" s="2716"/>
      <c r="D34" s="2717"/>
      <c r="E34" s="2718"/>
      <c r="F34" s="2676"/>
      <c r="G34" s="2583"/>
      <c r="H34" s="2697"/>
      <c r="I34" s="2689"/>
      <c r="J34" s="3423" t="s">
        <v>2326</v>
      </c>
      <c r="K34" s="3424"/>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2424</v>
      </c>
      <c r="C35" s="2720"/>
      <c r="D35" s="2721"/>
      <c r="E35" s="2722"/>
      <c r="F35" s="2676"/>
      <c r="G35" s="2723"/>
      <c r="H35" s="2590"/>
      <c r="I35" s="2689"/>
      <c r="J35" s="2609" t="s">
        <v>2328</v>
      </c>
      <c r="K35" s="2610"/>
      <c r="L35" s="2610"/>
      <c r="M35" s="2611"/>
      <c r="N35" s="2611"/>
      <c r="O35" s="2611"/>
      <c r="P35" s="2611"/>
      <c r="Q35" s="2611"/>
      <c r="R35" s="2724">
        <f>R40+R41+R43</f>
        <v>0</v>
      </c>
      <c r="S35" s="2583"/>
      <c r="T35" s="2583" t="s">
        <v>2329</v>
      </c>
      <c r="U35" s="2583"/>
      <c r="V35" s="2591"/>
    </row>
    <row r="36" spans="1:23" s="2595" customFormat="1" ht="13.15" customHeight="1" thickBot="1">
      <c r="A36" s="2671">
        <v>7</v>
      </c>
      <c r="B36" s="2725" t="s">
        <v>2425</v>
      </c>
      <c r="C36" s="2726"/>
      <c r="D36" s="2727"/>
      <c r="E36" s="2728"/>
      <c r="F36" s="2729">
        <f>C36+D36+E36</f>
        <v>0</v>
      </c>
      <c r="G36" s="2583"/>
      <c r="H36" s="2590"/>
      <c r="I36" s="2591"/>
      <c r="J36" s="3415">
        <v>1</v>
      </c>
      <c r="K36" s="3416" t="s">
        <v>2426</v>
      </c>
      <c r="L36" s="2616"/>
      <c r="M36" s="2617"/>
      <c r="N36" s="2617"/>
      <c r="O36" s="2617"/>
      <c r="P36" s="2617"/>
      <c r="Q36" s="2617"/>
      <c r="R36" s="2600" t="s">
        <v>2338</v>
      </c>
      <c r="S36" s="2583"/>
      <c r="T36" s="2583" t="s">
        <v>2339</v>
      </c>
      <c r="U36" s="2583"/>
      <c r="V36" s="2591"/>
    </row>
    <row r="37" spans="1:23" s="2595" customFormat="1" ht="13.15" customHeight="1">
      <c r="A37" s="2671"/>
      <c r="B37" s="2672"/>
      <c r="C37" s="2672"/>
      <c r="D37" s="2672"/>
      <c r="E37" s="2672"/>
      <c r="F37" s="2676"/>
      <c r="G37" s="2583"/>
      <c r="H37" s="2590"/>
      <c r="I37" s="2591"/>
      <c r="J37" s="3415"/>
      <c r="K37" s="3417"/>
      <c r="L37" s="2625"/>
      <c r="M37" s="2626"/>
      <c r="N37" s="2602"/>
      <c r="O37" s="2627"/>
      <c r="P37" s="2627"/>
      <c r="Q37" s="2628"/>
      <c r="R37" s="2629"/>
      <c r="S37" s="2583"/>
      <c r="T37" s="2583" t="s">
        <v>2342</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415"/>
      <c r="K38" s="3417"/>
      <c r="L38" s="2625"/>
      <c r="M38" s="2626"/>
      <c r="N38" s="2602"/>
      <c r="O38" s="2627"/>
      <c r="P38" s="2627"/>
      <c r="Q38" s="2628"/>
      <c r="R38" s="2629"/>
      <c r="S38" s="2583"/>
      <c r="T38" s="2583" t="s">
        <v>2349</v>
      </c>
      <c r="U38" s="2583"/>
      <c r="V38" s="2591"/>
    </row>
    <row r="39" spans="1:23" s="2595" customFormat="1" ht="13.15" customHeight="1">
      <c r="A39" s="2671">
        <v>9</v>
      </c>
      <c r="B39" s="2672" t="s">
        <v>2427</v>
      </c>
      <c r="C39" s="2639" t="e">
        <f>C38</f>
        <v>#DIV/0!</v>
      </c>
      <c r="D39" s="2672">
        <f>D38/(1+D34)^C36</f>
        <v>0</v>
      </c>
      <c r="E39" s="2672">
        <f>E38/(1+E34)^(C36+D36)</f>
        <v>0</v>
      </c>
      <c r="F39" s="2676"/>
      <c r="G39" s="2591"/>
      <c r="H39" s="2590"/>
      <c r="I39" s="2591"/>
      <c r="J39" s="3415"/>
      <c r="K39" s="3417"/>
      <c r="L39" s="2625"/>
      <c r="M39" s="2626"/>
      <c r="N39" s="2602"/>
      <c r="O39" s="2627"/>
      <c r="P39" s="2627"/>
      <c r="Q39" s="2628"/>
      <c r="R39" s="2629"/>
      <c r="S39" s="2583"/>
      <c r="T39" s="2583"/>
      <c r="U39" s="2583"/>
      <c r="V39" s="2591"/>
    </row>
    <row r="40" spans="1:23" s="2595" customFormat="1" ht="13.15" customHeight="1">
      <c r="A40" s="2730">
        <v>10</v>
      </c>
      <c r="B40" s="2672" t="s">
        <v>2428</v>
      </c>
      <c r="C40" s="2731" t="e">
        <f>C39+D39+E39</f>
        <v>#DIV/0!</v>
      </c>
      <c r="D40" s="2732"/>
      <c r="E40" s="2732"/>
      <c r="F40" s="2733"/>
      <c r="G40" s="2583"/>
      <c r="H40" s="2590"/>
      <c r="I40" s="2591"/>
      <c r="J40" s="3415"/>
      <c r="K40" s="3418"/>
      <c r="L40" s="2645" t="s">
        <v>2367</v>
      </c>
      <c r="M40" s="2646"/>
      <c r="N40" s="2646"/>
      <c r="O40" s="2647"/>
      <c r="P40" s="2647"/>
      <c r="Q40" s="2648"/>
      <c r="R40" s="2594">
        <f>SUM(R37:R39)</f>
        <v>0</v>
      </c>
      <c r="S40" s="2583"/>
      <c r="T40" s="2583"/>
      <c r="U40" s="2583"/>
      <c r="V40" s="2591"/>
    </row>
    <row r="41" spans="1:23" s="2595" customFormat="1" ht="13.15" customHeight="1" thickBot="1">
      <c r="A41" s="2734">
        <v>11</v>
      </c>
      <c r="B41" s="2735" t="s">
        <v>2429</v>
      </c>
      <c r="C41" s="2735" t="e">
        <f>ROUND(C40*10000/B4,0)</f>
        <v>#DIV/0!</v>
      </c>
      <c r="D41" s="2736"/>
      <c r="E41" s="2736"/>
      <c r="F41" s="2737"/>
      <c r="G41" s="2590"/>
      <c r="H41" s="2590"/>
      <c r="I41" s="2591"/>
      <c r="J41" s="2684">
        <v>2</v>
      </c>
      <c r="K41" s="2685" t="s">
        <v>2407</v>
      </c>
      <c r="L41" s="2686"/>
      <c r="M41" s="2686"/>
      <c r="N41" s="2686"/>
      <c r="O41" s="2686"/>
      <c r="P41" s="2687"/>
      <c r="Q41" s="2688"/>
      <c r="R41" s="2661">
        <f>ROUND(R40*Q41,0)</f>
        <v>0</v>
      </c>
      <c r="S41" s="2583"/>
      <c r="T41" s="2583"/>
      <c r="U41" s="2634"/>
      <c r="V41" s="2591"/>
    </row>
    <row r="42" spans="1:23" s="2595" customFormat="1" ht="13.15" customHeight="1">
      <c r="G42" s="2590"/>
      <c r="H42" s="2590"/>
      <c r="I42" s="2591"/>
      <c r="J42" s="3419">
        <v>3</v>
      </c>
      <c r="K42" s="2691" t="s">
        <v>2409</v>
      </c>
      <c r="L42" s="2692"/>
      <c r="M42" s="2693"/>
      <c r="N42" s="2694" t="s">
        <v>2410</v>
      </c>
      <c r="O42" s="2694" t="s">
        <v>2411</v>
      </c>
      <c r="P42" s="2695" t="s">
        <v>2412</v>
      </c>
      <c r="Q42" s="2695" t="s">
        <v>2413</v>
      </c>
      <c r="R42" s="2600" t="s">
        <v>2338</v>
      </c>
      <c r="S42" s="2634"/>
      <c r="T42" s="2634"/>
      <c r="U42" s="2583"/>
      <c r="V42" s="2591"/>
    </row>
    <row r="43" spans="1:23" ht="13.15" customHeight="1">
      <c r="A43" s="2595"/>
      <c r="B43" s="2595"/>
      <c r="C43" s="2595"/>
      <c r="D43" s="2595"/>
      <c r="E43" s="2595"/>
      <c r="F43" s="2595"/>
      <c r="I43" s="2578"/>
      <c r="J43" s="3420"/>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2416</v>
      </c>
      <c r="L44" s="2740" t="s">
        <v>2417</v>
      </c>
      <c r="M44" s="2706"/>
      <c r="N44" s="2740" t="s">
        <v>2418</v>
      </c>
      <c r="O44" s="2706"/>
      <c r="P44" s="2740" t="s">
        <v>2419</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19" t="s">
        <v>1658</v>
      </c>
      <c r="B1" s="1720"/>
      <c r="C1" s="1720"/>
      <c r="D1" s="1720"/>
      <c r="E1" s="1721"/>
      <c r="F1" s="2470"/>
      <c r="G1" s="458"/>
      <c r="H1" s="458"/>
      <c r="I1" s="458"/>
      <c r="J1" s="458"/>
      <c r="K1" s="458"/>
      <c r="L1" s="458"/>
      <c r="M1" s="458"/>
      <c r="N1" s="458"/>
      <c r="O1" s="458"/>
      <c r="P1" s="458"/>
      <c r="Q1" s="458"/>
      <c r="R1" s="458"/>
      <c r="S1" s="458"/>
    </row>
    <row r="2" spans="1:22" ht="15.75">
      <c r="A2" s="1722" t="s">
        <v>1462</v>
      </c>
      <c r="B2" s="805">
        <f ca="1">SUMIF(B6:B13,"&lt;&gt;#ref!",B6:B13)</f>
        <v>-278</v>
      </c>
      <c r="C2" s="1723" t="s">
        <v>1651</v>
      </c>
      <c r="D2" s="1724" t="s">
        <v>1652</v>
      </c>
      <c r="E2" s="2384">
        <f>SUM(E6:E13)</f>
        <v>0</v>
      </c>
      <c r="F2" s="2470"/>
      <c r="G2" s="458"/>
      <c r="H2" s="458"/>
      <c r="I2" s="458"/>
      <c r="J2" s="458"/>
      <c r="K2" s="458"/>
      <c r="L2" s="458"/>
      <c r="M2" s="458"/>
      <c r="N2" s="458"/>
      <c r="O2" s="458"/>
      <c r="P2" s="458"/>
      <c r="Q2" s="458"/>
      <c r="R2" s="458"/>
      <c r="S2" s="458"/>
    </row>
    <row r="3" spans="1:22" ht="15.75">
      <c r="A3" s="1722" t="s">
        <v>686</v>
      </c>
      <c r="B3" s="2378" t="e">
        <f ca="1">ROUND(B2*10000/E2,0)</f>
        <v>#DIV/0!</v>
      </c>
      <c r="C3" s="1723"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34" t="s">
        <v>1654</v>
      </c>
      <c r="C5" s="3435"/>
      <c r="D5" s="2471"/>
      <c r="E5" s="1725" t="s">
        <v>1655</v>
      </c>
      <c r="F5" s="128" t="s">
        <v>1656</v>
      </c>
      <c r="G5" s="458"/>
      <c r="H5" s="458"/>
      <c r="I5" s="458"/>
      <c r="J5" s="458"/>
      <c r="K5" s="458"/>
      <c r="L5" s="458"/>
      <c r="M5" s="458"/>
      <c r="N5" s="458"/>
      <c r="O5" s="458"/>
      <c r="P5" s="458"/>
      <c r="Q5" s="458"/>
      <c r="R5" s="458"/>
      <c r="S5" s="458"/>
    </row>
    <row r="6" spans="1:22">
      <c r="A6" s="2381">
        <f>'数据-取费表'!AN6</f>
        <v>0</v>
      </c>
      <c r="B6" s="2379" t="e">
        <f ca="1">IF(F6="是",'数据-取费表'!AO6,0)</f>
        <v>#REF!</v>
      </c>
      <c r="C6" s="1723" t="s">
        <v>1651</v>
      </c>
      <c r="D6" s="2470"/>
      <c r="E6" s="2383">
        <f>IF(OR(A6=0,F6="否"),0,'数据-取费表'!K6+'数据-取费表'!S6)</f>
        <v>0</v>
      </c>
      <c r="F6" s="1726" t="s">
        <v>1657</v>
      </c>
      <c r="G6" s="458"/>
      <c r="H6" s="458"/>
      <c r="I6" s="458"/>
      <c r="J6" s="458"/>
      <c r="K6" s="458"/>
      <c r="L6" s="458"/>
      <c r="M6" s="458"/>
      <c r="N6" s="458"/>
      <c r="O6" s="458"/>
      <c r="P6" s="458"/>
      <c r="Q6" s="458"/>
      <c r="R6" s="458"/>
      <c r="S6" s="458"/>
    </row>
    <row r="7" spans="1:22">
      <c r="A7" s="2381" t="str">
        <f>'数据-取费表'!AN7</f>
        <v>收益法</v>
      </c>
      <c r="B7" s="2379">
        <f ca="1">IF(F7="是",'数据-取费表'!AO7,0)</f>
        <v>0</v>
      </c>
      <c r="C7" s="1723" t="s">
        <v>1651</v>
      </c>
      <c r="D7" s="2470"/>
      <c r="E7" s="2383">
        <f>IF(OR(A7=0,F7="否"),0,'数据-取费表'!K7+'数据-取费表'!S7)</f>
        <v>0</v>
      </c>
      <c r="F7" s="1726" t="s">
        <v>1657</v>
      </c>
      <c r="G7" s="458"/>
      <c r="H7" s="458"/>
      <c r="I7" s="458"/>
      <c r="J7" s="458"/>
      <c r="K7" s="458"/>
      <c r="L7" s="458"/>
      <c r="M7" s="458"/>
      <c r="N7" s="458"/>
      <c r="O7" s="458"/>
      <c r="P7" s="458"/>
      <c r="Q7" s="458"/>
      <c r="R7" s="458"/>
      <c r="S7" s="458"/>
    </row>
    <row r="8" spans="1:22">
      <c r="A8" s="2381" t="str">
        <f>'数据-取费表'!AN8</f>
        <v>收益法车</v>
      </c>
      <c r="B8" s="2379">
        <f ca="1">IF(F8="是",'数据-取费表'!AO8,0)</f>
        <v>-273</v>
      </c>
      <c r="C8" s="1723" t="s">
        <v>1651</v>
      </c>
      <c r="D8" s="2470"/>
      <c r="E8" s="2383">
        <f>IF(OR(A8=0,F8="否"),0,'数据-取费表'!K8+'数据-取费表'!S8)</f>
        <v>0</v>
      </c>
      <c r="F8" s="1726" t="s">
        <v>1657</v>
      </c>
      <c r="G8" s="458"/>
      <c r="H8" s="458"/>
      <c r="I8" s="458"/>
      <c r="J8" s="458"/>
      <c r="K8" s="458"/>
      <c r="L8" s="458"/>
      <c r="M8" s="458"/>
      <c r="N8" s="458"/>
      <c r="O8" s="458"/>
      <c r="P8" s="458"/>
      <c r="Q8" s="458"/>
      <c r="R8" s="458"/>
      <c r="S8" s="458"/>
    </row>
    <row r="9" spans="1:22">
      <c r="A9" s="2381" t="str">
        <f>'数据-取费表'!AN9</f>
        <v>收益法机</v>
      </c>
      <c r="B9" s="2379">
        <f ca="1">IF(F9="是",'数据-取费表'!AO9,0)</f>
        <v>-5</v>
      </c>
      <c r="C9" s="1723" t="s">
        <v>1651</v>
      </c>
      <c r="D9" s="2470"/>
      <c r="E9" s="2383">
        <f>IF(OR(A9=0,F9="否"),0,'数据-取费表'!K9+'数据-取费表'!S9)</f>
        <v>0</v>
      </c>
      <c r="F9" s="1726"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3" t="s">
        <v>1651</v>
      </c>
      <c r="D10" s="2470"/>
      <c r="E10" s="2383">
        <f>IF(OR(A10=0,F10="否"),0,'数据-取费表'!K10+'数据-取费表'!S10)</f>
        <v>0</v>
      </c>
      <c r="F10" s="1726"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3" t="s">
        <v>1651</v>
      </c>
      <c r="D11" s="2470"/>
      <c r="E11" s="2383">
        <f>IF(OR(A11=0,F11="否"),0,'数据-取费表'!K11+'数据-取费表'!S11)</f>
        <v>0</v>
      </c>
      <c r="F11" s="1726"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3" t="s">
        <v>1651</v>
      </c>
      <c r="D12" s="2470"/>
      <c r="E12" s="2383">
        <f>IF(OR(A12=0,F12="否"),0,'数据-取费表'!K12+'数据-取费表'!S12)</f>
        <v>0</v>
      </c>
      <c r="F12" s="1726"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27" t="s">
        <v>1651</v>
      </c>
      <c r="D13" s="2472"/>
      <c r="E13" s="2383">
        <f>IF(OR(A13=0,F13="否"),0,'数据-取费表'!K13+'数据-取费表'!S13)</f>
        <v>0</v>
      </c>
      <c r="F13" s="1726"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4" t="s">
        <v>898</v>
      </c>
    </row>
    <row r="3" spans="1:1" ht="18">
      <c r="A3" s="1375" t="str">
        <f>项目基本情况!B5&amp;"："</f>
        <v>：</v>
      </c>
    </row>
    <row r="4" spans="1:1" ht="36">
      <c r="A4" s="1376" t="str">
        <f>"受贵公司委托，我公司对"&amp;项目基本情况!S1&amp;"进行了预评估。"</f>
        <v>受贵公司委托，我公司对北京市房山区城关中心区出让国有建设用地使用权及在建建筑物房地产抵押价值进行了预评估。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中心区出让国有建设用地使用权及在建建筑物房地产，为所有。根据《国有土地使用证》[]，估价对象（分摊）出让国有建设用地使用权面积为15478.33平方米，建筑面积为64756.12平方米。</v>
      </c>
    </row>
    <row r="8" spans="1:1" ht="57.75">
      <c r="A8" s="1379" t="s">
        <v>901</v>
      </c>
    </row>
    <row r="9" spans="1:1" ht="18.75">
      <c r="A9" s="1378" t="s">
        <v>902</v>
      </c>
    </row>
    <row r="10" spans="1:1" ht="72">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2024年10月30日（评估专业人员实地查勘之日）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Normal="70" zoomScaleSheetLayoutView="100" workbookViewId="0">
      <selection activeCell="H13" sqref="H1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4059</v>
      </c>
      <c r="D1" s="1265" t="s">
        <v>4056</v>
      </c>
      <c r="E1" s="1266" t="s">
        <v>678</v>
      </c>
      <c r="F1" s="993">
        <f ca="1">J53</f>
        <v>-1.1200000000000001</v>
      </c>
      <c r="G1" s="1280">
        <f>MATCH(C1,'数据-取费表'!A6:A16,0)+5</f>
        <v>8</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f ca="1">C40+J29+L46</f>
        <v>-273</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f ca="1">C6+C10+C12</f>
        <v>302</v>
      </c>
      <c r="D5" s="1267" t="s">
        <v>693</v>
      </c>
      <c r="E5" s="1002"/>
      <c r="F5" s="1003"/>
      <c r="G5" s="1286"/>
      <c r="H5" s="290">
        <v>1</v>
      </c>
      <c r="I5" s="291" t="s">
        <v>692</v>
      </c>
      <c r="J5" s="1001">
        <f ca="1">J6+J10+J12</f>
        <v>0</v>
      </c>
      <c r="K5" s="1267" t="s">
        <v>693</v>
      </c>
      <c r="L5" s="1002"/>
      <c r="M5" s="1003"/>
    </row>
    <row r="6" spans="1:37" ht="18" customHeight="1">
      <c r="A6" s="1000" t="s">
        <v>398</v>
      </c>
      <c r="B6" s="3412" t="s">
        <v>694</v>
      </c>
      <c r="C6" s="1005">
        <f ca="1">ROUND(F6*F8*F7*(1-F9)/10000,0)</f>
        <v>302</v>
      </c>
      <c r="D6" s="146" t="s">
        <v>2108</v>
      </c>
      <c r="E6" s="293" t="s">
        <v>696</v>
      </c>
      <c r="F6" s="294">
        <f ca="1">INDIRECT("'数据-取费表'!u"&amp;$G$1)</f>
        <v>400</v>
      </c>
      <c r="G6" s="1286"/>
      <c r="H6" s="1000" t="s">
        <v>398</v>
      </c>
      <c r="I6" s="3412" t="s">
        <v>694</v>
      </c>
      <c r="J6" s="292">
        <f ca="1">ROUND(M6*M8*M7*(1-M9)/10000,0)</f>
        <v>0</v>
      </c>
      <c r="K6" s="146" t="s">
        <v>2107</v>
      </c>
      <c r="L6" s="293" t="s">
        <v>696</v>
      </c>
      <c r="M6" s="294">
        <f ca="1">INDIRECT("'数据-取费表'!z"&amp;$G$1)</f>
        <v>0</v>
      </c>
    </row>
    <row r="7" spans="1:37" ht="18" customHeight="1">
      <c r="A7" s="1004"/>
      <c r="B7" s="3413"/>
      <c r="C7" s="1006"/>
      <c r="D7" s="298"/>
      <c r="E7" s="1007" t="s">
        <v>697</v>
      </c>
      <c r="F7" s="294">
        <f ca="1">IF(INDIRECT("'数据-取费表'!ah"&amp;$G$1)="",INDIRECT("'数据-取费表'!k"&amp;$G$1),INDIRECT("'数据-取费表'!ah"&amp;$G$1))</f>
        <v>698</v>
      </c>
      <c r="G7" s="1286"/>
      <c r="H7" s="295"/>
      <c r="I7" s="3413"/>
      <c r="J7" s="297"/>
      <c r="K7" s="298"/>
      <c r="L7" s="293" t="s">
        <v>697</v>
      </c>
      <c r="M7" s="294">
        <f ca="1">F7</f>
        <v>698</v>
      </c>
    </row>
    <row r="8" spans="1:37" ht="18" customHeight="1">
      <c r="A8" s="295"/>
      <c r="B8" s="3413"/>
      <c r="C8" s="297"/>
      <c r="D8" s="298"/>
      <c r="E8" s="293" t="s">
        <v>698</v>
      </c>
      <c r="F8" s="294">
        <f ca="1">INDIRECT("'数据-取费表'!ai"&amp;$G$1)</f>
        <v>12</v>
      </c>
      <c r="G8" s="1286"/>
      <c r="H8" s="295"/>
      <c r="I8" s="3413"/>
      <c r="J8" s="297"/>
      <c r="K8" s="298"/>
      <c r="L8" s="293" t="s">
        <v>698</v>
      </c>
      <c r="M8" s="294">
        <f ca="1">INDIRECT("'数据-取费表'!ai"&amp;$G$1)</f>
        <v>12</v>
      </c>
    </row>
    <row r="9" spans="1:37" ht="18" customHeight="1">
      <c r="A9" s="295"/>
      <c r="B9" s="3414"/>
      <c r="C9" s="297"/>
      <c r="D9" s="298"/>
      <c r="E9" s="293" t="s">
        <v>699</v>
      </c>
      <c r="F9" s="303">
        <f ca="1">INDIRECT("'数据-取费表'!w"&amp;$G$1)</f>
        <v>0.1</v>
      </c>
      <c r="G9" s="1286"/>
      <c r="H9" s="295"/>
      <c r="I9" s="3414"/>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2115</v>
      </c>
      <c r="E10" s="304" t="s">
        <v>701</v>
      </c>
      <c r="F10" s="1047" t="s">
        <v>4060</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1</v>
      </c>
      <c r="G13" s="1286"/>
      <c r="H13" s="1010">
        <v>2</v>
      </c>
      <c r="I13" s="1011" t="s">
        <v>704</v>
      </c>
      <c r="J13" s="999">
        <f ca="1">ROUND(J14*J15,0)</f>
        <v>0</v>
      </c>
      <c r="K13" s="1018" t="s">
        <v>705</v>
      </c>
      <c r="L13" s="1293"/>
      <c r="M13" s="1294"/>
    </row>
    <row r="14" spans="1:37" ht="18" customHeight="1">
      <c r="A14" s="922" t="s">
        <v>397</v>
      </c>
      <c r="B14" s="293" t="s">
        <v>707</v>
      </c>
      <c r="C14" s="309">
        <f ca="1">INDIRECT("'数据-取费表'!m"&amp;$G$1)+INDIRECT("'数据-取费表'!t"&amp;$G$1)</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0.03</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ROUND(INDIRECT("'数据-取费表'!m"&amp;$G$1)*F16,0)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ROUND(F17*(F43+INDIRECT("'数据-取费表'!S"&amp;$G$1))/10000,0)</f>
        <v>0</v>
      </c>
      <c r="D17" s="293" t="s">
        <v>717</v>
      </c>
      <c r="E17" s="293" t="s">
        <v>718</v>
      </c>
      <c r="F17" s="23">
        <f>'数据-取费表'!B35</f>
        <v>200</v>
      </c>
      <c r="G17" s="1297"/>
      <c r="H17" s="922" t="s">
        <v>398</v>
      </c>
      <c r="I17" s="293"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ROUND(J6*M18/(1+'数据-取费表'!C42),2)</f>
        <v>0</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IF(K19="按租金收入计税",ROUND(J6*M19/(1+'数据-取费表'!C42),2),ROUND(C29*M19*0.7,2))</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ROUND(M20*M21/10000,2)</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ROUND(J14*M22,2)</f>
        <v>0</v>
      </c>
      <c r="K22" s="1250" t="s">
        <v>739</v>
      </c>
      <c r="L22" s="293" t="s">
        <v>712</v>
      </c>
      <c r="M22" s="319">
        <f ca="1">INDIRECT("'数据-取费表'!Ak"&amp;$G$1)</f>
        <v>0.01</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ROUND(J13*M23,2)</f>
        <v>0</v>
      </c>
      <c r="K23" s="1250" t="s">
        <v>743</v>
      </c>
      <c r="L23" s="293" t="s">
        <v>712</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f ca="1">ROUND(J5*M24,2)</f>
        <v>0</v>
      </c>
      <c r="K24" s="1023" t="s">
        <v>748</v>
      </c>
      <c r="L24" s="1021" t="s">
        <v>712</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f ca="1">ROUND(J26/(1+F40)^F41,0)</f>
        <v>0</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53</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ROUND(IF(AND(项目基本情况!B11="自然人",项目基本情况!B10="北京市"),C6*F31/(1+'数据-取费表'!C42),C32+C33+C34),2)</f>
        <v>50.33</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IF(项目基本情况!B11="自然人","——",ROUND(C6*F32/(1+'数据-取费表'!C42),2))</f>
        <v>15.82</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IF(项目基本情况!B11="自然人","——",IF(D33="按租金收入计税",ROUND(C6*F33/(1+'数据-取费表'!C42),2),IF(D33="按房产原值计税",ROUND(C29*F33*0.7,2),INDIRECT("'数据-取费表'!Aj"&amp;$G$1))))</f>
        <v>34.51</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IF(项目基本情况!B11="自然人","——",ROUND(F34*F35/10000,2))</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ROUND(C29*F36,2)</f>
        <v>0</v>
      </c>
      <c r="D36" s="1250" t="s">
        <v>771</v>
      </c>
      <c r="E36" s="293" t="s">
        <v>712</v>
      </c>
      <c r="F36" s="319">
        <f ca="1">INDIRECT("'数据-取费表'!Ak"&amp;$G$1)</f>
        <v>0.01</v>
      </c>
      <c r="G36" s="1286"/>
      <c r="H36" s="2464"/>
      <c r="I36" s="1299"/>
      <c r="J36" s="1300"/>
      <c r="K36" s="2322"/>
      <c r="L36" s="2464"/>
      <c r="M36" s="2464"/>
    </row>
    <row r="37" spans="1:18" ht="18" customHeight="1">
      <c r="A37" s="922" t="s">
        <v>437</v>
      </c>
      <c r="B37" s="293" t="s">
        <v>742</v>
      </c>
      <c r="C37" s="21">
        <f ca="1">ROUND(C13*F37,2)</f>
        <v>0</v>
      </c>
      <c r="D37" s="1250" t="s">
        <v>743</v>
      </c>
      <c r="E37" s="293" t="s">
        <v>712</v>
      </c>
      <c r="F37" s="320">
        <f ca="1">INDIRECT("'数据-取费表'!Al"&amp;$G$1)</f>
        <v>1E-3</v>
      </c>
      <c r="G37" s="1286"/>
      <c r="H37" s="2464"/>
      <c r="I37" s="1299"/>
      <c r="J37" s="1300"/>
      <c r="K37" s="2322"/>
      <c r="L37" s="2464"/>
      <c r="M37" s="2464"/>
    </row>
    <row r="38" spans="1:18" ht="18" customHeight="1" thickBot="1">
      <c r="A38" s="1020" t="s">
        <v>683</v>
      </c>
      <c r="B38" s="1021" t="s">
        <v>728</v>
      </c>
      <c r="C38" s="1022">
        <f ca="1">ROUND(C5*F38,2)</f>
        <v>3.02</v>
      </c>
      <c r="D38" s="1023" t="s">
        <v>748</v>
      </c>
      <c r="E38" s="1021" t="s">
        <v>712</v>
      </c>
      <c r="F38" s="1017">
        <f ca="1">INDIRECT("'数据-取费表'!Am"&amp;$G$1)</f>
        <v>0.01</v>
      </c>
      <c r="G38" s="1286"/>
      <c r="H38" s="2464"/>
      <c r="I38" s="1299"/>
      <c r="J38" s="1300"/>
      <c r="K38" s="2462"/>
      <c r="L38" s="2464"/>
      <c r="M38" s="2464"/>
    </row>
    <row r="39" spans="1:18" ht="24.6" customHeight="1" thickTop="1">
      <c r="A39" s="1010" t="s">
        <v>394</v>
      </c>
      <c r="B39" s="1025" t="s">
        <v>752</v>
      </c>
      <c r="C39" s="301">
        <f ca="1">C5-C30</f>
        <v>249</v>
      </c>
      <c r="D39" s="1026" t="s">
        <v>753</v>
      </c>
      <c r="E39" s="1027"/>
      <c r="F39" s="1028"/>
      <c r="G39" s="1286"/>
      <c r="H39" s="2464"/>
      <c r="I39" s="1299"/>
      <c r="J39" s="1300"/>
      <c r="K39" s="2462"/>
      <c r="L39" s="2464"/>
      <c r="M39" s="2464"/>
    </row>
    <row r="40" spans="1:18" ht="18" customHeight="1">
      <c r="A40" s="290" t="s">
        <v>395</v>
      </c>
      <c r="B40" s="291" t="s">
        <v>774</v>
      </c>
      <c r="C40" s="292">
        <f ca="1">ROUND(C39*(1-((1+F42)/(1+F40))^F41)/(F40-F42),0)</f>
        <v>-273</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f ca="1">IF(INDIRECT("'数据-取费表'!af"&amp;$G$1)=0,INDIRECT("'数据-取费表'!ae"&amp;$G$1),INDIRECT("'数据-取费表'!af"&amp;$G$1))</f>
        <v>-1.1200000000000001</v>
      </c>
      <c r="G41" s="1286"/>
      <c r="H41" s="120"/>
      <c r="I41" s="1299"/>
      <c r="J41" s="1300"/>
      <c r="K41" s="2322"/>
      <c r="L41" s="120"/>
      <c r="M41" s="120"/>
    </row>
    <row r="42" spans="1:18" ht="18" customHeight="1">
      <c r="A42" s="299"/>
      <c r="B42" s="300"/>
      <c r="C42" s="301"/>
      <c r="D42" s="318"/>
      <c r="E42" s="293" t="s">
        <v>766</v>
      </c>
      <c r="F42" s="303">
        <f ca="1">INDIRECT("'数据-取费表'!v"&amp;$G$1)</f>
        <v>0.02</v>
      </c>
      <c r="G42" s="1286"/>
      <c r="H42" s="120"/>
      <c r="I42" s="1299"/>
      <c r="J42" s="1300"/>
      <c r="K42" s="2322"/>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str">
        <f ca="1">IF(M47="住宅",0,IF(L48&gt;J51,L60,J60))</f>
        <v>0</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4030</v>
      </c>
      <c r="K47" s="1317" t="s">
        <v>816</v>
      </c>
      <c r="L47" s="1318">
        <f ca="1">INDIRECT("'数据-取费表'!d"&amp;$G$1)</f>
        <v>0</v>
      </c>
      <c r="M47" s="1282" t="str">
        <f>IF(ISNUMBER(FIND("住宅",C1)),"住宅","非住宅")</f>
        <v>非住宅</v>
      </c>
      <c r="O47" s="1319" t="s">
        <v>403</v>
      </c>
      <c r="P47" s="1320" t="s">
        <v>817</v>
      </c>
      <c r="Q47" s="1321">
        <f ca="1">C40+J29</f>
        <v>-273</v>
      </c>
      <c r="R47" s="1321" t="s">
        <v>818</v>
      </c>
    </row>
    <row r="48" spans="1:18" s="1286" customFormat="1" ht="28.5" thickBot="1">
      <c r="A48" s="1041" t="s">
        <v>438</v>
      </c>
      <c r="B48" s="291" t="s">
        <v>692</v>
      </c>
      <c r="C48" s="1262">
        <f ca="1">C49+C53+C55</f>
        <v>0</v>
      </c>
      <c r="D48" s="1043"/>
      <c r="E48" s="1044"/>
      <c r="F48" s="902"/>
      <c r="G48" s="680"/>
      <c r="H48" s="681"/>
      <c r="I48" s="1322" t="s">
        <v>819</v>
      </c>
      <c r="J48" s="1323" t="s">
        <v>4058</v>
      </c>
      <c r="K48" s="1324" t="s">
        <v>820</v>
      </c>
      <c r="L48" s="1325">
        <f ca="1">INDIRECT("'数据-取费表'!f"&amp;$G$1)</f>
        <v>0</v>
      </c>
      <c r="O48" s="1319" t="s">
        <v>404</v>
      </c>
      <c r="P48" s="1320" t="s">
        <v>821</v>
      </c>
      <c r="Q48" s="1321" t="str">
        <f ca="1">J60</f>
        <v>0</v>
      </c>
      <c r="R48" s="1321" t="s">
        <v>822</v>
      </c>
    </row>
    <row r="49" spans="1:18" s="1286" customFormat="1" ht="13.5" thickBot="1">
      <c r="A49" s="915" t="s">
        <v>439</v>
      </c>
      <c r="B49" s="1273" t="s">
        <v>779</v>
      </c>
      <c r="C49" s="1045">
        <f ca="1">ROUND(F49*F51*F50*(1-F52)/10000,0)</f>
        <v>0</v>
      </c>
      <c r="D49" s="986" t="s">
        <v>2107</v>
      </c>
      <c r="E49" s="1274" t="s">
        <v>780</v>
      </c>
      <c r="F49" s="991"/>
      <c r="H49" s="681"/>
      <c r="I49" s="1322" t="s">
        <v>823</v>
      </c>
      <c r="J49" s="1326">
        <v>2025</v>
      </c>
      <c r="K49" s="1324" t="s">
        <v>824</v>
      </c>
      <c r="L49" s="1327"/>
      <c r="O49" s="1328" t="s">
        <v>405</v>
      </c>
      <c r="P49" s="1320" t="s">
        <v>825</v>
      </c>
      <c r="Q49" s="1321">
        <f ca="1">C29</f>
        <v>0</v>
      </c>
      <c r="R49" s="1321" t="s">
        <v>818</v>
      </c>
    </row>
    <row r="50" spans="1:18" s="1286" customFormat="1" ht="13.5" thickBot="1">
      <c r="A50" s="916"/>
      <c r="B50" s="919"/>
      <c r="C50" s="1049"/>
      <c r="D50" s="893"/>
      <c r="E50" s="987" t="s">
        <v>697</v>
      </c>
      <c r="F50" s="988">
        <f ca="1">F7</f>
        <v>698</v>
      </c>
      <c r="H50" s="681"/>
      <c r="I50" s="1322" t="s">
        <v>826</v>
      </c>
      <c r="J50" s="1329">
        <f>SUMPRODUCT((I63:I65=J47)*(J62:L62=J48)*(J63:L65))</f>
        <v>60</v>
      </c>
      <c r="K50" s="1324" t="s">
        <v>827</v>
      </c>
      <c r="L50" s="1327"/>
      <c r="M50" s="1330"/>
      <c r="O50" s="1328" t="s">
        <v>406</v>
      </c>
      <c r="P50" s="1320" t="s">
        <v>828</v>
      </c>
      <c r="Q50" s="1331" t="e">
        <f ca="1">J58</f>
        <v>#VALUE!</v>
      </c>
      <c r="R50" s="1321"/>
    </row>
    <row r="51" spans="1:18" s="1286" customFormat="1" ht="13.5" thickBot="1">
      <c r="A51" s="917"/>
      <c r="B51" s="919"/>
      <c r="C51" s="920"/>
      <c r="D51" s="893"/>
      <c r="E51" s="921" t="s">
        <v>698</v>
      </c>
      <c r="F51" s="294">
        <f ca="1">F8</f>
        <v>12</v>
      </c>
      <c r="I51" s="1332" t="s">
        <v>829</v>
      </c>
      <c r="J51" s="1325">
        <f>IF(J49="",J50,J49+J50-YEAR('数据-取费表'!B2))</f>
        <v>61</v>
      </c>
      <c r="K51" s="1333" t="s">
        <v>830</v>
      </c>
      <c r="L51" s="1334">
        <f ca="1">ROUND(-PV(INDIRECT("'数据-取费表'!h"&amp;$G$1),J51,(C39-C13*C76),0),0)</f>
        <v>15189</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-1.1200000000000001</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f ca="1">IF(M47="住宅",IF(D1="——",MAX(J51,L48),MAX(J51,L48-'数据-取费表'!B24)),IF(D1="——",MIN(J51,L48),MIN(J51,L48-'数据-取费表'!B24)))</f>
        <v>-1.1200000000000001</v>
      </c>
      <c r="K53" s="3410" t="s">
        <v>837</v>
      </c>
      <c r="L53" s="3411"/>
      <c r="O53" s="1319" t="s">
        <v>409</v>
      </c>
      <c r="P53" s="1320" t="s">
        <v>838</v>
      </c>
      <c r="Q53" s="1321">
        <f ca="1">Q47+Q48</f>
        <v>-273</v>
      </c>
      <c r="R53" s="1321" t="s">
        <v>410</v>
      </c>
    </row>
    <row r="54" spans="1:18" s="1286" customFormat="1" ht="13.5" thickBot="1">
      <c r="A54" s="1074"/>
      <c r="B54" s="1269" t="s">
        <v>679</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#VALUE!</v>
      </c>
      <c r="K55" s="1344" t="s">
        <v>841</v>
      </c>
      <c r="L55" s="1345"/>
      <c r="O55" s="1312" t="s">
        <v>811</v>
      </c>
      <c r="P55" s="1313" t="s">
        <v>812</v>
      </c>
      <c r="Q55" s="1314" t="s">
        <v>813</v>
      </c>
      <c r="R55" s="1314" t="s">
        <v>814</v>
      </c>
    </row>
    <row r="56" spans="1:18" s="1286" customFormat="1" ht="25.5" thickTop="1" thickBot="1">
      <c r="A56" s="897">
        <v>2</v>
      </c>
      <c r="B56" s="898" t="s">
        <v>704</v>
      </c>
      <c r="C56" s="223">
        <f ca="1">C13</f>
        <v>0</v>
      </c>
      <c r="D56" s="1346"/>
      <c r="E56" s="1347"/>
      <c r="F56" s="1339"/>
      <c r="I56" s="1348" t="s">
        <v>842</v>
      </c>
      <c r="J56" s="1349" t="s">
        <v>3430</v>
      </c>
      <c r="K56" s="1322" t="s">
        <v>843</v>
      </c>
      <c r="L56" s="1325" t="str">
        <f ca="1">IF(L48&lt;J51,"——",L48-J53)</f>
        <v>——</v>
      </c>
      <c r="O56" s="1319" t="s">
        <v>403</v>
      </c>
      <c r="P56" s="1320" t="s">
        <v>817</v>
      </c>
      <c r="Q56" s="1321">
        <f ca="1">C40+J29</f>
        <v>-273</v>
      </c>
      <c r="R56" s="1321" t="s">
        <v>818</v>
      </c>
    </row>
    <row r="57" spans="1:18" s="1286" customFormat="1" ht="24.75" thickBot="1">
      <c r="A57" s="1350"/>
      <c r="B57" s="890" t="s">
        <v>767</v>
      </c>
      <c r="C57" s="229">
        <f ca="1">C29</f>
        <v>0</v>
      </c>
      <c r="D57" s="1351"/>
      <c r="E57" s="1352"/>
      <c r="F57" s="1353"/>
      <c r="I57" s="1354" t="s">
        <v>844</v>
      </c>
      <c r="J57" s="1355" t="str">
        <f ca="1">IF(OR(M47="住宅",J51&lt;L48,J56="是"),"——",J51-L48)</f>
        <v>——</v>
      </c>
      <c r="K57" s="1322" t="s">
        <v>845</v>
      </c>
      <c r="L57" s="1325" t="str">
        <f ca="1">IF(L48&lt;J51,"——",IF(L55="比较法",L49,IF(L55="基准地价",L50,L51)))</f>
        <v>——</v>
      </c>
      <c r="O57" s="1319" t="s">
        <v>404</v>
      </c>
      <c r="P57" s="1320" t="s">
        <v>846</v>
      </c>
      <c r="Q57" s="1321">
        <f ca="1">L60</f>
        <v>0</v>
      </c>
      <c r="R57" s="1321" t="s">
        <v>847</v>
      </c>
    </row>
    <row r="58" spans="1:18" s="1286" customFormat="1" ht="24.75" thickBot="1">
      <c r="A58" s="306" t="s">
        <v>393</v>
      </c>
      <c r="B58" s="898" t="s">
        <v>714</v>
      </c>
      <c r="C58" s="307">
        <f ca="1">ROUND(C59+C64+C65+C66,0)</f>
        <v>0</v>
      </c>
      <c r="D58" s="900" t="s">
        <v>715</v>
      </c>
      <c r="E58" s="901"/>
      <c r="F58" s="902"/>
      <c r="I58" s="1354" t="s">
        <v>848</v>
      </c>
      <c r="J58" s="1356" t="e">
        <f ca="1">IF(J55&lt;0.4,0.4,J55)</f>
        <v>#VALUE!</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IF(项目基本情况!B11="自然人","——",ROUND(C48*F60/(1+'数据-取费表'!C42),2))</f>
        <v>0</v>
      </c>
      <c r="D60" s="904" t="s">
        <v>724</v>
      </c>
      <c r="E60" s="890" t="s">
        <v>712</v>
      </c>
      <c r="F60" s="321">
        <f t="shared" ref="F60:F66" si="0">F32</f>
        <v>5.5000000000000007E-2</v>
      </c>
      <c r="I60" s="1357" t="s">
        <v>853</v>
      </c>
      <c r="J60" s="1358" t="str">
        <f ca="1">IF(OR(M47="住宅",J51&lt;L48,J56="是"),"0",ROUND(J59/(1+J52)^J53,0))</f>
        <v>0</v>
      </c>
      <c r="K60" s="1359" t="s">
        <v>854</v>
      </c>
      <c r="L60" s="1358">
        <f ca="1">IF(OR(M47="住宅",L48&lt;J51),0,ROUND(L57*(L58/L59-1),0))</f>
        <v>0</v>
      </c>
      <c r="O60" s="1328" t="s">
        <v>407</v>
      </c>
      <c r="P60" s="1320" t="s">
        <v>855</v>
      </c>
      <c r="Q60" s="1321" t="e">
        <f ca="1">L58</f>
        <v>#DIV/0!</v>
      </c>
      <c r="R60" s="1321" t="s">
        <v>856</v>
      </c>
    </row>
    <row r="61" spans="1:18" s="1286" customFormat="1" ht="13.5" thickBot="1">
      <c r="A61" s="922" t="s">
        <v>781</v>
      </c>
      <c r="B61" s="890" t="s">
        <v>727</v>
      </c>
      <c r="C61" s="21">
        <f ca="1">IF(项目基本情况!B11="自然人","——",IF(D61="按租金收入计税",ROUND(C49*F61/(1+'数据-取费表'!C42),2),IF(D61="按房产原值计税",ROUND(C57*F61*0.7,2),INDIRECT("'数据-取费表'!Aj"&amp;$G$1))))</f>
        <v>0</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#DIV/0!</v>
      </c>
      <c r="R61" s="1321" t="s">
        <v>857</v>
      </c>
    </row>
    <row r="62" spans="1:18" s="1286" customFormat="1" ht="13.5" thickBot="1">
      <c r="A62" s="922" t="s">
        <v>784</v>
      </c>
      <c r="B62" s="889" t="s">
        <v>730</v>
      </c>
      <c r="C62" s="22">
        <f ca="1">IF(项目基本情况!B11="自然人","——",ROUND(F62*F63/10000,2))</f>
        <v>0</v>
      </c>
      <c r="D62" s="905" t="s">
        <v>731</v>
      </c>
      <c r="E62" s="890" t="s">
        <v>732</v>
      </c>
      <c r="F62" s="316">
        <f t="shared" si="0"/>
        <v>1.5</v>
      </c>
      <c r="I62" s="1361" t="s">
        <v>858</v>
      </c>
      <c r="J62" s="609" t="s">
        <v>859</v>
      </c>
      <c r="K62" s="609" t="s">
        <v>860</v>
      </c>
      <c r="L62" s="609" t="s">
        <v>861</v>
      </c>
      <c r="M62" s="1362" t="s">
        <v>862</v>
      </c>
      <c r="O62" s="1319" t="s">
        <v>409</v>
      </c>
      <c r="P62" s="1320" t="s">
        <v>838</v>
      </c>
      <c r="Q62" s="1321">
        <f ca="1">Q56+Q57</f>
        <v>-273</v>
      </c>
      <c r="R62" s="1321" t="s">
        <v>410</v>
      </c>
    </row>
    <row r="63" spans="1:18" s="1286" customFormat="1" ht="13.5" thickBot="1">
      <c r="A63" s="317"/>
      <c r="B63" s="896"/>
      <c r="C63" s="26"/>
      <c r="D63" s="906"/>
      <c r="E63" s="890" t="s">
        <v>736</v>
      </c>
      <c r="F63" s="294">
        <f t="shared" ca="1" si="0"/>
        <v>0</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f ca="1">ROUND(C57*F64,2)</f>
        <v>0</v>
      </c>
      <c r="D64" s="904" t="s">
        <v>771</v>
      </c>
      <c r="E64" s="890" t="s">
        <v>712</v>
      </c>
      <c r="F64" s="319">
        <f t="shared" ca="1" si="0"/>
        <v>0.01</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ROUND(C56*F65,2)</f>
        <v>0</v>
      </c>
      <c r="D65" s="904" t="s">
        <v>743</v>
      </c>
      <c r="E65" s="890" t="s">
        <v>712</v>
      </c>
      <c r="F65" s="320">
        <f t="shared" ca="1" si="0"/>
        <v>1E-3</v>
      </c>
      <c r="I65" s="1361" t="s">
        <v>867</v>
      </c>
      <c r="J65" s="609">
        <v>40</v>
      </c>
      <c r="K65" s="609">
        <v>30</v>
      </c>
      <c r="L65" s="609">
        <v>50</v>
      </c>
      <c r="M65" s="1363">
        <v>0.02</v>
      </c>
      <c r="O65" s="1319" t="s">
        <v>403</v>
      </c>
      <c r="P65" s="1320" t="s">
        <v>817</v>
      </c>
      <c r="Q65" s="1321">
        <f ca="1">C40+J29</f>
        <v>-273</v>
      </c>
      <c r="R65" s="1321" t="s">
        <v>818</v>
      </c>
    </row>
    <row r="66" spans="1:18" s="1286" customFormat="1" ht="16.5" thickBot="1">
      <c r="A66" s="922" t="s">
        <v>793</v>
      </c>
      <c r="B66" s="890" t="s">
        <v>728</v>
      </c>
      <c r="C66" s="21">
        <f ca="1">ROUND(C48*F66,2)</f>
        <v>0</v>
      </c>
      <c r="D66" s="904" t="s">
        <v>748</v>
      </c>
      <c r="E66" s="890" t="s">
        <v>712</v>
      </c>
      <c r="F66" s="303">
        <f t="shared" ca="1" si="0"/>
        <v>0.01</v>
      </c>
      <c r="O66" s="1319" t="s">
        <v>404</v>
      </c>
      <c r="P66" s="1320" t="s">
        <v>846</v>
      </c>
      <c r="Q66" s="1321">
        <f ca="1">L60</f>
        <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15189</v>
      </c>
      <c r="R67" s="1321" t="s">
        <v>870</v>
      </c>
    </row>
    <row r="68" spans="1:18" s="1286" customFormat="1" ht="16.5" thickBot="1">
      <c r="A68" s="887" t="s">
        <v>395</v>
      </c>
      <c r="B68" s="888" t="s">
        <v>774</v>
      </c>
      <c r="C68" s="292" t="e">
        <f ca="1">ROUND(C67*(1-((1+F70)/(1+F68))^F69)/(F68-F70),0)</f>
        <v>#DIV/0!</v>
      </c>
      <c r="D68" s="905" t="s">
        <v>758</v>
      </c>
      <c r="E68" s="890" t="s">
        <v>759</v>
      </c>
      <c r="F68" s="303">
        <f ca="1">F40</f>
        <v>0</v>
      </c>
      <c r="O68" s="1328" t="s">
        <v>406</v>
      </c>
      <c r="P68" s="1365" t="s">
        <v>871</v>
      </c>
      <c r="Q68" s="1321">
        <f ca="1">ROUND(Q69-Q70*Q71,0)</f>
        <v>249</v>
      </c>
      <c r="R68" s="1321" t="s">
        <v>414</v>
      </c>
    </row>
    <row r="69" spans="1:18" s="1286" customFormat="1" ht="13.5" thickBot="1">
      <c r="A69" s="891"/>
      <c r="B69" s="892"/>
      <c r="C69" s="297"/>
      <c r="D69" s="910" t="s">
        <v>762</v>
      </c>
      <c r="E69" s="890" t="s">
        <v>763</v>
      </c>
      <c r="F69" s="323">
        <f ca="1">F41</f>
        <v>-1.1200000000000001</v>
      </c>
      <c r="O69" s="1328" t="s">
        <v>411</v>
      </c>
      <c r="P69" s="1365" t="s">
        <v>872</v>
      </c>
      <c r="Q69" s="1321">
        <f ca="1">C39</f>
        <v>249</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ROUND(C68*10000/F71,0)</f>
        <v>#DIV/0!</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f ca="1">Q65+Q66</f>
        <v>-273</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f ca="1">1-C80</f>
        <v>1</v>
      </c>
    </row>
    <row r="80" spans="1:18">
      <c r="B80" s="330" t="s">
        <v>800</v>
      </c>
      <c r="C80" s="265">
        <f ca="1">ROUND(C75/C39,3)</f>
        <v>0</v>
      </c>
    </row>
    <row r="81" spans="2:3">
      <c r="B81" s="261" t="s">
        <v>801</v>
      </c>
      <c r="C81" s="229"/>
    </row>
    <row r="82" spans="2:3">
      <c r="B82" s="264" t="s">
        <v>802</v>
      </c>
      <c r="C82" s="266">
        <f ca="1">1-C83</f>
        <v>1</v>
      </c>
    </row>
    <row r="83" spans="2:3">
      <c r="B83" s="264" t="s">
        <v>803</v>
      </c>
      <c r="C83" s="265">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估价范围判定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4052</v>
      </c>
      <c r="D1" s="1265" t="s">
        <v>4056</v>
      </c>
      <c r="E1" s="1266" t="s">
        <v>678</v>
      </c>
      <c r="F1" s="993">
        <f ca="1">J53</f>
        <v>-1.1200000000000001</v>
      </c>
      <c r="G1" s="1280">
        <f>MATCH(C1,'数据-取费表'!A6:A16,0)+5</f>
        <v>9</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f ca="1">C40+J29+L46</f>
        <v>-5</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f ca="1">C6+C10+C12</f>
        <v>6</v>
      </c>
      <c r="D5" s="1267" t="s">
        <v>693</v>
      </c>
      <c r="E5" s="1002"/>
      <c r="F5" s="1003"/>
      <c r="G5" s="1286"/>
      <c r="H5" s="290">
        <v>1</v>
      </c>
      <c r="I5" s="291" t="s">
        <v>692</v>
      </c>
      <c r="J5" s="1001">
        <f ca="1">J6+J10+J12</f>
        <v>0</v>
      </c>
      <c r="K5" s="1267" t="s">
        <v>693</v>
      </c>
      <c r="L5" s="1002"/>
      <c r="M5" s="1003"/>
    </row>
    <row r="6" spans="1:37" ht="18" customHeight="1">
      <c r="A6" s="1000" t="s">
        <v>398</v>
      </c>
      <c r="B6" s="3412" t="s">
        <v>694</v>
      </c>
      <c r="C6" s="1005">
        <f ca="1">ROUND(F6*F8*F7*(1-F9)/10000,0)</f>
        <v>6</v>
      </c>
      <c r="D6" s="146" t="s">
        <v>2108</v>
      </c>
      <c r="E6" s="293" t="s">
        <v>696</v>
      </c>
      <c r="F6" s="294">
        <f ca="1">INDIRECT("'数据-取费表'!u"&amp;$G$1)</f>
        <v>400</v>
      </c>
      <c r="G6" s="1286"/>
      <c r="H6" s="1000" t="s">
        <v>398</v>
      </c>
      <c r="I6" s="3412" t="s">
        <v>694</v>
      </c>
      <c r="J6" s="292">
        <f ca="1">ROUND(M6*M8*M7*(1-M9)/10000,0)</f>
        <v>0</v>
      </c>
      <c r="K6" s="146" t="s">
        <v>2107</v>
      </c>
      <c r="L6" s="293" t="s">
        <v>696</v>
      </c>
      <c r="M6" s="294">
        <f ca="1">INDIRECT("'数据-取费表'!z"&amp;$G$1)</f>
        <v>0</v>
      </c>
    </row>
    <row r="7" spans="1:37" ht="18" customHeight="1">
      <c r="A7" s="1004"/>
      <c r="B7" s="3413"/>
      <c r="C7" s="1006"/>
      <c r="D7" s="298"/>
      <c r="E7" s="1007" t="s">
        <v>697</v>
      </c>
      <c r="F7" s="294">
        <f ca="1">IF(INDIRECT("'数据-取费表'!ah"&amp;$G$1)="",INDIRECT("'数据-取费表'!k"&amp;$G$1),INDIRECT("'数据-取费表'!ah"&amp;$G$1))</f>
        <v>13</v>
      </c>
      <c r="G7" s="1286"/>
      <c r="H7" s="295"/>
      <c r="I7" s="3413"/>
      <c r="J7" s="297"/>
      <c r="K7" s="298"/>
      <c r="L7" s="293" t="s">
        <v>697</v>
      </c>
      <c r="M7" s="294">
        <f ca="1">F7</f>
        <v>13</v>
      </c>
    </row>
    <row r="8" spans="1:37" ht="18" customHeight="1">
      <c r="A8" s="295"/>
      <c r="B8" s="3413"/>
      <c r="C8" s="297"/>
      <c r="D8" s="298"/>
      <c r="E8" s="293" t="s">
        <v>698</v>
      </c>
      <c r="F8" s="294">
        <f ca="1">INDIRECT("'数据-取费表'!ai"&amp;$G$1)</f>
        <v>12</v>
      </c>
      <c r="G8" s="1286"/>
      <c r="H8" s="295"/>
      <c r="I8" s="3413"/>
      <c r="J8" s="297"/>
      <c r="K8" s="298"/>
      <c r="L8" s="293" t="s">
        <v>698</v>
      </c>
      <c r="M8" s="294">
        <f ca="1">INDIRECT("'数据-取费表'!ai"&amp;$G$1)</f>
        <v>12</v>
      </c>
    </row>
    <row r="9" spans="1:37" ht="18" customHeight="1">
      <c r="A9" s="295"/>
      <c r="B9" s="3414"/>
      <c r="C9" s="297"/>
      <c r="D9" s="298"/>
      <c r="E9" s="293" t="s">
        <v>699</v>
      </c>
      <c r="F9" s="303">
        <f ca="1">INDIRECT("'数据-取费表'!w"&amp;$G$1)</f>
        <v>0.1</v>
      </c>
      <c r="G9" s="1286"/>
      <c r="H9" s="295"/>
      <c r="I9" s="3414"/>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2115</v>
      </c>
      <c r="E10" s="304" t="s">
        <v>701</v>
      </c>
      <c r="F10" s="1047" t="s">
        <v>4060</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1</v>
      </c>
      <c r="G13" s="1286"/>
      <c r="H13" s="1010">
        <v>2</v>
      </c>
      <c r="I13" s="1011" t="s">
        <v>704</v>
      </c>
      <c r="J13" s="999">
        <f ca="1">ROUND(J14*J15,0)</f>
        <v>0</v>
      </c>
      <c r="K13" s="1018" t="s">
        <v>705</v>
      </c>
      <c r="L13" s="1293"/>
      <c r="M13" s="1294"/>
    </row>
    <row r="14" spans="1:37" ht="18" customHeight="1">
      <c r="A14" s="922" t="s">
        <v>397</v>
      </c>
      <c r="B14" s="293" t="s">
        <v>707</v>
      </c>
      <c r="C14" s="309">
        <f ca="1">INDIRECT("'数据-取费表'!m"&amp;$G$1)+INDIRECT("'数据-取费表'!t"&amp;$G$1)</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0.03</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ROUND(INDIRECT("'数据-取费表'!m"&amp;$G$1)*F16,0)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ROUND(F17*(F43+INDIRECT("'数据-取费表'!S"&amp;$G$1))/10000,0)</f>
        <v>0</v>
      </c>
      <c r="D17" s="293" t="s">
        <v>717</v>
      </c>
      <c r="E17" s="293" t="s">
        <v>718</v>
      </c>
      <c r="F17" s="23">
        <f>'数据-取费表'!B35</f>
        <v>200</v>
      </c>
      <c r="G17" s="1297"/>
      <c r="H17" s="922" t="s">
        <v>398</v>
      </c>
      <c r="I17" s="293"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ROUND(J6*M18/(1+'数据-取费表'!C42),2)</f>
        <v>0</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IF(K19="按租金收入计税",ROUND(J6*M19/(1+'数据-取费表'!C42),2),ROUND(C29*M19*0.7,2))</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ROUND(M20*M21/10000,2)</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ROUND(J14*M22,2)</f>
        <v>0</v>
      </c>
      <c r="K22" s="1250" t="s">
        <v>739</v>
      </c>
      <c r="L22" s="293" t="s">
        <v>712</v>
      </c>
      <c r="M22" s="319">
        <f ca="1">INDIRECT("'数据-取费表'!Ak"&amp;$G$1)</f>
        <v>0.01</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ROUND(J13*M23,2)</f>
        <v>0</v>
      </c>
      <c r="K23" s="1250" t="s">
        <v>743</v>
      </c>
      <c r="L23" s="293" t="s">
        <v>712</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f ca="1">ROUND(J5*M24,2)</f>
        <v>0</v>
      </c>
      <c r="K24" s="1023" t="s">
        <v>748</v>
      </c>
      <c r="L24" s="1021" t="s">
        <v>712</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f ca="1">ROUND(J26/(1+F40)^F41,0)</f>
        <v>0</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1</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ROUND(IF(AND(项目基本情况!B11="自然人",项目基本情况!B10="北京市"),C6*F31/(1+'数据-取费表'!C42),C32+C33+C34),2)</f>
        <v>1</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IF(项目基本情况!B11="自然人","——",ROUND(C6*F32/(1+'数据-取费表'!C42),2))</f>
        <v>0.31</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IF(项目基本情况!B11="自然人","——",IF(D33="按租金收入计税",ROUND(C6*F33/(1+'数据-取费表'!C42),2),IF(D33="按房产原值计税",ROUND(C29*F33*0.7,2),INDIRECT("'数据-取费表'!Aj"&amp;$G$1))))</f>
        <v>0.69</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IF(项目基本情况!B11="自然人","——",ROUND(F34*F35/10000,2))</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ROUND(C29*F36,2)</f>
        <v>0</v>
      </c>
      <c r="D36" s="1250" t="s">
        <v>771</v>
      </c>
      <c r="E36" s="293" t="s">
        <v>712</v>
      </c>
      <c r="F36" s="319">
        <f ca="1">INDIRECT("'数据-取费表'!Ak"&amp;$G$1)</f>
        <v>0.01</v>
      </c>
      <c r="G36" s="1286"/>
      <c r="H36" s="2464"/>
      <c r="I36" s="1299"/>
      <c r="J36" s="1300"/>
      <c r="K36" s="2322"/>
      <c r="L36" s="2464"/>
      <c r="M36" s="2464"/>
    </row>
    <row r="37" spans="1:18" ht="18" customHeight="1">
      <c r="A37" s="922" t="s">
        <v>437</v>
      </c>
      <c r="B37" s="293" t="s">
        <v>742</v>
      </c>
      <c r="C37" s="21">
        <f ca="1">ROUND(C13*F37,2)</f>
        <v>0</v>
      </c>
      <c r="D37" s="1250" t="s">
        <v>743</v>
      </c>
      <c r="E37" s="293" t="s">
        <v>712</v>
      </c>
      <c r="F37" s="320">
        <f ca="1">INDIRECT("'数据-取费表'!Al"&amp;$G$1)</f>
        <v>1E-3</v>
      </c>
      <c r="G37" s="1286"/>
      <c r="H37" s="2464"/>
      <c r="I37" s="1299"/>
      <c r="J37" s="1300"/>
      <c r="K37" s="2322"/>
      <c r="L37" s="2464"/>
      <c r="M37" s="2464"/>
    </row>
    <row r="38" spans="1:18" ht="18" customHeight="1" thickBot="1">
      <c r="A38" s="1020" t="s">
        <v>683</v>
      </c>
      <c r="B38" s="1021" t="s">
        <v>728</v>
      </c>
      <c r="C38" s="1022">
        <f ca="1">ROUND(C5*F38,2)</f>
        <v>0.06</v>
      </c>
      <c r="D38" s="1023" t="s">
        <v>748</v>
      </c>
      <c r="E38" s="1021" t="s">
        <v>712</v>
      </c>
      <c r="F38" s="1017">
        <f ca="1">INDIRECT("'数据-取费表'!Am"&amp;$G$1)</f>
        <v>0.01</v>
      </c>
      <c r="G38" s="1286"/>
      <c r="H38" s="2464"/>
      <c r="I38" s="1299"/>
      <c r="J38" s="1300"/>
      <c r="K38" s="2462"/>
      <c r="L38" s="2464"/>
      <c r="M38" s="2464"/>
    </row>
    <row r="39" spans="1:18" ht="24.6" customHeight="1" thickTop="1">
      <c r="A39" s="1010" t="s">
        <v>394</v>
      </c>
      <c r="B39" s="1025" t="s">
        <v>752</v>
      </c>
      <c r="C39" s="301">
        <f ca="1">C5-C30</f>
        <v>5</v>
      </c>
      <c r="D39" s="1026" t="s">
        <v>753</v>
      </c>
      <c r="E39" s="1027"/>
      <c r="F39" s="1028"/>
      <c r="G39" s="1286"/>
      <c r="H39" s="2464"/>
      <c r="I39" s="1299"/>
      <c r="J39" s="1300"/>
      <c r="K39" s="2462"/>
      <c r="L39" s="2464"/>
      <c r="M39" s="2464"/>
    </row>
    <row r="40" spans="1:18" ht="18" customHeight="1">
      <c r="A40" s="290" t="s">
        <v>395</v>
      </c>
      <c r="B40" s="291" t="s">
        <v>774</v>
      </c>
      <c r="C40" s="292">
        <f ca="1">ROUND(C39*(1-((1+F42)/(1+F40))^F41)/(F40-F42),0)</f>
        <v>-5</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f ca="1">IF(INDIRECT("'数据-取费表'!af"&amp;$G$1)=0,INDIRECT("'数据-取费表'!ae"&amp;$G$1),INDIRECT("'数据-取费表'!af"&amp;$G$1))</f>
        <v>-1.1200000000000001</v>
      </c>
      <c r="G41" s="1286"/>
      <c r="H41" s="120"/>
      <c r="I41" s="1299"/>
      <c r="J41" s="1300"/>
      <c r="K41" s="2322"/>
      <c r="L41" s="120"/>
      <c r="M41" s="120"/>
    </row>
    <row r="42" spans="1:18" ht="18" customHeight="1">
      <c r="A42" s="299"/>
      <c r="B42" s="300"/>
      <c r="C42" s="301"/>
      <c r="D42" s="318"/>
      <c r="E42" s="293" t="s">
        <v>766</v>
      </c>
      <c r="F42" s="303">
        <f ca="1">INDIRECT("'数据-取费表'!v"&amp;$G$1)</f>
        <v>0.02</v>
      </c>
      <c r="G42" s="1286"/>
      <c r="H42" s="120"/>
      <c r="I42" s="1299"/>
      <c r="J42" s="1300"/>
      <c r="K42" s="2322"/>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str">
        <f ca="1">IF(M47="住宅",0,IF(L48&gt;J51,L60,J60))</f>
        <v>0</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4030</v>
      </c>
      <c r="K47" s="1317" t="s">
        <v>816</v>
      </c>
      <c r="L47" s="1318">
        <f ca="1">INDIRECT("'数据-取费表'!d"&amp;$G$1)</f>
        <v>0</v>
      </c>
      <c r="M47" s="1282" t="str">
        <f>IF(ISNUMBER(FIND("住宅",C1)),"住宅","非住宅")</f>
        <v>非住宅</v>
      </c>
      <c r="O47" s="1319" t="s">
        <v>403</v>
      </c>
      <c r="P47" s="1320" t="s">
        <v>817</v>
      </c>
      <c r="Q47" s="1321">
        <f ca="1">C40+J29</f>
        <v>-5</v>
      </c>
      <c r="R47" s="1321" t="s">
        <v>818</v>
      </c>
    </row>
    <row r="48" spans="1:18" s="1286" customFormat="1" ht="28.5" thickBot="1">
      <c r="A48" s="1041" t="s">
        <v>438</v>
      </c>
      <c r="B48" s="291" t="s">
        <v>692</v>
      </c>
      <c r="C48" s="1262">
        <f ca="1">C49+C53+C55</f>
        <v>0</v>
      </c>
      <c r="D48" s="1043"/>
      <c r="E48" s="1044"/>
      <c r="F48" s="902"/>
      <c r="G48" s="680"/>
      <c r="H48" s="681"/>
      <c r="I48" s="1322" t="s">
        <v>819</v>
      </c>
      <c r="J48" s="1323" t="s">
        <v>4058</v>
      </c>
      <c r="K48" s="1324" t="s">
        <v>820</v>
      </c>
      <c r="L48" s="1325">
        <f ca="1">INDIRECT("'数据-取费表'!f"&amp;$G$1)</f>
        <v>0</v>
      </c>
      <c r="O48" s="1319" t="s">
        <v>404</v>
      </c>
      <c r="P48" s="1320" t="s">
        <v>821</v>
      </c>
      <c r="Q48" s="1321" t="str">
        <f ca="1">J60</f>
        <v>0</v>
      </c>
      <c r="R48" s="1321" t="s">
        <v>822</v>
      </c>
    </row>
    <row r="49" spans="1:18" s="1286" customFormat="1" ht="13.5" thickBot="1">
      <c r="A49" s="915" t="s">
        <v>439</v>
      </c>
      <c r="B49" s="1273" t="s">
        <v>779</v>
      </c>
      <c r="C49" s="1045">
        <f ca="1">ROUND(F49*F51*F50*(1-F52)/10000,0)</f>
        <v>0</v>
      </c>
      <c r="D49" s="986" t="s">
        <v>2107</v>
      </c>
      <c r="E49" s="1274" t="s">
        <v>780</v>
      </c>
      <c r="F49" s="991"/>
      <c r="H49" s="681"/>
      <c r="I49" s="1322" t="s">
        <v>823</v>
      </c>
      <c r="J49" s="1326">
        <v>2025</v>
      </c>
      <c r="K49" s="1324" t="s">
        <v>824</v>
      </c>
      <c r="L49" s="1327"/>
      <c r="O49" s="1328" t="s">
        <v>405</v>
      </c>
      <c r="P49" s="1320" t="s">
        <v>825</v>
      </c>
      <c r="Q49" s="1321">
        <f ca="1">C29</f>
        <v>0</v>
      </c>
      <c r="R49" s="1321" t="s">
        <v>818</v>
      </c>
    </row>
    <row r="50" spans="1:18" s="1286" customFormat="1" ht="13.5" thickBot="1">
      <c r="A50" s="916"/>
      <c r="B50" s="919"/>
      <c r="C50" s="1049"/>
      <c r="D50" s="893"/>
      <c r="E50" s="987" t="s">
        <v>697</v>
      </c>
      <c r="F50" s="988">
        <f ca="1">F7</f>
        <v>13</v>
      </c>
      <c r="H50" s="681"/>
      <c r="I50" s="1322" t="s">
        <v>826</v>
      </c>
      <c r="J50" s="1329">
        <f>SUMPRODUCT((I63:I65=J47)*(J62:L62=J48)*(J63:L65))</f>
        <v>60</v>
      </c>
      <c r="K50" s="1324" t="s">
        <v>827</v>
      </c>
      <c r="L50" s="1327"/>
      <c r="M50" s="1330"/>
      <c r="O50" s="1328" t="s">
        <v>406</v>
      </c>
      <c r="P50" s="1320" t="s">
        <v>828</v>
      </c>
      <c r="Q50" s="1331" t="e">
        <f ca="1">J58</f>
        <v>#VALUE!</v>
      </c>
      <c r="R50" s="1321"/>
    </row>
    <row r="51" spans="1:18" s="1286" customFormat="1" ht="13.5" thickBot="1">
      <c r="A51" s="917"/>
      <c r="B51" s="919"/>
      <c r="C51" s="920"/>
      <c r="D51" s="893"/>
      <c r="E51" s="921" t="s">
        <v>698</v>
      </c>
      <c r="F51" s="294">
        <f ca="1">F8</f>
        <v>12</v>
      </c>
      <c r="I51" s="1332" t="s">
        <v>829</v>
      </c>
      <c r="J51" s="1325">
        <f>IF(J49="",J50,J49+J50-YEAR('数据-取费表'!B2))</f>
        <v>61</v>
      </c>
      <c r="K51" s="1333" t="s">
        <v>830</v>
      </c>
      <c r="L51" s="1334">
        <f ca="1">ROUND(-PV(INDIRECT("'数据-取费表'!h"&amp;$G$1),J51,(C39-C13*C76),0),0)</f>
        <v>305</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-1.1200000000000001</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f ca="1">IF(M47="住宅",IF(D1="——",MAX(J51,L48),MAX(J51,L48-'数据-取费表'!B24)),IF(D1="——",MIN(J51,L48),MIN(J51,L48-'数据-取费表'!B24)))</f>
        <v>-1.1200000000000001</v>
      </c>
      <c r="K53" s="3410" t="s">
        <v>837</v>
      </c>
      <c r="L53" s="3411"/>
      <c r="O53" s="1319" t="s">
        <v>409</v>
      </c>
      <c r="P53" s="1320" t="s">
        <v>838</v>
      </c>
      <c r="Q53" s="1321">
        <f ca="1">Q47+Q48</f>
        <v>-5</v>
      </c>
      <c r="R53" s="1321" t="s">
        <v>410</v>
      </c>
    </row>
    <row r="54" spans="1:18" s="1286" customFormat="1" ht="13.5" thickBot="1">
      <c r="A54" s="1074"/>
      <c r="B54" s="1269" t="s">
        <v>679</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#VALUE!</v>
      </c>
      <c r="K55" s="1344" t="s">
        <v>841</v>
      </c>
      <c r="L55" s="1345"/>
      <c r="O55" s="1312" t="s">
        <v>811</v>
      </c>
      <c r="P55" s="1313" t="s">
        <v>812</v>
      </c>
      <c r="Q55" s="1314" t="s">
        <v>813</v>
      </c>
      <c r="R55" s="1314" t="s">
        <v>814</v>
      </c>
    </row>
    <row r="56" spans="1:18" s="1286" customFormat="1" ht="25.5" thickTop="1" thickBot="1">
      <c r="A56" s="897">
        <v>2</v>
      </c>
      <c r="B56" s="898" t="s">
        <v>704</v>
      </c>
      <c r="C56" s="223">
        <f ca="1">C13</f>
        <v>0</v>
      </c>
      <c r="D56" s="1346"/>
      <c r="E56" s="1347"/>
      <c r="F56" s="1339"/>
      <c r="I56" s="1348" t="s">
        <v>842</v>
      </c>
      <c r="J56" s="1349" t="s">
        <v>3430</v>
      </c>
      <c r="K56" s="1322" t="s">
        <v>843</v>
      </c>
      <c r="L56" s="1325" t="str">
        <f ca="1">IF(L48&lt;J51,"——",L48-J53)</f>
        <v>——</v>
      </c>
      <c r="O56" s="1319" t="s">
        <v>403</v>
      </c>
      <c r="P56" s="1320" t="s">
        <v>817</v>
      </c>
      <c r="Q56" s="1321">
        <f ca="1">C40+J29</f>
        <v>-5</v>
      </c>
      <c r="R56" s="1321" t="s">
        <v>818</v>
      </c>
    </row>
    <row r="57" spans="1:18" s="1286" customFormat="1" ht="24.75" thickBot="1">
      <c r="A57" s="1350"/>
      <c r="B57" s="890" t="s">
        <v>767</v>
      </c>
      <c r="C57" s="229">
        <f ca="1">C29</f>
        <v>0</v>
      </c>
      <c r="D57" s="1351"/>
      <c r="E57" s="1352"/>
      <c r="F57" s="1353"/>
      <c r="I57" s="1354" t="s">
        <v>844</v>
      </c>
      <c r="J57" s="1355" t="str">
        <f ca="1">IF(OR(M47="住宅",J51&lt;L48,J56="是"),"——",J51-L48)</f>
        <v>——</v>
      </c>
      <c r="K57" s="1322" t="s">
        <v>845</v>
      </c>
      <c r="L57" s="1325" t="str">
        <f ca="1">IF(L48&lt;J51,"——",IF(L55="比较法",L49,IF(L55="基准地价",L50,L51)))</f>
        <v>——</v>
      </c>
      <c r="O57" s="1319" t="s">
        <v>404</v>
      </c>
      <c r="P57" s="1320" t="s">
        <v>846</v>
      </c>
      <c r="Q57" s="1321">
        <f ca="1">L60</f>
        <v>0</v>
      </c>
      <c r="R57" s="1321" t="s">
        <v>847</v>
      </c>
    </row>
    <row r="58" spans="1:18" s="1286" customFormat="1" ht="24.75" thickBot="1">
      <c r="A58" s="306" t="s">
        <v>393</v>
      </c>
      <c r="B58" s="898" t="s">
        <v>714</v>
      </c>
      <c r="C58" s="307">
        <f ca="1">ROUND(C59+C64+C65+C66,0)</f>
        <v>0</v>
      </c>
      <c r="D58" s="900" t="s">
        <v>715</v>
      </c>
      <c r="E58" s="901"/>
      <c r="F58" s="902"/>
      <c r="I58" s="1354" t="s">
        <v>848</v>
      </c>
      <c r="J58" s="1356" t="e">
        <f ca="1">IF(J55&lt;0.4,0.4,J55)</f>
        <v>#VALUE!</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IF(项目基本情况!B11="自然人","——",ROUND(C48*F60/(1+'数据-取费表'!C42),2))</f>
        <v>0</v>
      </c>
      <c r="D60" s="904" t="s">
        <v>724</v>
      </c>
      <c r="E60" s="890" t="s">
        <v>712</v>
      </c>
      <c r="F60" s="321">
        <f t="shared" ref="F60:F66" si="0">F32</f>
        <v>5.5000000000000007E-2</v>
      </c>
      <c r="I60" s="1357" t="s">
        <v>853</v>
      </c>
      <c r="J60" s="1358" t="str">
        <f ca="1">IF(OR(M47="住宅",J51&lt;L48,J56="是"),"0",ROUND(J59/(1+J52)^J53,0))</f>
        <v>0</v>
      </c>
      <c r="K60" s="1359" t="s">
        <v>854</v>
      </c>
      <c r="L60" s="1358">
        <f ca="1">IF(OR(M47="住宅",L48&lt;J51),0,ROUND(L57*(L58/L59-1),0))</f>
        <v>0</v>
      </c>
      <c r="O60" s="1328" t="s">
        <v>407</v>
      </c>
      <c r="P60" s="1320" t="s">
        <v>855</v>
      </c>
      <c r="Q60" s="1321" t="e">
        <f ca="1">L58</f>
        <v>#DIV/0!</v>
      </c>
      <c r="R60" s="1321" t="s">
        <v>856</v>
      </c>
    </row>
    <row r="61" spans="1:18" s="1286" customFormat="1" ht="13.5" thickBot="1">
      <c r="A61" s="922" t="s">
        <v>781</v>
      </c>
      <c r="B61" s="890" t="s">
        <v>727</v>
      </c>
      <c r="C61" s="21">
        <f ca="1">IF(项目基本情况!B11="自然人","——",IF(D61="按租金收入计税",ROUND(C49*F61/(1+'数据-取费表'!C42),2),IF(D61="按房产原值计税",ROUND(C57*F61*0.7,2),INDIRECT("'数据-取费表'!Aj"&amp;$G$1))))</f>
        <v>0</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#DIV/0!</v>
      </c>
      <c r="R61" s="1321" t="s">
        <v>857</v>
      </c>
    </row>
    <row r="62" spans="1:18" s="1286" customFormat="1" ht="13.5" thickBot="1">
      <c r="A62" s="922" t="s">
        <v>784</v>
      </c>
      <c r="B62" s="889" t="s">
        <v>730</v>
      </c>
      <c r="C62" s="22">
        <f ca="1">IF(项目基本情况!B11="自然人","——",ROUND(F62*F63/10000,2))</f>
        <v>0</v>
      </c>
      <c r="D62" s="905" t="s">
        <v>731</v>
      </c>
      <c r="E62" s="890" t="s">
        <v>732</v>
      </c>
      <c r="F62" s="316">
        <f t="shared" si="0"/>
        <v>1.5</v>
      </c>
      <c r="I62" s="1361" t="s">
        <v>858</v>
      </c>
      <c r="J62" s="609" t="s">
        <v>859</v>
      </c>
      <c r="K62" s="609" t="s">
        <v>860</v>
      </c>
      <c r="L62" s="609" t="s">
        <v>861</v>
      </c>
      <c r="M62" s="1362" t="s">
        <v>862</v>
      </c>
      <c r="O62" s="1319" t="s">
        <v>409</v>
      </c>
      <c r="P62" s="1320" t="s">
        <v>838</v>
      </c>
      <c r="Q62" s="1321">
        <f ca="1">Q56+Q57</f>
        <v>-5</v>
      </c>
      <c r="R62" s="1321" t="s">
        <v>410</v>
      </c>
    </row>
    <row r="63" spans="1:18" s="1286" customFormat="1" ht="13.5" thickBot="1">
      <c r="A63" s="317"/>
      <c r="B63" s="896"/>
      <c r="C63" s="26"/>
      <c r="D63" s="906"/>
      <c r="E63" s="890" t="s">
        <v>736</v>
      </c>
      <c r="F63" s="294">
        <f t="shared" ca="1" si="0"/>
        <v>0</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f ca="1">ROUND(C57*F64,2)</f>
        <v>0</v>
      </c>
      <c r="D64" s="904" t="s">
        <v>771</v>
      </c>
      <c r="E64" s="890" t="s">
        <v>712</v>
      </c>
      <c r="F64" s="319">
        <f t="shared" ca="1" si="0"/>
        <v>0.01</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ROUND(C56*F65,2)</f>
        <v>0</v>
      </c>
      <c r="D65" s="904" t="s">
        <v>743</v>
      </c>
      <c r="E65" s="890" t="s">
        <v>712</v>
      </c>
      <c r="F65" s="320">
        <f t="shared" ca="1" si="0"/>
        <v>1E-3</v>
      </c>
      <c r="I65" s="1361" t="s">
        <v>867</v>
      </c>
      <c r="J65" s="609">
        <v>40</v>
      </c>
      <c r="K65" s="609">
        <v>30</v>
      </c>
      <c r="L65" s="609">
        <v>50</v>
      </c>
      <c r="M65" s="1363">
        <v>0.02</v>
      </c>
      <c r="O65" s="1319" t="s">
        <v>403</v>
      </c>
      <c r="P65" s="1320" t="s">
        <v>817</v>
      </c>
      <c r="Q65" s="1321">
        <f ca="1">C40+J29</f>
        <v>-5</v>
      </c>
      <c r="R65" s="1321" t="s">
        <v>818</v>
      </c>
    </row>
    <row r="66" spans="1:18" s="1286" customFormat="1" ht="16.5" thickBot="1">
      <c r="A66" s="922" t="s">
        <v>793</v>
      </c>
      <c r="B66" s="890" t="s">
        <v>728</v>
      </c>
      <c r="C66" s="21">
        <f ca="1">ROUND(C48*F66,2)</f>
        <v>0</v>
      </c>
      <c r="D66" s="904" t="s">
        <v>748</v>
      </c>
      <c r="E66" s="890" t="s">
        <v>712</v>
      </c>
      <c r="F66" s="303">
        <f t="shared" ca="1" si="0"/>
        <v>0.01</v>
      </c>
      <c r="O66" s="1319" t="s">
        <v>404</v>
      </c>
      <c r="P66" s="1320" t="s">
        <v>846</v>
      </c>
      <c r="Q66" s="1321">
        <f ca="1">L60</f>
        <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305</v>
      </c>
      <c r="R67" s="1321" t="s">
        <v>870</v>
      </c>
    </row>
    <row r="68" spans="1:18" s="1286" customFormat="1" ht="16.5" thickBot="1">
      <c r="A68" s="887" t="s">
        <v>395</v>
      </c>
      <c r="B68" s="888" t="s">
        <v>774</v>
      </c>
      <c r="C68" s="292" t="e">
        <f ca="1">ROUND(C67*(1-((1+F70)/(1+F68))^F69)/(F68-F70),0)</f>
        <v>#DIV/0!</v>
      </c>
      <c r="D68" s="905" t="s">
        <v>758</v>
      </c>
      <c r="E68" s="890" t="s">
        <v>759</v>
      </c>
      <c r="F68" s="303">
        <f ca="1">F40</f>
        <v>0</v>
      </c>
      <c r="O68" s="1328" t="s">
        <v>406</v>
      </c>
      <c r="P68" s="1365" t="s">
        <v>871</v>
      </c>
      <c r="Q68" s="1321">
        <f ca="1">ROUND(Q69-Q70*Q71,0)</f>
        <v>5</v>
      </c>
      <c r="R68" s="1321" t="s">
        <v>414</v>
      </c>
    </row>
    <row r="69" spans="1:18" s="1286" customFormat="1" ht="13.5" thickBot="1">
      <c r="A69" s="891"/>
      <c r="B69" s="892"/>
      <c r="C69" s="297"/>
      <c r="D69" s="910" t="s">
        <v>762</v>
      </c>
      <c r="E69" s="890" t="s">
        <v>763</v>
      </c>
      <c r="F69" s="323">
        <f ca="1">F41</f>
        <v>-1.1200000000000001</v>
      </c>
      <c r="O69" s="1328" t="s">
        <v>411</v>
      </c>
      <c r="P69" s="1365" t="s">
        <v>872</v>
      </c>
      <c r="Q69" s="1321">
        <f ca="1">C39</f>
        <v>5</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ROUND(C68*10000/F71,0)</f>
        <v>#DIV/0!</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f ca="1">Q65+Q66</f>
        <v>-5</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f ca="1">1-C80</f>
        <v>1</v>
      </c>
    </row>
    <row r="80" spans="1:18">
      <c r="B80" s="330" t="s">
        <v>800</v>
      </c>
      <c r="C80" s="265">
        <f ca="1">ROUND(C75/C39,3)</f>
        <v>0</v>
      </c>
    </row>
    <row r="81" spans="2:3">
      <c r="B81" s="261" t="s">
        <v>801</v>
      </c>
      <c r="C81" s="229"/>
    </row>
    <row r="82" spans="2:3">
      <c r="B82" s="264" t="s">
        <v>802</v>
      </c>
      <c r="C82" s="266">
        <f ca="1">1-C83</f>
        <v>1</v>
      </c>
    </row>
    <row r="83" spans="2:3">
      <c r="B83" s="264" t="s">
        <v>803</v>
      </c>
      <c r="C83" s="265">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1766</v>
      </c>
      <c r="C1" s="1149" t="s">
        <v>1662</v>
      </c>
      <c r="D1" s="1136"/>
      <c r="E1" s="3114"/>
      <c r="F1" s="1729"/>
      <c r="G1" s="1146" t="s">
        <v>1767</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1" customFormat="1" ht="28.5" customHeight="1" thickTop="1">
      <c r="A2" s="1132" t="s">
        <v>1462</v>
      </c>
      <c r="B2" s="1079" t="b">
        <f>IF(E1="项目模式",IF(C2="——",ROUND(C49*D3/10000,0),ROUND(C49*D3/10000,0)-D2),IF(E1="单套模式",IF(C2="——",ROUND(C49*D3/10000,4),ROUND(C49*D3/10000,4)-D2)))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1796"/>
      <c r="Q2" s="853"/>
      <c r="R2" s="853"/>
      <c r="S2" s="853"/>
      <c r="T2" s="853"/>
      <c r="U2" s="853"/>
      <c r="V2" s="853"/>
      <c r="W2" s="853"/>
      <c r="X2" s="853"/>
      <c r="Y2" s="853"/>
      <c r="Z2" s="853"/>
      <c r="AA2" s="853"/>
      <c r="AB2" s="853"/>
      <c r="AC2" s="1797"/>
    </row>
    <row r="3" spans="1:29" s="341" customFormat="1" ht="28.5" customHeight="1" thickBot="1">
      <c r="A3" s="194" t="s">
        <v>1464</v>
      </c>
      <c r="B3" s="535">
        <f>IF(C2="——",C49,ROUND(B2*10000/D3,0))</f>
        <v>0</v>
      </c>
      <c r="C3" s="343" t="s">
        <v>1768</v>
      </c>
      <c r="D3" s="342">
        <f>IF(D1="",'数据-汇总表'!E3,SUMIF('数据-汇总表'!$C19:$C33,D1,'数据-汇总表'!$E19:$E33))</f>
        <v>64756.12</v>
      </c>
      <c r="E3" s="1797"/>
      <c r="F3" s="850"/>
      <c r="G3" s="849"/>
      <c r="H3" s="849"/>
      <c r="I3" s="849"/>
      <c r="J3" s="849"/>
      <c r="K3" s="851"/>
      <c r="L3" s="2494"/>
      <c r="M3" s="2495"/>
      <c r="N3" s="2495"/>
      <c r="O3" s="2495"/>
      <c r="P3" s="1796"/>
      <c r="Q3" s="853"/>
      <c r="R3" s="853"/>
      <c r="S3" s="853"/>
      <c r="T3" s="853"/>
      <c r="U3" s="853"/>
      <c r="V3" s="853"/>
      <c r="W3" s="853"/>
      <c r="X3" s="853"/>
      <c r="Y3" s="853"/>
      <c r="Z3" s="853"/>
      <c r="AA3" s="853"/>
      <c r="AB3" s="853"/>
      <c r="AC3" s="1797"/>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375" t="s">
        <v>1775</v>
      </c>
      <c r="Q4" s="3376"/>
      <c r="R4" s="3381" t="s">
        <v>1771</v>
      </c>
      <c r="S4" s="3382"/>
      <c r="T4" s="3381" t="s">
        <v>1772</v>
      </c>
      <c r="U4" s="3382"/>
      <c r="V4" s="3368" t="s">
        <v>1773</v>
      </c>
      <c r="W4" s="3368"/>
      <c r="X4" s="1259"/>
      <c r="Y4" s="3381" t="s">
        <v>1775</v>
      </c>
      <c r="Z4" s="3382"/>
      <c r="AA4" s="3369" t="s">
        <v>1771</v>
      </c>
      <c r="AB4" s="3368" t="s">
        <v>1772</v>
      </c>
      <c r="AC4" s="3369" t="s">
        <v>1773</v>
      </c>
    </row>
    <row r="5" spans="1:29" ht="15">
      <c r="A5" s="347"/>
      <c r="B5" s="348"/>
      <c r="C5" s="3389" t="s">
        <v>1673</v>
      </c>
      <c r="D5" s="3390"/>
      <c r="E5" s="3396" t="s">
        <v>1674</v>
      </c>
      <c r="F5" s="3397"/>
      <c r="G5" s="3389" t="s">
        <v>1675</v>
      </c>
      <c r="H5" s="3390"/>
      <c r="I5" s="3389" t="s">
        <v>1676</v>
      </c>
      <c r="J5" s="3390"/>
      <c r="K5" s="536"/>
      <c r="L5" s="2477"/>
      <c r="M5" s="2478"/>
      <c r="N5" s="2478"/>
      <c r="O5" s="2478"/>
      <c r="P5" s="3377"/>
      <c r="Q5" s="3378"/>
      <c r="R5" s="3383"/>
      <c r="S5" s="3384"/>
      <c r="T5" s="3383"/>
      <c r="U5" s="3384"/>
      <c r="V5" s="3368"/>
      <c r="W5" s="3368"/>
      <c r="X5" s="1259"/>
      <c r="Y5" s="3383"/>
      <c r="Z5" s="3384"/>
      <c r="AA5" s="3370"/>
      <c r="AB5" s="3368"/>
      <c r="AC5" s="3370"/>
    </row>
    <row r="6" spans="1:29" ht="15.75" thickBot="1">
      <c r="A6" s="349"/>
      <c r="B6" s="350"/>
      <c r="C6" s="3387" t="s">
        <v>1677</v>
      </c>
      <c r="D6" s="3388"/>
      <c r="E6" s="3394" t="s">
        <v>1677</v>
      </c>
      <c r="F6" s="3395"/>
      <c r="G6" s="3387" t="s">
        <v>1677</v>
      </c>
      <c r="H6" s="3388"/>
      <c r="I6" s="3387" t="s">
        <v>1677</v>
      </c>
      <c r="J6" s="3388"/>
      <c r="K6" s="536" t="s">
        <v>1678</v>
      </c>
      <c r="L6" s="2477"/>
      <c r="M6" s="2478"/>
      <c r="N6" s="2478"/>
      <c r="O6" s="2478"/>
      <c r="P6" s="3379"/>
      <c r="Q6" s="3380"/>
      <c r="R6" s="3383"/>
      <c r="S6" s="3384"/>
      <c r="T6" s="3385"/>
      <c r="U6" s="3386"/>
      <c r="V6" s="3368"/>
      <c r="W6" s="3368"/>
      <c r="X6" s="1259"/>
      <c r="Y6" s="3385"/>
      <c r="Z6" s="3386"/>
      <c r="AA6" s="3371"/>
      <c r="AB6" s="3368"/>
      <c r="AC6" s="3371"/>
    </row>
    <row r="7" spans="1:29" s="102" customFormat="1" ht="15.75" thickBot="1">
      <c r="A7" s="351" t="s">
        <v>1679</v>
      </c>
      <c r="B7" s="352"/>
      <c r="C7" s="353">
        <f>'数据-取费表'!B2</f>
        <v>45595</v>
      </c>
      <c r="D7" s="354">
        <v>100</v>
      </c>
      <c r="E7" s="355"/>
      <c r="F7" s="356">
        <f>SUMIF(58:58,YEAR(E7)&amp;"-"&amp;MONTH(E7),59:59)</f>
        <v>0</v>
      </c>
      <c r="G7" s="355"/>
      <c r="H7" s="354">
        <f>SUMIF(58:58,YEAR(G7)&amp;"-"&amp;MONTH(G7),59:59)</f>
        <v>0</v>
      </c>
      <c r="I7" s="355"/>
      <c r="J7" s="354">
        <f>SUMIF(58:58,YEAR(I7)&amp;"-"&amp;MONTH(I7),59:59)</f>
        <v>0</v>
      </c>
      <c r="K7" s="38"/>
      <c r="L7" s="2479"/>
      <c r="M7" s="2431"/>
      <c r="N7" s="2431"/>
      <c r="O7" s="2431"/>
      <c r="P7" s="3391" t="s">
        <v>1680</v>
      </c>
      <c r="Q7" s="3393"/>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79"/>
      <c r="M8" s="2431"/>
      <c r="N8" s="2431"/>
      <c r="O8" s="2431"/>
      <c r="P8" s="3391" t="s">
        <v>1683</v>
      </c>
      <c r="Q8" s="3392"/>
      <c r="R8" s="663" t="s">
        <v>14</v>
      </c>
      <c r="S8" s="664">
        <f t="shared" si="0"/>
        <v>100</v>
      </c>
      <c r="T8" s="663" t="s">
        <v>14</v>
      </c>
      <c r="U8" s="664">
        <f t="shared" si="1"/>
        <v>100</v>
      </c>
      <c r="V8" s="663" t="s">
        <v>14</v>
      </c>
      <c r="W8" s="664">
        <f t="shared" si="2"/>
        <v>100</v>
      </c>
      <c r="X8" s="665"/>
      <c r="Y8" s="3391" t="s">
        <v>1683</v>
      </c>
      <c r="Z8" s="3392"/>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79"/>
      <c r="M9" s="2431"/>
      <c r="N9" s="2431"/>
      <c r="O9" s="2431"/>
      <c r="P9" s="3362"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62"/>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2"/>
      <c r="M11" s="2478"/>
      <c r="N11" s="2478"/>
      <c r="O11" s="2478"/>
      <c r="P11" s="3362"/>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62"/>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62"/>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2">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62"/>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1690</v>
      </c>
      <c r="B15" s="58" t="s">
        <v>1777</v>
      </c>
      <c r="C15" s="1743">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3"/>
      <c r="M15" s="2478"/>
      <c r="N15" s="2478"/>
      <c r="O15" s="2478"/>
      <c r="P15" s="3406" t="s">
        <v>1691</v>
      </c>
      <c r="Q15" s="1257" t="str">
        <f t="shared" si="6"/>
        <v>商业繁华度</v>
      </c>
      <c r="R15" s="666" t="s">
        <v>14</v>
      </c>
      <c r="S15" s="667">
        <f t="shared" si="0"/>
        <v>100</v>
      </c>
      <c r="T15" s="666" t="s">
        <v>14</v>
      </c>
      <c r="U15" s="667">
        <f t="shared" si="1"/>
        <v>100</v>
      </c>
      <c r="V15" s="666" t="s">
        <v>14</v>
      </c>
      <c r="W15" s="667">
        <f t="shared" si="2"/>
        <v>100</v>
      </c>
      <c r="X15" s="1259"/>
      <c r="Y15" s="3364" t="s">
        <v>1691</v>
      </c>
      <c r="Z15" s="1258" t="str">
        <f t="shared" si="7"/>
        <v>商业繁华度</v>
      </c>
      <c r="AA15" s="1258">
        <f t="shared" si="3"/>
        <v>1</v>
      </c>
      <c r="AB15" s="1258">
        <f t="shared" si="4"/>
        <v>1</v>
      </c>
      <c r="AC15" s="1258">
        <f t="shared" si="5"/>
        <v>1</v>
      </c>
    </row>
    <row r="16" spans="1:29" ht="15">
      <c r="A16" s="366"/>
      <c r="B16" s="384"/>
      <c r="C16" s="385"/>
      <c r="D16" s="386"/>
      <c r="E16" s="385"/>
      <c r="F16" s="387"/>
      <c r="G16" s="385"/>
      <c r="H16" s="388"/>
      <c r="I16" s="385"/>
      <c r="J16" s="386"/>
      <c r="K16" s="540"/>
      <c r="L16" s="2483"/>
      <c r="M16" s="2478"/>
      <c r="N16" s="2478"/>
      <c r="O16" s="2478"/>
      <c r="P16" s="3407"/>
      <c r="Q16" s="1257"/>
      <c r="R16" s="666"/>
      <c r="S16" s="667"/>
      <c r="T16" s="666"/>
      <c r="U16" s="667"/>
      <c r="V16" s="666"/>
      <c r="W16" s="667"/>
      <c r="X16" s="1259"/>
      <c r="Y16" s="3365"/>
      <c r="Z16" s="1258"/>
      <c r="AA16" s="1258">
        <v>1</v>
      </c>
      <c r="AB16" s="1258">
        <v>1</v>
      </c>
      <c r="AC16" s="1258">
        <v>1</v>
      </c>
    </row>
    <row r="17" spans="1:29" ht="85.5">
      <c r="A17" s="366"/>
      <c r="B17" s="389" t="s">
        <v>1259</v>
      </c>
      <c r="C17" s="1747" t="str">
        <f>估价对象房地状况!C6</f>
        <v>估价对象周边道路状况、公共交通通达情况、停车便捷程度，综合评价交通便捷度一般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3"/>
      <c r="M17" s="2478"/>
      <c r="N17" s="2478"/>
      <c r="O17" s="2478"/>
      <c r="P17" s="3407"/>
      <c r="Q17" s="1257" t="str">
        <f>B17</f>
        <v>交通便捷度</v>
      </c>
      <c r="R17" s="666" t="s">
        <v>14</v>
      </c>
      <c r="S17" s="667">
        <f>F17</f>
        <v>100</v>
      </c>
      <c r="T17" s="666" t="s">
        <v>14</v>
      </c>
      <c r="U17" s="667">
        <f>H17</f>
        <v>100</v>
      </c>
      <c r="V17" s="666" t="s">
        <v>14</v>
      </c>
      <c r="W17" s="667">
        <f>J17</f>
        <v>100</v>
      </c>
      <c r="X17" s="1259"/>
      <c r="Y17" s="3365"/>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2483"/>
      <c r="M18" s="2478"/>
      <c r="N18" s="2478"/>
      <c r="O18" s="2478"/>
      <c r="P18" s="3407"/>
      <c r="Q18" s="1257"/>
      <c r="R18" s="666"/>
      <c r="S18" s="667"/>
      <c r="T18" s="666"/>
      <c r="U18" s="667"/>
      <c r="V18" s="666"/>
      <c r="W18" s="667"/>
      <c r="X18" s="1259"/>
      <c r="Y18" s="3365"/>
      <c r="Z18" s="1258"/>
      <c r="AA18" s="1258">
        <v>1</v>
      </c>
      <c r="AB18" s="1258">
        <v>1</v>
      </c>
      <c r="AC18" s="1258">
        <v>1</v>
      </c>
    </row>
    <row r="19" spans="1:29" ht="42.75">
      <c r="A19" s="366"/>
      <c r="B19" s="389" t="s">
        <v>1778</v>
      </c>
      <c r="C19" s="1747" t="str">
        <f>估价对象房地状况!C7</f>
        <v>估价对象所在区域公共配套设施齐备情况一般</v>
      </c>
      <c r="D19" s="393">
        <v>100</v>
      </c>
      <c r="E19" s="395"/>
      <c r="F19" s="396">
        <f>SUMIF(80:80,E20,81:81)-SUMIF(80:80,C20,81:81)+100</f>
        <v>100</v>
      </c>
      <c r="G19" s="397"/>
      <c r="H19" s="388">
        <f>SUMIF(80:80,G20,81:81)-SUMIF(80:80,C20,81:81)+100</f>
        <v>100</v>
      </c>
      <c r="I19" s="395"/>
      <c r="J19" s="388">
        <f>SUMIF(80:80,I20,81:81)-SUMIF(80:80,C20,81:81)+100</f>
        <v>100</v>
      </c>
      <c r="K19" s="539"/>
      <c r="L19" s="2483"/>
      <c r="M19" s="2478"/>
      <c r="N19" s="2478"/>
      <c r="O19" s="2478"/>
      <c r="P19" s="3407"/>
      <c r="Q19" s="1257" t="str">
        <f>B19</f>
        <v>公共配套设施</v>
      </c>
      <c r="R19" s="666" t="s">
        <v>14</v>
      </c>
      <c r="S19" s="667">
        <f>F19</f>
        <v>100</v>
      </c>
      <c r="T19" s="666" t="s">
        <v>14</v>
      </c>
      <c r="U19" s="667">
        <f>H19</f>
        <v>100</v>
      </c>
      <c r="V19" s="666" t="s">
        <v>14</v>
      </c>
      <c r="W19" s="667">
        <f>J19</f>
        <v>100</v>
      </c>
      <c r="X19" s="1259"/>
      <c r="Y19" s="3365"/>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2483"/>
      <c r="M20" s="2478"/>
      <c r="N20" s="2478"/>
      <c r="O20" s="2478"/>
      <c r="P20" s="3407"/>
      <c r="Q20" s="1257"/>
      <c r="R20" s="666"/>
      <c r="S20" s="667"/>
      <c r="T20" s="666"/>
      <c r="U20" s="667"/>
      <c r="V20" s="666"/>
      <c r="W20" s="667"/>
      <c r="X20" s="1259"/>
      <c r="Y20" s="3365"/>
      <c r="Z20" s="1258"/>
      <c r="AA20" s="1258">
        <v>1</v>
      </c>
      <c r="AB20" s="1258">
        <v>1</v>
      </c>
      <c r="AC20" s="1258">
        <v>1</v>
      </c>
    </row>
    <row r="21" spans="1:29" ht="28.5">
      <c r="A21" s="366"/>
      <c r="B21" s="585" t="s">
        <v>1779</v>
      </c>
      <c r="C21" s="1747"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3"/>
      <c r="M21" s="2478"/>
      <c r="N21" s="2478"/>
      <c r="O21" s="2478"/>
      <c r="P21" s="3407"/>
      <c r="Q21" s="1257" t="str">
        <f>B21</f>
        <v>基础设施水平</v>
      </c>
      <c r="R21" s="666" t="s">
        <v>14</v>
      </c>
      <c r="S21" s="667">
        <f>F21</f>
        <v>100</v>
      </c>
      <c r="T21" s="666" t="s">
        <v>14</v>
      </c>
      <c r="U21" s="667">
        <f>H21</f>
        <v>100</v>
      </c>
      <c r="V21" s="666" t="s">
        <v>14</v>
      </c>
      <c r="W21" s="667">
        <f>J21</f>
        <v>100</v>
      </c>
      <c r="X21" s="1259"/>
      <c r="Y21" s="3365"/>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2483"/>
      <c r="M22" s="2478"/>
      <c r="N22" s="2478"/>
      <c r="O22" s="2478"/>
      <c r="P22" s="3407"/>
      <c r="Q22" s="1257"/>
      <c r="R22" s="666"/>
      <c r="S22" s="667"/>
      <c r="T22" s="666"/>
      <c r="U22" s="667"/>
      <c r="V22" s="666"/>
      <c r="W22" s="667"/>
      <c r="X22" s="1259"/>
      <c r="Y22" s="3365"/>
      <c r="Z22" s="1258"/>
      <c r="AA22" s="1258">
        <v>1</v>
      </c>
      <c r="AB22" s="1258">
        <v>1</v>
      </c>
      <c r="AC22" s="1258">
        <v>1</v>
      </c>
    </row>
    <row r="23" spans="1:29" ht="57">
      <c r="A23" s="366"/>
      <c r="B23" s="389" t="s">
        <v>1261</v>
      </c>
      <c r="C23" s="1798"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3"/>
      <c r="M23" s="2478"/>
      <c r="N23" s="2478"/>
      <c r="O23" s="2478"/>
      <c r="P23" s="3407"/>
      <c r="Q23" s="1257" t="str">
        <f>B23</f>
        <v>自然及人文环境</v>
      </c>
      <c r="R23" s="666" t="s">
        <v>14</v>
      </c>
      <c r="S23" s="667">
        <f>F23</f>
        <v>100</v>
      </c>
      <c r="T23" s="666" t="s">
        <v>14</v>
      </c>
      <c r="U23" s="667">
        <f>H23</f>
        <v>100</v>
      </c>
      <c r="V23" s="666" t="s">
        <v>14</v>
      </c>
      <c r="W23" s="667">
        <f>J23</f>
        <v>100</v>
      </c>
      <c r="X23" s="1259"/>
      <c r="Y23" s="3365"/>
      <c r="Z23" s="1258" t="str">
        <f>Q23</f>
        <v>自然及人文环境</v>
      </c>
      <c r="AA23" s="1258">
        <f t="shared" si="3"/>
        <v>1</v>
      </c>
      <c r="AB23" s="1258">
        <f t="shared" si="4"/>
        <v>1</v>
      </c>
      <c r="AC23" s="1258">
        <f t="shared" si="5"/>
        <v>1</v>
      </c>
    </row>
    <row r="24" spans="1:29" ht="15">
      <c r="A24" s="366"/>
      <c r="B24" s="394"/>
      <c r="C24" s="385"/>
      <c r="D24" s="386"/>
      <c r="E24" s="1745"/>
      <c r="F24" s="387"/>
      <c r="G24" s="1744"/>
      <c r="H24" s="386"/>
      <c r="I24" s="1745"/>
      <c r="J24" s="386"/>
      <c r="K24" s="540"/>
      <c r="L24" s="2483"/>
      <c r="M24" s="2478"/>
      <c r="N24" s="2478"/>
      <c r="O24" s="2478"/>
      <c r="P24" s="3407"/>
      <c r="Q24" s="1257"/>
      <c r="R24" s="666"/>
      <c r="S24" s="667"/>
      <c r="T24" s="666"/>
      <c r="U24" s="667"/>
      <c r="V24" s="666"/>
      <c r="W24" s="667"/>
      <c r="X24" s="1259"/>
      <c r="Y24" s="3365"/>
      <c r="Z24" s="1258"/>
      <c r="AA24" s="1258">
        <v>1</v>
      </c>
      <c r="AB24" s="1258">
        <v>1</v>
      </c>
      <c r="AC24" s="1258">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3"/>
      <c r="M25" s="2478"/>
      <c r="N25" s="2478"/>
      <c r="O25" s="2478"/>
      <c r="P25" s="3407"/>
      <c r="Q25" s="1257" t="str">
        <f t="shared" ref="Q25:Q46" si="11">B25</f>
        <v>临街状况</v>
      </c>
      <c r="R25" s="666" t="s">
        <v>14</v>
      </c>
      <c r="S25" s="667">
        <f>F25</f>
        <v>100</v>
      </c>
      <c r="T25" s="666" t="s">
        <v>14</v>
      </c>
      <c r="U25" s="667">
        <f>H25</f>
        <v>100</v>
      </c>
      <c r="V25" s="666" t="s">
        <v>14</v>
      </c>
      <c r="W25" s="667">
        <f>J25</f>
        <v>100</v>
      </c>
      <c r="X25" s="1259"/>
      <c r="Y25" s="3365"/>
      <c r="Z25" s="1258" t="str">
        <f>Q25</f>
        <v>临街状况</v>
      </c>
      <c r="AA25" s="1258">
        <f t="shared" si="3"/>
        <v>1</v>
      </c>
      <c r="AB25" s="1258">
        <f t="shared" si="4"/>
        <v>1</v>
      </c>
      <c r="AC25" s="1258">
        <f t="shared" si="5"/>
        <v>1</v>
      </c>
    </row>
    <row r="26" spans="1:29" ht="15">
      <c r="A26" s="366"/>
      <c r="B26" s="1060" t="s">
        <v>1781</v>
      </c>
      <c r="C26" s="372"/>
      <c r="D26" s="373">
        <v>100</v>
      </c>
      <c r="E26" s="372"/>
      <c r="F26" s="399">
        <f>SUMIF(88:88,E26,89:89)-SUMIF(88:88,C26,89:89)+100</f>
        <v>100</v>
      </c>
      <c r="G26" s="372"/>
      <c r="H26" s="373">
        <f>SUMIF(88:88,G26,89:89)-SUMIF(88:88,C26,89:89)+100</f>
        <v>100</v>
      </c>
      <c r="I26" s="372"/>
      <c r="J26" s="373">
        <f>SUMIF(88:88,I26,89:89)-SUMIF(88:88,C26,89:89)+100</f>
        <v>100</v>
      </c>
      <c r="K26" s="538"/>
      <c r="L26" s="2483"/>
      <c r="M26" s="2478"/>
      <c r="N26" s="2478"/>
      <c r="O26" s="2478"/>
      <c r="P26" s="3407"/>
      <c r="Q26" s="1257" t="str">
        <f t="shared" si="11"/>
        <v>平面位置/可视性</v>
      </c>
      <c r="R26" s="666" t="s">
        <v>14</v>
      </c>
      <c r="S26" s="667">
        <f>F26</f>
        <v>100</v>
      </c>
      <c r="T26" s="666" t="s">
        <v>14</v>
      </c>
      <c r="U26" s="667">
        <f>H26</f>
        <v>100</v>
      </c>
      <c r="V26" s="666" t="s">
        <v>14</v>
      </c>
      <c r="W26" s="667">
        <f>J26</f>
        <v>100</v>
      </c>
      <c r="X26" s="1259"/>
      <c r="Y26" s="3365"/>
      <c r="Z26" s="1258" t="str">
        <f>Q26</f>
        <v>平面位置/可视性</v>
      </c>
      <c r="AA26" s="1258">
        <f t="shared" si="3"/>
        <v>1</v>
      </c>
      <c r="AB26" s="1258">
        <f t="shared" si="4"/>
        <v>1</v>
      </c>
      <c r="AC26" s="1258">
        <f t="shared" si="5"/>
        <v>1</v>
      </c>
    </row>
    <row r="27" spans="1:29" s="102" customFormat="1" ht="15">
      <c r="A27" s="369"/>
      <c r="B27" s="389" t="s">
        <v>1782</v>
      </c>
      <c r="C27" s="1799"/>
      <c r="D27" s="400">
        <v>100</v>
      </c>
      <c r="E27" s="1799"/>
      <c r="F27" s="394">
        <f>SUMIF(90:90,E27,91:91)-SUMIF(90:90,C27,91:91)+100</f>
        <v>100</v>
      </c>
      <c r="G27" s="1799"/>
      <c r="H27" s="400">
        <f>SUMIF(90:90,G27,91:91)-SUMIF(90:90,C27,91:91)+100</f>
        <v>100</v>
      </c>
      <c r="I27" s="1799"/>
      <c r="J27" s="400">
        <f>SUMIF(90:90,I27,91:91)-SUMIF(90:90,C27,91:91)+100</f>
        <v>100</v>
      </c>
      <c r="K27" s="537"/>
      <c r="L27" s="2479"/>
      <c r="M27" s="2431"/>
      <c r="N27" s="2431"/>
      <c r="O27" s="2431"/>
      <c r="P27" s="3407"/>
      <c r="Q27" s="529" t="str">
        <f t="shared" si="11"/>
        <v>人流量</v>
      </c>
      <c r="R27" s="663" t="s">
        <v>14</v>
      </c>
      <c r="S27" s="664">
        <f>F27</f>
        <v>100</v>
      </c>
      <c r="T27" s="663" t="s">
        <v>14</v>
      </c>
      <c r="U27" s="664">
        <f>H27</f>
        <v>100</v>
      </c>
      <c r="V27" s="663" t="s">
        <v>14</v>
      </c>
      <c r="W27" s="664">
        <f>J27</f>
        <v>100</v>
      </c>
      <c r="X27" s="665"/>
      <c r="Y27" s="3365"/>
      <c r="Z27" s="50" t="str">
        <f>Q27</f>
        <v>人流量</v>
      </c>
      <c r="AA27" s="1258">
        <f>D27/F27</f>
        <v>1</v>
      </c>
      <c r="AB27" s="1258">
        <f>D27/H27</f>
        <v>1</v>
      </c>
      <c r="AC27" s="1258">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3"/>
      <c r="M28" s="2478"/>
      <c r="N28" s="2478"/>
      <c r="O28" s="2478"/>
      <c r="P28" s="3407"/>
      <c r="Q28" s="1257" t="str">
        <f t="shared" si="11"/>
        <v>楼层</v>
      </c>
      <c r="R28" s="666" t="s">
        <v>14</v>
      </c>
      <c r="S28" s="667">
        <f t="shared" ref="S28:S46" si="12">F28</f>
        <v>100</v>
      </c>
      <c r="T28" s="666" t="s">
        <v>14</v>
      </c>
      <c r="U28" s="667">
        <f t="shared" ref="U28:U46" si="13">H28</f>
        <v>100</v>
      </c>
      <c r="V28" s="666" t="s">
        <v>14</v>
      </c>
      <c r="W28" s="667">
        <f t="shared" ref="W28:W46" si="14">J28</f>
        <v>100</v>
      </c>
      <c r="X28" s="1259"/>
      <c r="Y28" s="3365"/>
      <c r="Z28" s="1258" t="str">
        <f t="shared" ref="Z28:Z46" si="15">Q28</f>
        <v>楼层</v>
      </c>
      <c r="AA28" s="1258">
        <f t="shared" si="3"/>
        <v>1</v>
      </c>
      <c r="AB28" s="1258">
        <f t="shared" si="4"/>
        <v>1</v>
      </c>
      <c r="AC28" s="1258">
        <f t="shared" si="5"/>
        <v>1</v>
      </c>
    </row>
    <row r="29" spans="1:29" ht="15">
      <c r="A29" s="366"/>
      <c r="B29" s="1060">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07"/>
      <c r="Q29" s="1257">
        <f t="shared" si="11"/>
        <v>111</v>
      </c>
      <c r="R29" s="666" t="s">
        <v>14</v>
      </c>
      <c r="S29" s="667">
        <f t="shared" si="12"/>
        <v>100</v>
      </c>
      <c r="T29" s="666" t="s">
        <v>14</v>
      </c>
      <c r="U29" s="667">
        <f t="shared" si="13"/>
        <v>100</v>
      </c>
      <c r="V29" s="666" t="s">
        <v>14</v>
      </c>
      <c r="W29" s="667">
        <f t="shared" si="14"/>
        <v>100</v>
      </c>
      <c r="X29" s="1259"/>
      <c r="Y29" s="3365"/>
      <c r="Z29" s="1258">
        <f t="shared" si="15"/>
        <v>111</v>
      </c>
      <c r="AA29" s="1258">
        <f t="shared" si="3"/>
        <v>1</v>
      </c>
      <c r="AB29" s="1258">
        <f t="shared" si="4"/>
        <v>1</v>
      </c>
      <c r="AC29" s="1258">
        <f t="shared" si="5"/>
        <v>1</v>
      </c>
    </row>
    <row r="30" spans="1:29" ht="15">
      <c r="A30" s="366"/>
      <c r="B30" s="1060">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07"/>
      <c r="Q30" s="1257">
        <f t="shared" si="11"/>
        <v>111</v>
      </c>
      <c r="R30" s="666" t="s">
        <v>14</v>
      </c>
      <c r="S30" s="667">
        <f t="shared" si="12"/>
        <v>100</v>
      </c>
      <c r="T30" s="666" t="s">
        <v>14</v>
      </c>
      <c r="U30" s="667">
        <f t="shared" si="13"/>
        <v>100</v>
      </c>
      <c r="V30" s="666" t="s">
        <v>14</v>
      </c>
      <c r="W30" s="667">
        <f t="shared" si="14"/>
        <v>100</v>
      </c>
      <c r="X30" s="1259"/>
      <c r="Y30" s="3365"/>
      <c r="Z30" s="1258">
        <f t="shared" si="15"/>
        <v>111</v>
      </c>
      <c r="AA30" s="1258">
        <f t="shared" si="3"/>
        <v>1</v>
      </c>
      <c r="AB30" s="1258">
        <f t="shared" si="4"/>
        <v>1</v>
      </c>
      <c r="AC30" s="1258">
        <f t="shared" si="5"/>
        <v>1</v>
      </c>
    </row>
    <row r="31" spans="1:29" ht="15.75" thickBot="1">
      <c r="A31" s="374"/>
      <c r="B31" s="1060">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07"/>
      <c r="Q31" s="1257">
        <f t="shared" si="11"/>
        <v>111</v>
      </c>
      <c r="R31" s="666" t="s">
        <v>14</v>
      </c>
      <c r="S31" s="667">
        <f t="shared" si="12"/>
        <v>100</v>
      </c>
      <c r="T31" s="666" t="s">
        <v>14</v>
      </c>
      <c r="U31" s="667">
        <f t="shared" si="13"/>
        <v>100</v>
      </c>
      <c r="V31" s="666" t="s">
        <v>14</v>
      </c>
      <c r="W31" s="667">
        <f t="shared" si="14"/>
        <v>100</v>
      </c>
      <c r="X31" s="1259"/>
      <c r="Y31" s="3365"/>
      <c r="Z31" s="1258">
        <f t="shared" si="15"/>
        <v>111</v>
      </c>
      <c r="AA31" s="1258">
        <f t="shared" si="3"/>
        <v>1</v>
      </c>
      <c r="AB31" s="1258">
        <f t="shared" si="4"/>
        <v>1</v>
      </c>
      <c r="AC31" s="1258">
        <f t="shared" si="5"/>
        <v>1</v>
      </c>
    </row>
    <row r="32" spans="1:29" ht="15">
      <c r="A32" s="378" t="s">
        <v>1694</v>
      </c>
      <c r="B32" s="60" t="s">
        <v>1784</v>
      </c>
      <c r="C32" s="1757"/>
      <c r="D32" s="404">
        <v>100</v>
      </c>
      <c r="E32" s="1757"/>
      <c r="F32" s="399">
        <f>SUMIF(100:100,E32,101:101)-SUMIF(100:100,C32,101:101)+100</f>
        <v>100</v>
      </c>
      <c r="G32" s="1757"/>
      <c r="H32" s="373">
        <f>SUMIF(100:100,G32,101:101)-SUMIF(100:100,C32,101:101)+100</f>
        <v>100</v>
      </c>
      <c r="I32" s="1757"/>
      <c r="J32" s="404">
        <f>SUMIF(100:100,I32,101:101)-SUMIF(100:100,C32,101:101)+100</f>
        <v>100</v>
      </c>
      <c r="K32" s="537"/>
      <c r="L32" s="2483"/>
      <c r="M32" s="2478"/>
      <c r="N32" s="2478"/>
      <c r="O32" s="2478"/>
      <c r="P32" s="3402" t="s">
        <v>1696</v>
      </c>
      <c r="Q32" s="1257" t="str">
        <f t="shared" si="11"/>
        <v>商业类型</v>
      </c>
      <c r="R32" s="666" t="s">
        <v>14</v>
      </c>
      <c r="S32" s="667">
        <f t="shared" si="12"/>
        <v>100</v>
      </c>
      <c r="T32" s="666" t="s">
        <v>14</v>
      </c>
      <c r="U32" s="667">
        <f t="shared" si="13"/>
        <v>100</v>
      </c>
      <c r="V32" s="666" t="s">
        <v>14</v>
      </c>
      <c r="W32" s="667">
        <f t="shared" si="14"/>
        <v>100</v>
      </c>
      <c r="X32" s="1259"/>
      <c r="Y32" s="3367" t="s">
        <v>1696</v>
      </c>
      <c r="Z32" s="1258" t="str">
        <f t="shared" si="15"/>
        <v>商业类型</v>
      </c>
      <c r="AA32" s="1258">
        <f t="shared" si="3"/>
        <v>1</v>
      </c>
      <c r="AB32" s="1258">
        <f t="shared" si="4"/>
        <v>1</v>
      </c>
      <c r="AC32" s="1258">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2"/>
      <c r="M33" s="2484"/>
      <c r="N33" s="2484"/>
      <c r="O33" s="2484"/>
      <c r="P33" s="3403"/>
      <c r="Q33" s="530" t="str">
        <f t="shared" si="11"/>
        <v>项目建筑规模</v>
      </c>
      <c r="R33" s="668" t="s">
        <v>14</v>
      </c>
      <c r="S33" s="669" t="e">
        <f t="shared" si="12"/>
        <v>#N/A</v>
      </c>
      <c r="T33" s="668" t="s">
        <v>14</v>
      </c>
      <c r="U33" s="669" t="e">
        <f t="shared" si="13"/>
        <v>#N/A</v>
      </c>
      <c r="V33" s="668" t="s">
        <v>14</v>
      </c>
      <c r="W33" s="669" t="e">
        <f t="shared" si="14"/>
        <v>#N/A</v>
      </c>
      <c r="X33" s="670"/>
      <c r="Y33" s="3367"/>
      <c r="Z33" s="671" t="str">
        <f t="shared" si="15"/>
        <v>项目建筑规模</v>
      </c>
      <c r="AA33" s="1258" t="e">
        <f t="shared" si="3"/>
        <v>#N/A</v>
      </c>
      <c r="AB33" s="1258" t="e">
        <f t="shared" si="4"/>
        <v>#N/A</v>
      </c>
      <c r="AC33" s="1258"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3"/>
      <c r="M34" s="2478"/>
      <c r="N34" s="2478"/>
      <c r="O34" s="2478"/>
      <c r="P34" s="3403"/>
      <c r="Q34" s="1257" t="str">
        <f t="shared" si="11"/>
        <v>建筑结构</v>
      </c>
      <c r="R34" s="666" t="s">
        <v>14</v>
      </c>
      <c r="S34" s="667">
        <f t="shared" si="12"/>
        <v>100</v>
      </c>
      <c r="T34" s="666" t="s">
        <v>14</v>
      </c>
      <c r="U34" s="667">
        <f t="shared" si="13"/>
        <v>100</v>
      </c>
      <c r="V34" s="666" t="s">
        <v>14</v>
      </c>
      <c r="W34" s="667">
        <f t="shared" si="14"/>
        <v>100</v>
      </c>
      <c r="X34" s="1259"/>
      <c r="Y34" s="3367"/>
      <c r="Z34" s="1258" t="str">
        <f t="shared" si="15"/>
        <v>建筑结构</v>
      </c>
      <c r="AA34" s="1258">
        <f t="shared" si="3"/>
        <v>1</v>
      </c>
      <c r="AB34" s="1258">
        <f t="shared" si="4"/>
        <v>1</v>
      </c>
      <c r="AC34" s="1258">
        <f t="shared" si="5"/>
        <v>1</v>
      </c>
    </row>
    <row r="35" spans="1:29" ht="15">
      <c r="A35" s="408"/>
      <c r="B35" s="363" t="s">
        <v>1785</v>
      </c>
      <c r="C35" s="1753"/>
      <c r="D35" s="373">
        <v>100</v>
      </c>
      <c r="E35" s="1753"/>
      <c r="F35" s="399">
        <f>SUMIF(107:107,E35,108:108)-SUMIF(107:107,C35,108:108)+100</f>
        <v>100</v>
      </c>
      <c r="G35" s="1753"/>
      <c r="H35" s="373">
        <f>SUMIF(107:107,G35,108:108)-SUMIF(107:107,C35,108:108)+100</f>
        <v>100</v>
      </c>
      <c r="I35" s="1753"/>
      <c r="J35" s="373">
        <f>SUMIF(107:107,I35,108:108)-SUMIF(107:107,C35,108:108)+100</f>
        <v>100</v>
      </c>
      <c r="K35" s="537"/>
      <c r="L35" s="2483"/>
      <c r="M35" s="2478"/>
      <c r="N35" s="2478"/>
      <c r="O35" s="2478"/>
      <c r="P35" s="3403"/>
      <c r="Q35" s="1257" t="str">
        <f t="shared" si="11"/>
        <v>公共部分装修</v>
      </c>
      <c r="R35" s="666" t="s">
        <v>14</v>
      </c>
      <c r="S35" s="667">
        <f t="shared" si="12"/>
        <v>100</v>
      </c>
      <c r="T35" s="666" t="s">
        <v>14</v>
      </c>
      <c r="U35" s="667">
        <f t="shared" si="13"/>
        <v>100</v>
      </c>
      <c r="V35" s="666" t="s">
        <v>14</v>
      </c>
      <c r="W35" s="667">
        <f t="shared" si="14"/>
        <v>100</v>
      </c>
      <c r="X35" s="1259"/>
      <c r="Y35" s="3367"/>
      <c r="Z35" s="1258" t="str">
        <f t="shared" si="15"/>
        <v>公共部分装修</v>
      </c>
      <c r="AA35" s="1258">
        <f t="shared" si="3"/>
        <v>1</v>
      </c>
      <c r="AB35" s="1258">
        <f t="shared" si="4"/>
        <v>1</v>
      </c>
      <c r="AC35" s="1258">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3"/>
      <c r="M36" s="2478"/>
      <c r="N36" s="2478"/>
      <c r="O36" s="2478"/>
      <c r="P36" s="3403"/>
      <c r="Q36" s="1257" t="str">
        <f t="shared" si="11"/>
        <v>成新度</v>
      </c>
      <c r="R36" s="666" t="s">
        <v>14</v>
      </c>
      <c r="S36" s="667" t="e">
        <f t="shared" si="12"/>
        <v>#N/A</v>
      </c>
      <c r="T36" s="666" t="s">
        <v>14</v>
      </c>
      <c r="U36" s="667" t="e">
        <f t="shared" si="13"/>
        <v>#N/A</v>
      </c>
      <c r="V36" s="666" t="s">
        <v>14</v>
      </c>
      <c r="W36" s="667" t="e">
        <f t="shared" si="14"/>
        <v>#N/A</v>
      </c>
      <c r="X36" s="1259"/>
      <c r="Y36" s="3367"/>
      <c r="Z36" s="1258" t="str">
        <f t="shared" si="15"/>
        <v>成新度</v>
      </c>
      <c r="AA36" s="1258" t="e">
        <f t="shared" si="3"/>
        <v>#N/A</v>
      </c>
      <c r="AB36" s="1258" t="e">
        <f t="shared" si="4"/>
        <v>#N/A</v>
      </c>
      <c r="AC36" s="1258" t="e">
        <f t="shared" si="5"/>
        <v>#N/A</v>
      </c>
    </row>
    <row r="37" spans="1:29" s="102" customFormat="1" ht="15">
      <c r="A37" s="409"/>
      <c r="B37" s="363" t="s">
        <v>1787</v>
      </c>
      <c r="C37" s="1753"/>
      <c r="D37" s="118">
        <v>100</v>
      </c>
      <c r="E37" s="1753"/>
      <c r="F37" s="399">
        <f>SUMIF(112:112,E37,113:113)-SUMIF(112:112,C37,113:113)+100</f>
        <v>100</v>
      </c>
      <c r="G37" s="1753"/>
      <c r="H37" s="373">
        <f>SUMIF(112:112,G37,113:113)-SUMIF(112:112,C37,113:113)+100</f>
        <v>100</v>
      </c>
      <c r="I37" s="1753"/>
      <c r="J37" s="373">
        <f>SUMIF(112:112,I37,113:113)-SUMIF(112:112,C37,113:113)+100</f>
        <v>100</v>
      </c>
      <c r="K37" s="537"/>
      <c r="L37" s="2479"/>
      <c r="M37" s="2431"/>
      <c r="N37" s="2431"/>
      <c r="O37" s="2431"/>
      <c r="P37" s="3403"/>
      <c r="Q37" s="529" t="str">
        <f t="shared" si="11"/>
        <v>市政基础设施</v>
      </c>
      <c r="R37" s="663" t="s">
        <v>14</v>
      </c>
      <c r="S37" s="664">
        <f t="shared" si="12"/>
        <v>100</v>
      </c>
      <c r="T37" s="663" t="s">
        <v>14</v>
      </c>
      <c r="U37" s="664">
        <f t="shared" si="13"/>
        <v>100</v>
      </c>
      <c r="V37" s="663" t="s">
        <v>14</v>
      </c>
      <c r="W37" s="664">
        <f t="shared" si="14"/>
        <v>100</v>
      </c>
      <c r="X37" s="665"/>
      <c r="Y37" s="3367"/>
      <c r="Z37" s="50" t="str">
        <f t="shared" si="15"/>
        <v>市政基础设施</v>
      </c>
      <c r="AA37" s="50">
        <f t="shared" si="3"/>
        <v>1</v>
      </c>
      <c r="AB37" s="50">
        <f t="shared" si="4"/>
        <v>1</v>
      </c>
      <c r="AC37" s="50">
        <f t="shared" si="5"/>
        <v>1</v>
      </c>
    </row>
    <row r="38" spans="1:29" ht="15">
      <c r="A38" s="408"/>
      <c r="B38" s="363" t="s">
        <v>1788</v>
      </c>
      <c r="C38" s="1753"/>
      <c r="D38" s="373">
        <v>100</v>
      </c>
      <c r="E38" s="1753"/>
      <c r="F38" s="399">
        <f>SUMIF(114:114,E38,115:115)-SUMIF(114:114,C38,115:115)+100</f>
        <v>100</v>
      </c>
      <c r="G38" s="1753"/>
      <c r="H38" s="373">
        <f>SUMIF(114:114,G38,115:115)-SUMIF(114:114,C38,115:115)+100</f>
        <v>100</v>
      </c>
      <c r="I38" s="1753"/>
      <c r="J38" s="373">
        <f>SUMIF(114:114,I38,115:115)-SUMIF(114:114,C38,115:115)+100</f>
        <v>100</v>
      </c>
      <c r="K38" s="537"/>
      <c r="L38" s="2483"/>
      <c r="M38" s="2478"/>
      <c r="N38" s="2478"/>
      <c r="O38" s="2478"/>
      <c r="P38" s="3403" t="s">
        <v>1696</v>
      </c>
      <c r="Q38" s="1257" t="str">
        <f t="shared" si="11"/>
        <v>业态</v>
      </c>
      <c r="R38" s="666" t="s">
        <v>14</v>
      </c>
      <c r="S38" s="667">
        <f t="shared" si="12"/>
        <v>100</v>
      </c>
      <c r="T38" s="666" t="s">
        <v>14</v>
      </c>
      <c r="U38" s="667">
        <f t="shared" si="13"/>
        <v>100</v>
      </c>
      <c r="V38" s="666" t="s">
        <v>14</v>
      </c>
      <c r="W38" s="667">
        <f t="shared" si="14"/>
        <v>100</v>
      </c>
      <c r="X38" s="1259"/>
      <c r="Y38" s="3367" t="s">
        <v>1696</v>
      </c>
      <c r="Z38" s="1258" t="str">
        <f t="shared" si="15"/>
        <v>业态</v>
      </c>
      <c r="AA38" s="1258">
        <f t="shared" si="3"/>
        <v>1</v>
      </c>
      <c r="AB38" s="1258">
        <f t="shared" si="4"/>
        <v>1</v>
      </c>
      <c r="AC38" s="1258">
        <f t="shared" si="5"/>
        <v>1</v>
      </c>
    </row>
    <row r="39" spans="1:29" ht="15">
      <c r="A39" s="408"/>
      <c r="B39" s="363" t="s">
        <v>1789</v>
      </c>
      <c r="C39" s="1753"/>
      <c r="D39" s="373">
        <v>100</v>
      </c>
      <c r="E39" s="1753"/>
      <c r="F39" s="399">
        <f>SUMIF(116:116,E39,117:117)-SUMIF(116:116,C39,117:117)+100</f>
        <v>100</v>
      </c>
      <c r="G39" s="1753"/>
      <c r="H39" s="373">
        <f>SUMIF(116:116,G39,117:117)-SUMIF(116:116,C39,117:117)+100</f>
        <v>100</v>
      </c>
      <c r="I39" s="1753"/>
      <c r="J39" s="373">
        <f>SUMIF(116:116,I39,117:117)-SUMIF(116:116,C39,117:117)+100</f>
        <v>100</v>
      </c>
      <c r="K39" s="537"/>
      <c r="L39" s="2483"/>
      <c r="M39" s="2478"/>
      <c r="N39" s="2478"/>
      <c r="O39" s="2478"/>
      <c r="P39" s="3403"/>
      <c r="Q39" s="1257" t="str">
        <f t="shared" si="11"/>
        <v>层高</v>
      </c>
      <c r="R39" s="666" t="s">
        <v>14</v>
      </c>
      <c r="S39" s="667">
        <f t="shared" si="12"/>
        <v>100</v>
      </c>
      <c r="T39" s="666" t="s">
        <v>14</v>
      </c>
      <c r="U39" s="667">
        <f t="shared" si="13"/>
        <v>100</v>
      </c>
      <c r="V39" s="666" t="s">
        <v>14</v>
      </c>
      <c r="W39" s="667">
        <f t="shared" si="14"/>
        <v>100</v>
      </c>
      <c r="X39" s="1259"/>
      <c r="Y39" s="3367"/>
      <c r="Z39" s="1258" t="str">
        <f t="shared" si="15"/>
        <v>层高</v>
      </c>
      <c r="AA39" s="1258">
        <f t="shared" si="3"/>
        <v>1</v>
      </c>
      <c r="AB39" s="1258">
        <f t="shared" si="4"/>
        <v>1</v>
      </c>
      <c r="AC39" s="1258">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3"/>
      <c r="M40" s="2478"/>
      <c r="N40" s="2478"/>
      <c r="O40" s="2478"/>
      <c r="P40" s="3403"/>
      <c r="Q40" s="1257" t="str">
        <f t="shared" si="11"/>
        <v>单套建筑面积</v>
      </c>
      <c r="R40" s="666" t="s">
        <v>14</v>
      </c>
      <c r="S40" s="667">
        <f t="shared" si="12"/>
        <v>100</v>
      </c>
      <c r="T40" s="666" t="s">
        <v>14</v>
      </c>
      <c r="U40" s="667">
        <f t="shared" si="13"/>
        <v>100</v>
      </c>
      <c r="V40" s="666" t="s">
        <v>14</v>
      </c>
      <c r="W40" s="667">
        <f t="shared" si="14"/>
        <v>100</v>
      </c>
      <c r="X40" s="1259"/>
      <c r="Y40" s="3367"/>
      <c r="Z40" s="1258" t="str">
        <f t="shared" si="15"/>
        <v>单套建筑面积</v>
      </c>
      <c r="AA40" s="1258">
        <f t="shared" si="3"/>
        <v>1</v>
      </c>
      <c r="AB40" s="1258">
        <f t="shared" si="4"/>
        <v>1</v>
      </c>
      <c r="AC40" s="1258">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03"/>
      <c r="Q41" s="530" t="str">
        <f t="shared" si="11"/>
        <v>进深比</v>
      </c>
      <c r="R41" s="668" t="s">
        <v>14</v>
      </c>
      <c r="S41" s="669">
        <f t="shared" si="12"/>
        <v>100</v>
      </c>
      <c r="T41" s="668" t="s">
        <v>14</v>
      </c>
      <c r="U41" s="669">
        <f t="shared" si="13"/>
        <v>100</v>
      </c>
      <c r="V41" s="668" t="s">
        <v>14</v>
      </c>
      <c r="W41" s="669">
        <f t="shared" si="14"/>
        <v>100</v>
      </c>
      <c r="X41" s="670"/>
      <c r="Y41" s="3367"/>
      <c r="Z41" s="671" t="str">
        <f t="shared" si="15"/>
        <v>进深比</v>
      </c>
      <c r="AA41" s="1258">
        <f t="shared" si="3"/>
        <v>1</v>
      </c>
      <c r="AB41" s="1258">
        <f t="shared" si="4"/>
        <v>1</v>
      </c>
      <c r="AC41" s="1258">
        <f t="shared" si="5"/>
        <v>1</v>
      </c>
    </row>
    <row r="42" spans="1:29" ht="15">
      <c r="A42" s="408"/>
      <c r="B42" s="363" t="s">
        <v>1792</v>
      </c>
      <c r="C42" s="1753"/>
      <c r="D42" s="373">
        <v>100</v>
      </c>
      <c r="E42" s="1753"/>
      <c r="F42" s="399">
        <f>SUMIF(122:122,E42,123:123)-SUMIF(122:122,C42,123:123)+100</f>
        <v>100</v>
      </c>
      <c r="G42" s="1753"/>
      <c r="H42" s="373">
        <f>SUMIF(122:122,G42,123:123)-SUMIF(122:122,C42,123:123)+100</f>
        <v>100</v>
      </c>
      <c r="I42" s="1753"/>
      <c r="J42" s="373">
        <f>SUMIF(122:122,I42,123:123)-SUMIF(122:122,C42,123:123)+100</f>
        <v>100</v>
      </c>
      <c r="K42" s="537"/>
      <c r="L42" s="2483"/>
      <c r="M42" s="2478"/>
      <c r="N42" s="2478"/>
      <c r="O42" s="2478"/>
      <c r="P42" s="3403"/>
      <c r="Q42" s="1257" t="str">
        <f t="shared" si="11"/>
        <v>内部装修</v>
      </c>
      <c r="R42" s="666" t="s">
        <v>14</v>
      </c>
      <c r="S42" s="667">
        <f t="shared" si="12"/>
        <v>100</v>
      </c>
      <c r="T42" s="666" t="s">
        <v>14</v>
      </c>
      <c r="U42" s="667">
        <f t="shared" si="13"/>
        <v>100</v>
      </c>
      <c r="V42" s="666" t="s">
        <v>14</v>
      </c>
      <c r="W42" s="667">
        <f t="shared" si="14"/>
        <v>100</v>
      </c>
      <c r="X42" s="1259"/>
      <c r="Y42" s="3367"/>
      <c r="Z42" s="1258" t="str">
        <f t="shared" si="15"/>
        <v>内部装修</v>
      </c>
      <c r="AA42" s="1258">
        <f t="shared" si="3"/>
        <v>1</v>
      </c>
      <c r="AB42" s="1258">
        <f t="shared" si="4"/>
        <v>1</v>
      </c>
      <c r="AC42" s="1258">
        <f t="shared" si="5"/>
        <v>1</v>
      </c>
    </row>
    <row r="43" spans="1:29" ht="15">
      <c r="A43" s="408"/>
      <c r="B43" s="363" t="s">
        <v>1707</v>
      </c>
      <c r="C43" s="1753"/>
      <c r="D43" s="373">
        <v>100</v>
      </c>
      <c r="E43" s="1753"/>
      <c r="F43" s="399">
        <f>SUMIF(124:124,E43,125:125)-SUMIF(124:124,C43,125:125)+100</f>
        <v>100</v>
      </c>
      <c r="G43" s="1753"/>
      <c r="H43" s="373">
        <f>SUMIF(124:124,G43,125:125)-SUMIF(124:124,C43,125:125)+100</f>
        <v>100</v>
      </c>
      <c r="I43" s="1753"/>
      <c r="J43" s="373">
        <f>SUMIF(124:124,I43,125:125)-SUMIF(124:124,C43,125:125)+100</f>
        <v>100</v>
      </c>
      <c r="K43" s="537"/>
      <c r="L43" s="2483"/>
      <c r="M43" s="2478"/>
      <c r="N43" s="2478"/>
      <c r="O43" s="2478"/>
      <c r="P43" s="3403"/>
      <c r="Q43" s="1257" t="str">
        <f t="shared" si="11"/>
        <v>内部装修维护情况</v>
      </c>
      <c r="R43" s="666" t="s">
        <v>14</v>
      </c>
      <c r="S43" s="667">
        <f t="shared" si="12"/>
        <v>100</v>
      </c>
      <c r="T43" s="666" t="s">
        <v>14</v>
      </c>
      <c r="U43" s="667">
        <f t="shared" si="13"/>
        <v>100</v>
      </c>
      <c r="V43" s="666" t="s">
        <v>14</v>
      </c>
      <c r="W43" s="667">
        <f t="shared" si="14"/>
        <v>100</v>
      </c>
      <c r="X43" s="1259"/>
      <c r="Y43" s="3367"/>
      <c r="Z43" s="1258" t="str">
        <f t="shared" si="15"/>
        <v>内部装修维护情况</v>
      </c>
      <c r="AA43" s="1258">
        <f t="shared" si="3"/>
        <v>1</v>
      </c>
      <c r="AB43" s="1258">
        <f t="shared" si="4"/>
        <v>1</v>
      </c>
      <c r="AC43" s="1258">
        <f t="shared" si="5"/>
        <v>1</v>
      </c>
    </row>
    <row r="44" spans="1:29" s="102" customFormat="1" ht="15">
      <c r="A44" s="409"/>
      <c r="B44" s="1060">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03"/>
      <c r="Q44" s="529">
        <f t="shared" si="11"/>
        <v>111</v>
      </c>
      <c r="R44" s="663" t="s">
        <v>14</v>
      </c>
      <c r="S44" s="664">
        <f t="shared" si="12"/>
        <v>100</v>
      </c>
      <c r="T44" s="663" t="s">
        <v>14</v>
      </c>
      <c r="U44" s="664">
        <f t="shared" si="13"/>
        <v>100</v>
      </c>
      <c r="V44" s="663" t="s">
        <v>14</v>
      </c>
      <c r="W44" s="664">
        <f t="shared" si="14"/>
        <v>100</v>
      </c>
      <c r="X44" s="665"/>
      <c r="Y44" s="3367"/>
      <c r="Z44" s="50">
        <f t="shared" si="15"/>
        <v>111</v>
      </c>
      <c r="AA44" s="50">
        <f t="shared" si="3"/>
        <v>1</v>
      </c>
      <c r="AB44" s="50">
        <f t="shared" si="4"/>
        <v>1</v>
      </c>
      <c r="AC44" s="50">
        <f t="shared" si="5"/>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03"/>
      <c r="Q45" s="1257">
        <f t="shared" si="11"/>
        <v>111</v>
      </c>
      <c r="R45" s="666" t="s">
        <v>14</v>
      </c>
      <c r="S45" s="667">
        <f t="shared" si="12"/>
        <v>100</v>
      </c>
      <c r="T45" s="666" t="s">
        <v>14</v>
      </c>
      <c r="U45" s="667">
        <f t="shared" si="13"/>
        <v>100</v>
      </c>
      <c r="V45" s="666" t="s">
        <v>14</v>
      </c>
      <c r="W45" s="667">
        <f t="shared" si="14"/>
        <v>100</v>
      </c>
      <c r="X45" s="1259"/>
      <c r="Y45" s="3367"/>
      <c r="Z45" s="1258">
        <f t="shared" si="15"/>
        <v>111</v>
      </c>
      <c r="AA45" s="1258">
        <f t="shared" si="3"/>
        <v>1</v>
      </c>
      <c r="AB45" s="1258">
        <f t="shared" si="4"/>
        <v>1</v>
      </c>
      <c r="AC45" s="1258">
        <f t="shared" si="5"/>
        <v>1</v>
      </c>
    </row>
    <row r="46" spans="1:29" ht="15.75" thickBot="1">
      <c r="A46" s="414"/>
      <c r="B46" s="1742">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04"/>
      <c r="Q46" s="1257">
        <f t="shared" si="11"/>
        <v>111</v>
      </c>
      <c r="R46" s="666" t="s">
        <v>14</v>
      </c>
      <c r="S46" s="667">
        <f t="shared" si="12"/>
        <v>100</v>
      </c>
      <c r="T46" s="666" t="s">
        <v>14</v>
      </c>
      <c r="U46" s="667">
        <f t="shared" si="13"/>
        <v>100</v>
      </c>
      <c r="V46" s="666" t="s">
        <v>14</v>
      </c>
      <c r="W46" s="667">
        <f t="shared" si="14"/>
        <v>100</v>
      </c>
      <c r="X46" s="1259"/>
      <c r="Y46" s="3405"/>
      <c r="Z46" s="1258">
        <f t="shared" si="15"/>
        <v>111</v>
      </c>
      <c r="AA46" s="1258">
        <f t="shared" si="3"/>
        <v>1</v>
      </c>
      <c r="AB46" s="1258">
        <f t="shared" si="4"/>
        <v>1</v>
      </c>
      <c r="AC46" s="1258">
        <f t="shared" si="5"/>
        <v>1</v>
      </c>
    </row>
    <row r="47" spans="1:29" ht="15">
      <c r="A47" s="415" t="s">
        <v>1708</v>
      </c>
      <c r="B47" s="416"/>
      <c r="C47" s="1075" t="s">
        <v>0</v>
      </c>
      <c r="D47" s="417"/>
      <c r="E47" s="418"/>
      <c r="F47" s="419"/>
      <c r="G47" s="420"/>
      <c r="H47" s="421"/>
      <c r="I47" s="418"/>
      <c r="J47" s="421"/>
      <c r="K47" s="673"/>
      <c r="L47" s="2485"/>
      <c r="M47" s="2478"/>
      <c r="N47" s="2478"/>
      <c r="O47" s="2478"/>
      <c r="P47" s="3363" t="str">
        <f>A47</f>
        <v>成交单价（元/平方米）</v>
      </c>
      <c r="Q47" s="3363"/>
      <c r="R47" s="3368">
        <f>E47</f>
        <v>0</v>
      </c>
      <c r="S47" s="3368"/>
      <c r="T47" s="3368">
        <f>G47</f>
        <v>0</v>
      </c>
      <c r="U47" s="3368"/>
      <c r="V47" s="3368">
        <f>I47</f>
        <v>0</v>
      </c>
      <c r="W47" s="3368"/>
      <c r="X47" s="384"/>
      <c r="Y47" s="672"/>
      <c r="Z47" s="384"/>
      <c r="AA47" s="384"/>
      <c r="AB47" s="384"/>
      <c r="AC47" s="384"/>
    </row>
    <row r="48" spans="1:29" ht="15.75" thickBot="1">
      <c r="A48" s="422" t="s">
        <v>1793</v>
      </c>
      <c r="B48" s="423"/>
      <c r="C48" s="1076" t="e">
        <f>R49</f>
        <v>#DIV/0!</v>
      </c>
      <c r="D48" s="2133" t="s">
        <v>2137</v>
      </c>
      <c r="E48" s="1077" t="e">
        <f>R48</f>
        <v>#DIV/0!</v>
      </c>
      <c r="F48" s="2134"/>
      <c r="G48" s="1076" t="e">
        <f>T48</f>
        <v>#DIV/0!</v>
      </c>
      <c r="H48" s="2134"/>
      <c r="I48" s="1077" t="e">
        <f>V48</f>
        <v>#DIV/0!</v>
      </c>
      <c r="J48" s="2134"/>
      <c r="K48" s="2136">
        <f>F48+H48+J48</f>
        <v>0</v>
      </c>
      <c r="L48" s="2485"/>
      <c r="M48" s="2478"/>
      <c r="N48" s="2478"/>
      <c r="O48" s="2478"/>
      <c r="P48" s="3363" t="str">
        <f>A48</f>
        <v>比较价值（元/平方米）</v>
      </c>
      <c r="Q48" s="3363"/>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5"/>
      <c r="M49" s="2478"/>
      <c r="N49" s="2478"/>
      <c r="O49" s="2478"/>
      <c r="P49" s="3357" t="str">
        <f>A49</f>
        <v>估价对象XX用房的比较价值（楼面单价，元/平方米）</v>
      </c>
      <c r="Q49" s="3358"/>
      <c r="R49" s="3401" t="e">
        <f>IF(F1="售价",ROUND(IF(D48="简单平均",AVERAGE(R48:V48),R48*F48+T48*H48+V48*J48),0),ROUND(IF(D48="简单平均",AVERAGE(R48:V48),R48*F48+T48*H48+V48*J48),1))</f>
        <v>#DIV/0!</v>
      </c>
      <c r="S49" s="3401"/>
      <c r="T49" s="3401"/>
      <c r="U49" s="3401"/>
      <c r="V49" s="3401"/>
      <c r="W49" s="3401"/>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7" t="s">
        <v>1798</v>
      </c>
      <c r="B57" s="384"/>
      <c r="C57" s="658"/>
      <c r="D57" s="658"/>
      <c r="E57" s="658"/>
      <c r="F57" s="659"/>
      <c r="G57" s="659"/>
      <c r="H57" s="658"/>
      <c r="I57" s="658"/>
      <c r="J57" s="658"/>
      <c r="K57" s="660"/>
      <c r="L57" s="882"/>
      <c r="M57" s="880"/>
      <c r="N57" s="880"/>
      <c r="O57" s="880"/>
      <c r="P57" s="2498"/>
      <c r="Q57" s="2499"/>
      <c r="R57" s="2478"/>
      <c r="S57" s="2478"/>
      <c r="T57" s="2478"/>
      <c r="U57" s="2478"/>
      <c r="V57" s="2478"/>
      <c r="W57" s="2478"/>
      <c r="X57" s="2478"/>
      <c r="Y57" s="2478"/>
      <c r="Z57" s="2478"/>
      <c r="AA57" s="2478"/>
      <c r="AB57" s="2478"/>
      <c r="AC57" s="2478"/>
    </row>
    <row r="58" spans="1:29" s="441" customFormat="1" ht="15">
      <c r="A58" s="439" t="s">
        <v>1679</v>
      </c>
      <c r="B58" s="440"/>
      <c r="C58" s="1097" t="str">
        <f>YEAR(C7)&amp;"-"&amp;MONTH(C7)</f>
        <v>2024-10</v>
      </c>
      <c r="D58" s="1098">
        <f>EDATE(C58,-1)</f>
        <v>45536</v>
      </c>
      <c r="E58" s="1098">
        <f t="shared" ref="E58:N58" si="16">EDATE(D58,-1)</f>
        <v>45505</v>
      </c>
      <c r="F58" s="1098">
        <f t="shared" si="16"/>
        <v>45474</v>
      </c>
      <c r="G58" s="1098">
        <f t="shared" si="16"/>
        <v>45444</v>
      </c>
      <c r="H58" s="1098">
        <f t="shared" si="16"/>
        <v>45413</v>
      </c>
      <c r="I58" s="1098">
        <f t="shared" si="16"/>
        <v>45383</v>
      </c>
      <c r="J58" s="1098">
        <f t="shared" si="16"/>
        <v>45352</v>
      </c>
      <c r="K58" s="1098">
        <f t="shared" si="16"/>
        <v>45323</v>
      </c>
      <c r="L58" s="1098">
        <f t="shared" si="16"/>
        <v>45292</v>
      </c>
      <c r="M58" s="1098">
        <f t="shared" si="16"/>
        <v>45261</v>
      </c>
      <c r="N58" s="1098">
        <f t="shared" si="16"/>
        <v>45231</v>
      </c>
      <c r="O58" s="1098">
        <f>EDATE(N58,-1)</f>
        <v>45200</v>
      </c>
      <c r="P58" s="2500"/>
      <c r="Q58" s="2501"/>
      <c r="R58" s="2501"/>
      <c r="S58" s="2501"/>
      <c r="T58" s="2501"/>
      <c r="U58" s="2501"/>
      <c r="V58" s="2501"/>
      <c r="W58" s="2501"/>
      <c r="X58" s="2501"/>
      <c r="Y58" s="2501"/>
      <c r="Z58" s="2501"/>
      <c r="AA58" s="2501"/>
      <c r="AB58" s="2501"/>
      <c r="AC58" s="2501"/>
    </row>
    <row r="59" spans="1:29" s="102" customFormat="1" ht="15">
      <c r="A59" s="442"/>
      <c r="B59" s="443"/>
      <c r="C59" s="1096">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2"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2" customFormat="1" ht="15">
      <c r="A61" s="454" t="s">
        <v>1681</v>
      </c>
      <c r="B61" s="443"/>
      <c r="C61" s="455" t="s">
        <v>1776</v>
      </c>
      <c r="D61" s="31"/>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2" customFormat="1" ht="15.75" thickBot="1">
      <c r="A62" s="454"/>
      <c r="B62" s="443"/>
      <c r="C62" s="444">
        <v>100</v>
      </c>
      <c r="D62" s="445"/>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c r="A63" s="378" t="s">
        <v>1719</v>
      </c>
      <c r="B63" s="459" t="s">
        <v>1685</v>
      </c>
      <c r="C63" s="460">
        <f>C9</f>
        <v>0</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479"/>
      <c r="D68" s="479"/>
      <c r="E68" s="479"/>
      <c r="F68" s="479"/>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80" t="s">
        <v>1799</v>
      </c>
      <c r="D82" s="580" t="s">
        <v>1800</v>
      </c>
      <c r="E82" s="580" t="s">
        <v>1801</v>
      </c>
      <c r="F82" s="580" t="s">
        <v>1802</v>
      </c>
      <c r="G82" s="580" t="s">
        <v>1803</v>
      </c>
      <c r="H82" s="469"/>
      <c r="I82" s="469"/>
      <c r="J82" s="469"/>
      <c r="K82" s="469"/>
      <c r="L82" s="469"/>
      <c r="M82" s="1057"/>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2" customFormat="1" ht="15.75" thickTop="1">
      <c r="A86" s="369"/>
      <c r="B86" s="468" t="s">
        <v>1804</v>
      </c>
      <c r="C86" s="484"/>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3"/>
      <c r="O87" s="2513"/>
      <c r="P87" s="2504"/>
      <c r="Q87" s="2499"/>
      <c r="R87" s="2431"/>
      <c r="S87" s="2431"/>
      <c r="T87" s="2431"/>
      <c r="U87" s="2431"/>
      <c r="V87" s="2431"/>
      <c r="W87" s="2431"/>
      <c r="X87" s="2431"/>
      <c r="Y87" s="2431"/>
      <c r="Z87" s="2431"/>
      <c r="AA87" s="2431"/>
      <c r="AB87" s="2431"/>
      <c r="AC87" s="2431"/>
    </row>
    <row r="88" spans="1:29" s="102" customFormat="1" ht="15.75" thickTop="1">
      <c r="A88" s="369"/>
      <c r="B88" s="468" t="str">
        <f>B26</f>
        <v>平面位置/可视性</v>
      </c>
      <c r="C88" s="484"/>
      <c r="D88" s="484"/>
      <c r="E88" s="484"/>
      <c r="F88" s="1772"/>
      <c r="G88" s="484"/>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2" customFormat="1" ht="15.75" thickBot="1">
      <c r="A89" s="369"/>
      <c r="B89" s="473"/>
      <c r="C89" s="490"/>
      <c r="D89" s="466"/>
      <c r="E89" s="466"/>
      <c r="F89" s="466"/>
      <c r="G89" s="466"/>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484"/>
      <c r="D90" s="484"/>
      <c r="E90" s="484"/>
      <c r="F90" s="484"/>
      <c r="G90" s="484"/>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484"/>
      <c r="D92" s="484"/>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466"/>
      <c r="D93" s="466"/>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461"/>
      <c r="D100" s="461"/>
      <c r="E100" s="461"/>
      <c r="F100" s="461"/>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6"/>
      <c r="D103" s="6"/>
      <c r="E103" s="6"/>
      <c r="F103" s="6"/>
      <c r="G103" s="6"/>
      <c r="H103" s="6"/>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490"/>
      <c r="D104" s="466"/>
      <c r="E104" s="466"/>
      <c r="F104" s="466"/>
      <c r="G104" s="466"/>
      <c r="H104" s="466"/>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484"/>
      <c r="D105" s="484"/>
      <c r="E105" s="512"/>
      <c r="F105" s="512"/>
      <c r="G105" s="512"/>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484"/>
      <c r="D107" s="484"/>
      <c r="E107" s="484"/>
      <c r="F107" s="512"/>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7"/>
      <c r="J110" s="547"/>
      <c r="K110" s="548"/>
      <c r="L110" s="549"/>
      <c r="M110" s="550"/>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484"/>
      <c r="D112" s="484"/>
      <c r="E112" s="484"/>
      <c r="F112" s="484"/>
      <c r="G112" s="484"/>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484"/>
      <c r="D114" s="484"/>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484"/>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1"/>
      <c r="D118" s="551"/>
      <c r="E118" s="551"/>
      <c r="F118" s="551"/>
      <c r="G118" s="551"/>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8"/>
      <c r="B122" s="468" t="s">
        <v>1744</v>
      </c>
      <c r="C122" s="484"/>
      <c r="D122" s="484"/>
      <c r="E122" s="484"/>
      <c r="F122" s="512"/>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 thickTop="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5.75" thickBot="1">
      <c r="A129" s="366"/>
      <c r="B129" s="473"/>
      <c r="C129" s="490"/>
      <c r="D129" s="466"/>
      <c r="E129" s="466"/>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1810</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IF(E1="项目模式",IF(C2="——",ROUND(C50*D3/10000,0),ROUND(C50*D3/10000,0)-D2),IF(E1="单套模式",IF(C2="——",ROUND(C50*D3/10000,4),ROUND(C50*D3/10000,4)-D2)))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64756.12</v>
      </c>
      <c r="E3" s="1797"/>
      <c r="F3" s="850"/>
      <c r="G3" s="849"/>
      <c r="H3" s="849"/>
      <c r="I3" s="849"/>
      <c r="J3" s="849"/>
      <c r="K3" s="851"/>
      <c r="L3" s="2494"/>
      <c r="M3" s="2495"/>
      <c r="N3" s="2495"/>
      <c r="O3" s="2495"/>
      <c r="P3" s="340"/>
      <c r="Q3" s="340"/>
      <c r="R3" s="340"/>
      <c r="S3" s="340"/>
      <c r="T3" s="340"/>
      <c r="U3" s="340"/>
      <c r="V3" s="340"/>
      <c r="W3" s="340"/>
      <c r="X3" s="340"/>
      <c r="Y3" s="340"/>
      <c r="Z3" s="340"/>
      <c r="AA3" s="340"/>
      <c r="AB3" s="340"/>
      <c r="AC3" s="662"/>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442" t="s">
        <v>1775</v>
      </c>
      <c r="Q4" s="3443"/>
      <c r="R4" s="3446" t="s">
        <v>1771</v>
      </c>
      <c r="S4" s="3447"/>
      <c r="T4" s="3446" t="s">
        <v>1772</v>
      </c>
      <c r="U4" s="3447"/>
      <c r="V4" s="3448" t="s">
        <v>1773</v>
      </c>
      <c r="W4" s="3448"/>
      <c r="X4" s="1801"/>
      <c r="Y4" s="3446" t="s">
        <v>1775</v>
      </c>
      <c r="Z4" s="3447"/>
      <c r="AA4" s="3450" t="s">
        <v>1771</v>
      </c>
      <c r="AB4" s="3450" t="s">
        <v>1772</v>
      </c>
      <c r="AC4" s="3439" t="s">
        <v>1773</v>
      </c>
    </row>
    <row r="5" spans="1:29" ht="15">
      <c r="A5" s="347"/>
      <c r="B5" s="348"/>
      <c r="C5" s="3389" t="s">
        <v>1673</v>
      </c>
      <c r="D5" s="3390"/>
      <c r="E5" s="3396" t="s">
        <v>1674</v>
      </c>
      <c r="F5" s="3397"/>
      <c r="G5" s="3389" t="s">
        <v>1675</v>
      </c>
      <c r="H5" s="3390"/>
      <c r="I5" s="3389" t="s">
        <v>1676</v>
      </c>
      <c r="J5" s="3390"/>
      <c r="K5" s="536"/>
      <c r="L5" s="2477"/>
      <c r="M5" s="2478"/>
      <c r="N5" s="2478"/>
      <c r="O5" s="2478"/>
      <c r="P5" s="3444"/>
      <c r="Q5" s="3378"/>
      <c r="R5" s="3383"/>
      <c r="S5" s="3384"/>
      <c r="T5" s="3383"/>
      <c r="U5" s="3384"/>
      <c r="V5" s="3368"/>
      <c r="W5" s="3368"/>
      <c r="X5" s="1259"/>
      <c r="Y5" s="3383"/>
      <c r="Z5" s="3384"/>
      <c r="AA5" s="3370"/>
      <c r="AB5" s="3370"/>
      <c r="AC5" s="3440"/>
    </row>
    <row r="6" spans="1:29" ht="15.75" thickBot="1">
      <c r="A6" s="349"/>
      <c r="B6" s="350"/>
      <c r="C6" s="3387" t="s">
        <v>1677</v>
      </c>
      <c r="D6" s="3388"/>
      <c r="E6" s="3394" t="s">
        <v>1677</v>
      </c>
      <c r="F6" s="3395"/>
      <c r="G6" s="3387" t="s">
        <v>1677</v>
      </c>
      <c r="H6" s="3388"/>
      <c r="I6" s="3387" t="s">
        <v>1677</v>
      </c>
      <c r="J6" s="3388"/>
      <c r="K6" s="536" t="s">
        <v>1678</v>
      </c>
      <c r="L6" s="2477"/>
      <c r="M6" s="2478"/>
      <c r="N6" s="2478"/>
      <c r="O6" s="2478"/>
      <c r="P6" s="3445"/>
      <c r="Q6" s="3380"/>
      <c r="R6" s="3383"/>
      <c r="S6" s="3384"/>
      <c r="T6" s="3385"/>
      <c r="U6" s="3386"/>
      <c r="V6" s="3368"/>
      <c r="W6" s="3368"/>
      <c r="X6" s="1259"/>
      <c r="Y6" s="3385"/>
      <c r="Z6" s="3386"/>
      <c r="AA6" s="3371"/>
      <c r="AB6" s="3371"/>
      <c r="AC6" s="3441"/>
    </row>
    <row r="7" spans="1:29" s="102" customFormat="1" ht="15.75" thickBot="1">
      <c r="A7" s="351" t="s">
        <v>1679</v>
      </c>
      <c r="B7" s="352"/>
      <c r="C7" s="353">
        <f>'数据-取费表'!B2</f>
        <v>45595</v>
      </c>
      <c r="D7" s="354">
        <v>100</v>
      </c>
      <c r="E7" s="355"/>
      <c r="F7" s="356">
        <f>SUMIF(59:59,YEAR(E7)&amp;"-"&amp;MONTH(E7),60:60)</f>
        <v>0</v>
      </c>
      <c r="G7" s="355"/>
      <c r="H7" s="354">
        <f>SUMIF(59:59,YEAR(G7)&amp;"-"&amp;MONTH(G7),60:60)</f>
        <v>0</v>
      </c>
      <c r="I7" s="355"/>
      <c r="J7" s="354">
        <f>SUMIF(59:59,YEAR(I7)&amp;"-"&amp;MONTH(I7),60:60)</f>
        <v>0</v>
      </c>
      <c r="K7" s="38"/>
      <c r="L7" s="2479"/>
      <c r="M7" s="2431"/>
      <c r="N7" s="2431"/>
      <c r="O7" s="2431"/>
      <c r="P7" s="3449" t="s">
        <v>1680</v>
      </c>
      <c r="Q7" s="3393"/>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796"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49" t="s">
        <v>1683</v>
      </c>
      <c r="Q8" s="3392"/>
      <c r="R8" s="663" t="s">
        <v>14</v>
      </c>
      <c r="S8" s="664">
        <f t="shared" si="0"/>
        <v>100</v>
      </c>
      <c r="T8" s="663" t="s">
        <v>14</v>
      </c>
      <c r="U8" s="664">
        <f t="shared" si="1"/>
        <v>100</v>
      </c>
      <c r="V8" s="663" t="s">
        <v>14</v>
      </c>
      <c r="W8" s="664">
        <f t="shared" si="2"/>
        <v>100</v>
      </c>
      <c r="X8" s="665"/>
      <c r="Y8" s="3391" t="s">
        <v>1683</v>
      </c>
      <c r="Z8" s="3392"/>
      <c r="AA8" s="50">
        <f t="shared" ref="AA8:AA47" si="3">D8/F8</f>
        <v>1</v>
      </c>
      <c r="AB8" s="50">
        <f t="shared" ref="AB8:AB47" si="4">D8/H8</f>
        <v>1</v>
      </c>
      <c r="AC8" s="796">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62"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796">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62"/>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796">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62"/>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802"/>
      <c r="H12" s="118">
        <f>SUMIF(71:71,G12,72:72)-SUMIF(71:71,C12,72:72)+100</f>
        <v>100</v>
      </c>
      <c r="I12" s="370"/>
      <c r="J12" s="118">
        <f>SUMIF(71:71,I12,72:72)-SUMIF(71:71,C12,72:72)+100</f>
        <v>100</v>
      </c>
      <c r="K12" s="538"/>
      <c r="L12" s="2479"/>
      <c r="M12" s="2431"/>
      <c r="N12" s="2431"/>
      <c r="O12" s="2431"/>
      <c r="P12" s="3362"/>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802"/>
      <c r="H13" s="373">
        <f>SUMIF(73:73,G13,74:74)-SUMIF(73:73,C13,74:74)+100</f>
        <v>100</v>
      </c>
      <c r="I13" s="370"/>
      <c r="J13" s="373">
        <f>SUMIF(73:73,I13,74:74)-SUMIF(73:73,C13,74:74)+100</f>
        <v>100</v>
      </c>
      <c r="K13" s="538"/>
      <c r="L13" s="2483"/>
      <c r="M13" s="2478"/>
      <c r="N13" s="2478"/>
      <c r="O13" s="2478"/>
      <c r="P13" s="3362"/>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796">
        <f t="shared" si="5"/>
        <v>1</v>
      </c>
    </row>
    <row r="14" spans="1:29" ht="15.75" thickBot="1">
      <c r="A14" s="374"/>
      <c r="B14" s="1742">
        <v>111</v>
      </c>
      <c r="C14" s="375"/>
      <c r="D14" s="376">
        <v>100</v>
      </c>
      <c r="E14" s="552"/>
      <c r="F14" s="376">
        <f>SUMIF(75:75,E14,76:76)-SUMIF(75:75,C14,76:76)+100</f>
        <v>100</v>
      </c>
      <c r="G14" s="1802"/>
      <c r="H14" s="376">
        <f>SUMIF(75:75,G14,76:76)-SUMIF(75:75,C14,76:76)+100</f>
        <v>100</v>
      </c>
      <c r="I14" s="370"/>
      <c r="J14" s="376">
        <f>SUMIF(75:75,I14,76:76)-SUMIF(75:75,C14,76:76)+100</f>
        <v>100</v>
      </c>
      <c r="K14" s="538"/>
      <c r="L14" s="2483"/>
      <c r="M14" s="2478"/>
      <c r="N14" s="2478"/>
      <c r="O14" s="2478"/>
      <c r="P14" s="3362"/>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796">
        <f t="shared" si="5"/>
        <v>1</v>
      </c>
    </row>
    <row r="15" spans="1:29" ht="15">
      <c r="A15" s="378" t="s">
        <v>1690</v>
      </c>
      <c r="B15" s="553" t="s">
        <v>1811</v>
      </c>
      <c r="C15" s="1803">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06" t="s">
        <v>1691</v>
      </c>
      <c r="Q15" s="1257" t="str">
        <f t="shared" si="6"/>
        <v>办公集聚程度</v>
      </c>
      <c r="R15" s="666" t="s">
        <v>14</v>
      </c>
      <c r="S15" s="667">
        <f t="shared" si="0"/>
        <v>100</v>
      </c>
      <c r="T15" s="666" t="s">
        <v>14</v>
      </c>
      <c r="U15" s="667">
        <f t="shared" si="1"/>
        <v>100</v>
      </c>
      <c r="V15" s="666" t="s">
        <v>14</v>
      </c>
      <c r="W15" s="667">
        <f t="shared" si="2"/>
        <v>100</v>
      </c>
      <c r="X15" s="1259"/>
      <c r="Y15" s="3364" t="s">
        <v>1691</v>
      </c>
      <c r="Z15" s="1258" t="str">
        <f t="shared" si="7"/>
        <v>办公集聚程度</v>
      </c>
      <c r="AA15" s="1258">
        <f t="shared" si="3"/>
        <v>1</v>
      </c>
      <c r="AB15" s="1258">
        <f t="shared" si="4"/>
        <v>1</v>
      </c>
      <c r="AC15" s="1804">
        <f t="shared" si="5"/>
        <v>1</v>
      </c>
    </row>
    <row r="16" spans="1:29" ht="15">
      <c r="A16" s="366"/>
      <c r="B16" s="554"/>
      <c r="C16" s="1751"/>
      <c r="D16" s="386"/>
      <c r="E16" s="385"/>
      <c r="F16" s="386"/>
      <c r="G16" s="1751"/>
      <c r="H16" s="388"/>
      <c r="I16" s="385"/>
      <c r="J16" s="386"/>
      <c r="K16" s="540"/>
      <c r="L16" s="2483"/>
      <c r="M16" s="2478"/>
      <c r="N16" s="2478"/>
      <c r="O16" s="2478"/>
      <c r="P16" s="3407"/>
      <c r="Q16" s="1257"/>
      <c r="R16" s="666"/>
      <c r="S16" s="667"/>
      <c r="T16" s="666"/>
      <c r="U16" s="667"/>
      <c r="V16" s="666"/>
      <c r="W16" s="667"/>
      <c r="X16" s="1259"/>
      <c r="Y16" s="3365"/>
      <c r="Z16" s="1258"/>
      <c r="AA16" s="1258">
        <v>1</v>
      </c>
      <c r="AB16" s="1258">
        <v>1</v>
      </c>
      <c r="AC16" s="1804">
        <v>1</v>
      </c>
    </row>
    <row r="17" spans="1:29" ht="71.25">
      <c r="A17" s="366"/>
      <c r="B17" s="555" t="s">
        <v>1259</v>
      </c>
      <c r="C17" s="1805" t="str">
        <f>估价对象房地状况!C6</f>
        <v>估价对象周边道路状况、公共交通通达情况、停车便捷程度，综合评价交通便捷度一般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07"/>
      <c r="Q17" s="1257" t="str">
        <f>B17</f>
        <v>交通便捷度</v>
      </c>
      <c r="R17" s="666" t="s">
        <v>14</v>
      </c>
      <c r="S17" s="667">
        <f>F17</f>
        <v>100</v>
      </c>
      <c r="T17" s="666" t="s">
        <v>14</v>
      </c>
      <c r="U17" s="667">
        <f>H17</f>
        <v>100</v>
      </c>
      <c r="V17" s="666" t="s">
        <v>14</v>
      </c>
      <c r="W17" s="667">
        <f>J17</f>
        <v>100</v>
      </c>
      <c r="X17" s="1259"/>
      <c r="Y17" s="3365"/>
      <c r="Z17" s="1258" t="str">
        <f>Q17</f>
        <v>交通便捷度</v>
      </c>
      <c r="AA17" s="1258">
        <f t="shared" si="3"/>
        <v>1</v>
      </c>
      <c r="AB17" s="1258">
        <f t="shared" si="4"/>
        <v>1</v>
      </c>
      <c r="AC17" s="1804">
        <f t="shared" si="5"/>
        <v>1</v>
      </c>
    </row>
    <row r="18" spans="1:29" ht="15">
      <c r="A18" s="366"/>
      <c r="B18" s="400"/>
      <c r="C18" s="1806"/>
      <c r="D18" s="388"/>
      <c r="E18" s="1749"/>
      <c r="F18" s="388"/>
      <c r="G18" s="1750"/>
      <c r="H18" s="386"/>
      <c r="I18" s="1750"/>
      <c r="J18" s="386"/>
      <c r="K18" s="540"/>
      <c r="L18" s="2483"/>
      <c r="M18" s="2478"/>
      <c r="N18" s="2478"/>
      <c r="O18" s="2478"/>
      <c r="P18" s="3407"/>
      <c r="Q18" s="1257"/>
      <c r="R18" s="666"/>
      <c r="S18" s="667"/>
      <c r="T18" s="666"/>
      <c r="U18" s="667"/>
      <c r="V18" s="666"/>
      <c r="W18" s="667"/>
      <c r="X18" s="1259"/>
      <c r="Y18" s="3365"/>
      <c r="Z18" s="1258"/>
      <c r="AA18" s="1258">
        <v>1</v>
      </c>
      <c r="AB18" s="1258">
        <v>1</v>
      </c>
      <c r="AC18" s="1804">
        <v>1</v>
      </c>
    </row>
    <row r="19" spans="1:29" ht="42.75">
      <c r="A19" s="366"/>
      <c r="B19" s="555" t="s">
        <v>1812</v>
      </c>
      <c r="C19" s="1805" t="str">
        <f>估价对象房地状况!C7</f>
        <v>估价对象所在区域公共配套设施齐备情况一般</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07"/>
      <c r="Q19" s="1257" t="str">
        <f>B19</f>
        <v>公共配套设施</v>
      </c>
      <c r="R19" s="666" t="s">
        <v>14</v>
      </c>
      <c r="S19" s="667">
        <f>F19</f>
        <v>100</v>
      </c>
      <c r="T19" s="666" t="s">
        <v>14</v>
      </c>
      <c r="U19" s="667">
        <f>H19</f>
        <v>100</v>
      </c>
      <c r="V19" s="666" t="s">
        <v>14</v>
      </c>
      <c r="W19" s="667">
        <f>J19</f>
        <v>100</v>
      </c>
      <c r="X19" s="1259"/>
      <c r="Y19" s="3365"/>
      <c r="Z19" s="1258" t="str">
        <f>Q19</f>
        <v>公共配套设施</v>
      </c>
      <c r="AA19" s="1258">
        <f t="shared" si="3"/>
        <v>1</v>
      </c>
      <c r="AB19" s="1258">
        <f t="shared" si="4"/>
        <v>1</v>
      </c>
      <c r="AC19" s="1804">
        <f t="shared" si="5"/>
        <v>1</v>
      </c>
    </row>
    <row r="20" spans="1:29" ht="15">
      <c r="A20" s="366"/>
      <c r="B20" s="400"/>
      <c r="C20" s="1751"/>
      <c r="D20" s="386"/>
      <c r="E20" s="1744"/>
      <c r="F20" s="386"/>
      <c r="G20" s="1745"/>
      <c r="H20" s="386"/>
      <c r="I20" s="1745"/>
      <c r="J20" s="386"/>
      <c r="K20" s="540"/>
      <c r="L20" s="2483"/>
      <c r="M20" s="2478"/>
      <c r="N20" s="2478"/>
      <c r="O20" s="2478"/>
      <c r="P20" s="3407"/>
      <c r="Q20" s="1257"/>
      <c r="R20" s="666"/>
      <c r="S20" s="667"/>
      <c r="T20" s="666"/>
      <c r="U20" s="667"/>
      <c r="V20" s="666"/>
      <c r="W20" s="667"/>
      <c r="X20" s="1259"/>
      <c r="Y20" s="3365"/>
      <c r="Z20" s="1258"/>
      <c r="AA20" s="1258">
        <v>1</v>
      </c>
      <c r="AB20" s="1258">
        <v>1</v>
      </c>
      <c r="AC20" s="1804">
        <v>1</v>
      </c>
    </row>
    <row r="21" spans="1:29" ht="28.5">
      <c r="A21" s="366"/>
      <c r="B21" s="556" t="s">
        <v>1813</v>
      </c>
      <c r="C21" s="1805"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07"/>
      <c r="Q21" s="1257" t="str">
        <f>B21</f>
        <v>基础设施水平</v>
      </c>
      <c r="R21" s="666" t="s">
        <v>14</v>
      </c>
      <c r="S21" s="667">
        <f>F21</f>
        <v>100</v>
      </c>
      <c r="T21" s="666" t="s">
        <v>14</v>
      </c>
      <c r="U21" s="667">
        <f>H21</f>
        <v>100</v>
      </c>
      <c r="V21" s="666" t="s">
        <v>14</v>
      </c>
      <c r="W21" s="667">
        <f>J21</f>
        <v>100</v>
      </c>
      <c r="X21" s="1259"/>
      <c r="Y21" s="3365"/>
      <c r="Z21" s="1258" t="str">
        <f>Q21</f>
        <v>基础设施水平</v>
      </c>
      <c r="AA21" s="1258">
        <f t="shared" ref="AA21" si="8">D21/F21</f>
        <v>1</v>
      </c>
      <c r="AB21" s="1258">
        <f t="shared" ref="AB21" si="9">D21/H21</f>
        <v>1</v>
      </c>
      <c r="AC21" s="1804">
        <f t="shared" ref="AC21" si="10">D21/J21</f>
        <v>1</v>
      </c>
    </row>
    <row r="22" spans="1:29" ht="15">
      <c r="A22" s="366"/>
      <c r="B22" s="556"/>
      <c r="C22" s="1806"/>
      <c r="D22" s="386"/>
      <c r="E22" s="385"/>
      <c r="F22" s="386"/>
      <c r="G22" s="1751"/>
      <c r="H22" s="386"/>
      <c r="I22" s="1751"/>
      <c r="J22" s="386"/>
      <c r="K22" s="1058"/>
      <c r="L22" s="2483"/>
      <c r="M22" s="2478"/>
      <c r="N22" s="2478"/>
      <c r="O22" s="2478"/>
      <c r="P22" s="3407"/>
      <c r="Q22" s="1257"/>
      <c r="R22" s="666"/>
      <c r="S22" s="667"/>
      <c r="T22" s="666"/>
      <c r="U22" s="667"/>
      <c r="V22" s="666"/>
      <c r="W22" s="667"/>
      <c r="X22" s="1259"/>
      <c r="Y22" s="3365"/>
      <c r="Z22" s="1258"/>
      <c r="AA22" s="1258">
        <v>1</v>
      </c>
      <c r="AB22" s="1258">
        <v>1</v>
      </c>
      <c r="AC22" s="1804">
        <v>1</v>
      </c>
    </row>
    <row r="23" spans="1:29" ht="42.75">
      <c r="A23" s="366"/>
      <c r="B23" s="555" t="s">
        <v>1814</v>
      </c>
      <c r="C23" s="1805"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07"/>
      <c r="Q23" s="1257" t="str">
        <f>B23</f>
        <v>环境质量</v>
      </c>
      <c r="R23" s="666" t="s">
        <v>14</v>
      </c>
      <c r="S23" s="667">
        <f>F23</f>
        <v>100</v>
      </c>
      <c r="T23" s="666" t="s">
        <v>14</v>
      </c>
      <c r="U23" s="667">
        <f>H23</f>
        <v>100</v>
      </c>
      <c r="V23" s="666" t="s">
        <v>14</v>
      </c>
      <c r="W23" s="667">
        <f>J23</f>
        <v>100</v>
      </c>
      <c r="X23" s="1259"/>
      <c r="Y23" s="3365"/>
      <c r="Z23" s="1258" t="str">
        <f>Q23</f>
        <v>环境质量</v>
      </c>
      <c r="AA23" s="1258">
        <f t="shared" si="3"/>
        <v>1</v>
      </c>
      <c r="AB23" s="1258">
        <f t="shared" si="4"/>
        <v>1</v>
      </c>
      <c r="AC23" s="1804">
        <f t="shared" si="5"/>
        <v>1</v>
      </c>
    </row>
    <row r="24" spans="1:29" ht="15">
      <c r="A24" s="366"/>
      <c r="B24" s="556"/>
      <c r="C24" s="1751"/>
      <c r="D24" s="386"/>
      <c r="E24" s="1744"/>
      <c r="F24" s="386"/>
      <c r="G24" s="1745"/>
      <c r="H24" s="386"/>
      <c r="I24" s="1745"/>
      <c r="J24" s="386"/>
      <c r="K24" s="540"/>
      <c r="L24" s="2483"/>
      <c r="M24" s="2478"/>
      <c r="N24" s="2478"/>
      <c r="O24" s="2478"/>
      <c r="P24" s="3407"/>
      <c r="Q24" s="1257"/>
      <c r="R24" s="666"/>
      <c r="S24" s="667"/>
      <c r="T24" s="666"/>
      <c r="U24" s="667"/>
      <c r="V24" s="666"/>
      <c r="W24" s="667"/>
      <c r="X24" s="1259"/>
      <c r="Y24" s="3365"/>
      <c r="Z24" s="1258"/>
      <c r="AA24" s="1258">
        <v>1</v>
      </c>
      <c r="AB24" s="1258">
        <v>1</v>
      </c>
      <c r="AC24" s="1804">
        <v>1</v>
      </c>
    </row>
    <row r="25" spans="1:29" ht="27">
      <c r="A25" s="347"/>
      <c r="B25" s="555" t="s">
        <v>1815</v>
      </c>
      <c r="C25" s="1755"/>
      <c r="D25" s="373">
        <v>100</v>
      </c>
      <c r="E25" s="372"/>
      <c r="F25" s="373">
        <f>SUMIF(87:87,E26,88:88)-SUMIF(87:87,C26,88:88)+100</f>
        <v>100</v>
      </c>
      <c r="G25" s="1755"/>
      <c r="H25" s="373">
        <f>SUMIF(87:87,G26,88:88)-SUMIF(87:87,C26,88:88)+100</f>
        <v>100</v>
      </c>
      <c r="I25" s="372"/>
      <c r="J25" s="373">
        <f>SUMIF(87:87,I26,88:88)-SUMIF(87:87,C26,88:88)+100</f>
        <v>100</v>
      </c>
      <c r="K25" s="539"/>
      <c r="L25" s="2483"/>
      <c r="M25" s="2478"/>
      <c r="N25" s="2478"/>
      <c r="O25" s="2478"/>
      <c r="P25" s="3407"/>
      <c r="Q25" s="1257" t="str">
        <f>B25</f>
        <v>毗邻道路的类型与等级</v>
      </c>
      <c r="R25" s="666" t="s">
        <v>14</v>
      </c>
      <c r="S25" s="667">
        <f>F25</f>
        <v>100</v>
      </c>
      <c r="T25" s="666" t="s">
        <v>14</v>
      </c>
      <c r="U25" s="667">
        <f>H25</f>
        <v>100</v>
      </c>
      <c r="V25" s="666" t="s">
        <v>14</v>
      </c>
      <c r="W25" s="667">
        <f>J25</f>
        <v>100</v>
      </c>
      <c r="X25" s="1259"/>
      <c r="Y25" s="3365"/>
      <c r="Z25" s="1258" t="str">
        <f>Q25</f>
        <v>毗邻道路的类型与等级</v>
      </c>
      <c r="AA25" s="1258">
        <f t="shared" si="3"/>
        <v>1</v>
      </c>
      <c r="AB25" s="1258">
        <f t="shared" si="4"/>
        <v>1</v>
      </c>
      <c r="AC25" s="1804">
        <f t="shared" si="5"/>
        <v>1</v>
      </c>
    </row>
    <row r="26" spans="1:29" ht="15">
      <c r="A26" s="347"/>
      <c r="B26" s="400"/>
      <c r="C26" s="557"/>
      <c r="D26" s="373"/>
      <c r="E26" s="541"/>
      <c r="F26" s="373"/>
      <c r="G26" s="557"/>
      <c r="H26" s="373"/>
      <c r="I26" s="541"/>
      <c r="J26" s="373"/>
      <c r="K26" s="540"/>
      <c r="L26" s="2483"/>
      <c r="M26" s="2478"/>
      <c r="N26" s="2478"/>
      <c r="O26" s="2478"/>
      <c r="P26" s="3407"/>
      <c r="Q26" s="1257"/>
      <c r="R26" s="666"/>
      <c r="S26" s="667"/>
      <c r="T26" s="666"/>
      <c r="U26" s="667"/>
      <c r="V26" s="666"/>
      <c r="W26" s="667"/>
      <c r="X26" s="1259"/>
      <c r="Y26" s="3365"/>
      <c r="Z26" s="1258"/>
      <c r="AA26" s="1258">
        <v>1</v>
      </c>
      <c r="AB26" s="1258">
        <v>1</v>
      </c>
      <c r="AC26" s="1804">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3"/>
      <c r="M27" s="2478"/>
      <c r="N27" s="2478"/>
      <c r="O27" s="2478"/>
      <c r="P27" s="3407"/>
      <c r="Q27" s="1257" t="str">
        <f t="shared" ref="Q27:Q47" si="11">B27</f>
        <v>楼层</v>
      </c>
      <c r="R27" s="666" t="s">
        <v>14</v>
      </c>
      <c r="S27" s="667">
        <f>F27</f>
        <v>100</v>
      </c>
      <c r="T27" s="666" t="s">
        <v>14</v>
      </c>
      <c r="U27" s="667">
        <f>H27</f>
        <v>100</v>
      </c>
      <c r="V27" s="666" t="s">
        <v>14</v>
      </c>
      <c r="W27" s="667">
        <f>J27</f>
        <v>100</v>
      </c>
      <c r="X27" s="1259"/>
      <c r="Y27" s="3365"/>
      <c r="Z27" s="1258" t="str">
        <f>Q27</f>
        <v>楼层</v>
      </c>
      <c r="AA27" s="1258">
        <f t="shared" si="3"/>
        <v>1</v>
      </c>
      <c r="AB27" s="1258">
        <f t="shared" si="4"/>
        <v>1</v>
      </c>
      <c r="AC27" s="1804">
        <f t="shared" si="5"/>
        <v>1</v>
      </c>
    </row>
    <row r="28" spans="1:29" s="102" customFormat="1" ht="15">
      <c r="A28" s="369"/>
      <c r="B28" s="555" t="s">
        <v>1816</v>
      </c>
      <c r="C28" s="1807"/>
      <c r="D28" s="400">
        <v>100</v>
      </c>
      <c r="E28" s="1799"/>
      <c r="F28" s="400">
        <f>SUMIF(91:91,E28,92:92)-SUMIF(91:91,C28,92:92)+100</f>
        <v>100</v>
      </c>
      <c r="G28" s="1807"/>
      <c r="H28" s="400">
        <f>SUMIF(91:91,G28,92:92)-SUMIF(91:91,C28,92:92)+100</f>
        <v>100</v>
      </c>
      <c r="I28" s="1799"/>
      <c r="J28" s="400">
        <f>SUMIF(91:91,I28,92:92)-SUMIF(91:91,C28,92:92)+100</f>
        <v>100</v>
      </c>
      <c r="K28" s="537"/>
      <c r="L28" s="2479"/>
      <c r="M28" s="2431"/>
      <c r="N28" s="2431"/>
      <c r="O28" s="2431"/>
      <c r="P28" s="3407"/>
      <c r="Q28" s="529" t="str">
        <f t="shared" si="11"/>
        <v>朝向</v>
      </c>
      <c r="R28" s="663" t="s">
        <v>14</v>
      </c>
      <c r="S28" s="664">
        <f>F28</f>
        <v>100</v>
      </c>
      <c r="T28" s="663" t="s">
        <v>14</v>
      </c>
      <c r="U28" s="664">
        <f>H28</f>
        <v>100</v>
      </c>
      <c r="V28" s="663" t="s">
        <v>14</v>
      </c>
      <c r="W28" s="664">
        <f>J28</f>
        <v>100</v>
      </c>
      <c r="X28" s="665"/>
      <c r="Y28" s="3365"/>
      <c r="Z28" s="50" t="str">
        <f>Q28</f>
        <v>朝向</v>
      </c>
      <c r="AA28" s="1258">
        <f>D28/F28</f>
        <v>1</v>
      </c>
      <c r="AB28" s="1258">
        <f>D28/H28</f>
        <v>1</v>
      </c>
      <c r="AC28" s="1804">
        <f>D28/J28</f>
        <v>1</v>
      </c>
    </row>
    <row r="29" spans="1:29" ht="15">
      <c r="A29" s="366"/>
      <c r="B29" s="1093">
        <v>111</v>
      </c>
      <c r="C29" s="1755"/>
      <c r="D29" s="373">
        <v>100</v>
      </c>
      <c r="E29" s="370"/>
      <c r="F29" s="373">
        <f>SUMIF(93:93,E29,94:94)-SUMIF(93:93,C29,94:94)+100</f>
        <v>100</v>
      </c>
      <c r="G29" s="1802"/>
      <c r="H29" s="373">
        <f>SUMIF(93:93,G29,94:94)-SUMIF(93:93,C29,94:94)+100</f>
        <v>100</v>
      </c>
      <c r="I29" s="370"/>
      <c r="J29" s="373">
        <f>SUMIF(93:93,I29,94:94)-SUMIF(93:93,C29,94:94)+100</f>
        <v>100</v>
      </c>
      <c r="K29" s="538"/>
      <c r="L29" s="2483"/>
      <c r="M29" s="2478"/>
      <c r="N29" s="2478"/>
      <c r="O29" s="2478"/>
      <c r="P29" s="3407"/>
      <c r="Q29" s="1257">
        <f t="shared" si="11"/>
        <v>111</v>
      </c>
      <c r="R29" s="666" t="s">
        <v>14</v>
      </c>
      <c r="S29" s="667">
        <f t="shared" ref="S29:S47" si="12">F29</f>
        <v>100</v>
      </c>
      <c r="T29" s="666" t="s">
        <v>14</v>
      </c>
      <c r="U29" s="667">
        <f t="shared" ref="U29:U47" si="13">H29</f>
        <v>100</v>
      </c>
      <c r="V29" s="666" t="s">
        <v>14</v>
      </c>
      <c r="W29" s="667">
        <f t="shared" ref="W29:W47" si="14">J29</f>
        <v>100</v>
      </c>
      <c r="X29" s="1259"/>
      <c r="Y29" s="3365"/>
      <c r="Z29" s="1258">
        <f t="shared" ref="Z29:Z47" si="15">Q29</f>
        <v>111</v>
      </c>
      <c r="AA29" s="1258">
        <f t="shared" si="3"/>
        <v>1</v>
      </c>
      <c r="AB29" s="1258">
        <f t="shared" si="4"/>
        <v>1</v>
      </c>
      <c r="AC29" s="1804">
        <f t="shared" si="5"/>
        <v>1</v>
      </c>
    </row>
    <row r="30" spans="1:29" ht="15">
      <c r="A30" s="366"/>
      <c r="B30" s="1093">
        <v>111</v>
      </c>
      <c r="C30" s="1755"/>
      <c r="D30" s="373">
        <v>100</v>
      </c>
      <c r="E30" s="370"/>
      <c r="F30" s="373">
        <f>SUMIF(95:95,E30,96:96)-SUMIF(95:95,C30,96:96)+100</f>
        <v>100</v>
      </c>
      <c r="G30" s="1802"/>
      <c r="H30" s="373">
        <f>SUMIF(95:95,G30,96:96)-SUMIF(95:95,C30,96:96)+100</f>
        <v>100</v>
      </c>
      <c r="I30" s="370"/>
      <c r="J30" s="373">
        <f>SUMIF(95:95,I30,96:96)-SUMIF(95:95,C30,96:96)+100</f>
        <v>100</v>
      </c>
      <c r="K30" s="538"/>
      <c r="L30" s="2483"/>
      <c r="M30" s="2478"/>
      <c r="N30" s="2478"/>
      <c r="O30" s="2478"/>
      <c r="P30" s="3407"/>
      <c r="Q30" s="1257">
        <f t="shared" si="11"/>
        <v>111</v>
      </c>
      <c r="R30" s="666" t="s">
        <v>14</v>
      </c>
      <c r="S30" s="667">
        <f t="shared" si="12"/>
        <v>100</v>
      </c>
      <c r="T30" s="666" t="s">
        <v>14</v>
      </c>
      <c r="U30" s="667">
        <f t="shared" si="13"/>
        <v>100</v>
      </c>
      <c r="V30" s="666" t="s">
        <v>14</v>
      </c>
      <c r="W30" s="667">
        <f t="shared" si="14"/>
        <v>100</v>
      </c>
      <c r="X30" s="1259"/>
      <c r="Y30" s="3365"/>
      <c r="Z30" s="1258">
        <f t="shared" si="15"/>
        <v>111</v>
      </c>
      <c r="AA30" s="1258">
        <f t="shared" si="3"/>
        <v>1</v>
      </c>
      <c r="AB30" s="1258">
        <f t="shared" si="4"/>
        <v>1</v>
      </c>
      <c r="AC30" s="1804">
        <f t="shared" si="5"/>
        <v>1</v>
      </c>
    </row>
    <row r="31" spans="1:29" ht="15">
      <c r="A31" s="366"/>
      <c r="B31" s="1093">
        <v>111</v>
      </c>
      <c r="C31" s="1755"/>
      <c r="D31" s="373">
        <v>100</v>
      </c>
      <c r="E31" s="370"/>
      <c r="F31" s="373">
        <f>SUMIF(97:97,E31,98:98)-SUMIF(97:97,C31,98:98)+100</f>
        <v>100</v>
      </c>
      <c r="G31" s="1802"/>
      <c r="H31" s="373">
        <f>SUMIF(97:97,G31,98:98)-SUMIF(97:97,C31,98:98)+100</f>
        <v>100</v>
      </c>
      <c r="I31" s="370"/>
      <c r="J31" s="373">
        <f>SUMIF(97:97,I31,98:98)-SUMIF(97:97,C31,98:98)+100</f>
        <v>100</v>
      </c>
      <c r="K31" s="538"/>
      <c r="L31" s="2483"/>
      <c r="M31" s="2478"/>
      <c r="N31" s="2478"/>
      <c r="O31" s="2478"/>
      <c r="P31" s="3407"/>
      <c r="Q31" s="1257">
        <f t="shared" si="11"/>
        <v>111</v>
      </c>
      <c r="R31" s="666" t="s">
        <v>14</v>
      </c>
      <c r="S31" s="667">
        <f t="shared" si="12"/>
        <v>100</v>
      </c>
      <c r="T31" s="666" t="s">
        <v>14</v>
      </c>
      <c r="U31" s="667">
        <f t="shared" si="13"/>
        <v>100</v>
      </c>
      <c r="V31" s="666" t="s">
        <v>14</v>
      </c>
      <c r="W31" s="667">
        <f t="shared" si="14"/>
        <v>100</v>
      </c>
      <c r="X31" s="1259"/>
      <c r="Y31" s="3365"/>
      <c r="Z31" s="1258">
        <f t="shared" si="15"/>
        <v>111</v>
      </c>
      <c r="AA31" s="1258">
        <f t="shared" si="3"/>
        <v>1</v>
      </c>
      <c r="AB31" s="1258">
        <f t="shared" si="4"/>
        <v>1</v>
      </c>
      <c r="AC31" s="1804">
        <f t="shared" si="5"/>
        <v>1</v>
      </c>
    </row>
    <row r="32" spans="1:29" ht="15.75" thickBot="1">
      <c r="A32" s="374"/>
      <c r="B32" s="558">
        <v>111</v>
      </c>
      <c r="C32" s="1756"/>
      <c r="D32" s="376">
        <v>100</v>
      </c>
      <c r="E32" s="552"/>
      <c r="F32" s="376">
        <f>SUMIF(99:99,E32,100:100)-SUMIF(99:99,C32,100:100)+100</f>
        <v>100</v>
      </c>
      <c r="G32" s="1802"/>
      <c r="H32" s="376">
        <f>SUMIF(99:99,G32,100:100)-SUMIF(99:99,C32,100:100)+100</f>
        <v>100</v>
      </c>
      <c r="I32" s="370"/>
      <c r="J32" s="376">
        <f>SUMIF(99:99,I32,100:100)-SUMIF(99:99,C32,100:100)+100</f>
        <v>100</v>
      </c>
      <c r="K32" s="538"/>
      <c r="L32" s="2483"/>
      <c r="M32" s="2478"/>
      <c r="N32" s="2478"/>
      <c r="O32" s="2478"/>
      <c r="P32" s="3407"/>
      <c r="Q32" s="1257">
        <f t="shared" si="11"/>
        <v>111</v>
      </c>
      <c r="R32" s="666" t="s">
        <v>14</v>
      </c>
      <c r="S32" s="667">
        <f t="shared" si="12"/>
        <v>100</v>
      </c>
      <c r="T32" s="666" t="s">
        <v>14</v>
      </c>
      <c r="U32" s="667">
        <f t="shared" si="13"/>
        <v>100</v>
      </c>
      <c r="V32" s="666" t="s">
        <v>14</v>
      </c>
      <c r="W32" s="667">
        <f t="shared" si="14"/>
        <v>100</v>
      </c>
      <c r="X32" s="1259"/>
      <c r="Y32" s="3365"/>
      <c r="Z32" s="1258">
        <f t="shared" si="15"/>
        <v>111</v>
      </c>
      <c r="AA32" s="1258">
        <f t="shared" si="3"/>
        <v>1</v>
      </c>
      <c r="AB32" s="1258">
        <f t="shared" si="4"/>
        <v>1</v>
      </c>
      <c r="AC32" s="1804">
        <f t="shared" si="5"/>
        <v>1</v>
      </c>
    </row>
    <row r="33" spans="1:29" ht="15">
      <c r="A33" s="378" t="s">
        <v>1694</v>
      </c>
      <c r="B33" s="60" t="s">
        <v>1817</v>
      </c>
      <c r="C33" s="1757"/>
      <c r="D33" s="404">
        <v>100</v>
      </c>
      <c r="E33" s="1757"/>
      <c r="F33" s="399">
        <f>SUMIF(101:101,E33,102:102)-SUMIF(101:101,C33,102:102)+100</f>
        <v>100</v>
      </c>
      <c r="G33" s="1757"/>
      <c r="H33" s="373">
        <f>SUMIF(101:101,G33,102:102)-SUMIF(101:101,C33,102:102)+100</f>
        <v>100</v>
      </c>
      <c r="I33" s="1757"/>
      <c r="J33" s="404">
        <f>SUMIF(101:101,I33,102:102)-SUMIF(101:101,C33,102:102)+100</f>
        <v>100</v>
      </c>
      <c r="K33" s="537"/>
      <c r="L33" s="2483"/>
      <c r="M33" s="2478"/>
      <c r="N33" s="2478"/>
      <c r="O33" s="2478"/>
      <c r="P33" s="3402" t="s">
        <v>1696</v>
      </c>
      <c r="Q33" s="1257" t="str">
        <f t="shared" si="11"/>
        <v>建筑类型</v>
      </c>
      <c r="R33" s="666" t="s">
        <v>14</v>
      </c>
      <c r="S33" s="667">
        <f t="shared" si="12"/>
        <v>100</v>
      </c>
      <c r="T33" s="666" t="s">
        <v>14</v>
      </c>
      <c r="U33" s="667">
        <f t="shared" si="13"/>
        <v>100</v>
      </c>
      <c r="V33" s="666" t="s">
        <v>14</v>
      </c>
      <c r="W33" s="667">
        <f t="shared" si="14"/>
        <v>100</v>
      </c>
      <c r="X33" s="1259"/>
      <c r="Y33" s="3367" t="s">
        <v>1696</v>
      </c>
      <c r="Z33" s="1258" t="str">
        <f t="shared" si="15"/>
        <v>建筑类型</v>
      </c>
      <c r="AA33" s="1258">
        <f t="shared" si="3"/>
        <v>1</v>
      </c>
      <c r="AB33" s="1258">
        <f t="shared" si="4"/>
        <v>1</v>
      </c>
      <c r="AC33" s="1804">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03"/>
      <c r="Q34" s="530" t="str">
        <f t="shared" si="11"/>
        <v>项目建筑规模</v>
      </c>
      <c r="R34" s="668" t="s">
        <v>14</v>
      </c>
      <c r="S34" s="669" t="e">
        <f t="shared" si="12"/>
        <v>#N/A</v>
      </c>
      <c r="T34" s="668" t="s">
        <v>14</v>
      </c>
      <c r="U34" s="669" t="e">
        <f t="shared" si="13"/>
        <v>#N/A</v>
      </c>
      <c r="V34" s="668" t="s">
        <v>14</v>
      </c>
      <c r="W34" s="669" t="e">
        <f t="shared" si="14"/>
        <v>#N/A</v>
      </c>
      <c r="X34" s="670"/>
      <c r="Y34" s="3367"/>
      <c r="Z34" s="671" t="str">
        <f t="shared" si="15"/>
        <v>项目建筑规模</v>
      </c>
      <c r="AA34" s="1258" t="e">
        <f t="shared" si="3"/>
        <v>#N/A</v>
      </c>
      <c r="AB34" s="1258" t="e">
        <f t="shared" si="4"/>
        <v>#N/A</v>
      </c>
      <c r="AC34" s="1804"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03"/>
      <c r="Q35" s="1257" t="str">
        <f t="shared" si="11"/>
        <v>建筑结构</v>
      </c>
      <c r="R35" s="666" t="s">
        <v>14</v>
      </c>
      <c r="S35" s="667">
        <f t="shared" si="12"/>
        <v>100</v>
      </c>
      <c r="T35" s="666" t="s">
        <v>14</v>
      </c>
      <c r="U35" s="667">
        <f t="shared" si="13"/>
        <v>100</v>
      </c>
      <c r="V35" s="666" t="s">
        <v>14</v>
      </c>
      <c r="W35" s="667">
        <f t="shared" si="14"/>
        <v>100</v>
      </c>
      <c r="X35" s="1259"/>
      <c r="Y35" s="3367"/>
      <c r="Z35" s="1258" t="str">
        <f t="shared" si="15"/>
        <v>建筑结构</v>
      </c>
      <c r="AA35" s="1258">
        <f t="shared" si="3"/>
        <v>1</v>
      </c>
      <c r="AB35" s="1258">
        <f t="shared" si="4"/>
        <v>1</v>
      </c>
      <c r="AC35" s="1804">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03"/>
      <c r="Q36" s="1257" t="str">
        <f t="shared" si="11"/>
        <v>公共部分装修</v>
      </c>
      <c r="R36" s="666" t="s">
        <v>14</v>
      </c>
      <c r="S36" s="667">
        <f t="shared" si="12"/>
        <v>100</v>
      </c>
      <c r="T36" s="666" t="s">
        <v>14</v>
      </c>
      <c r="U36" s="667">
        <f t="shared" si="13"/>
        <v>100</v>
      </c>
      <c r="V36" s="666" t="s">
        <v>14</v>
      </c>
      <c r="W36" s="667">
        <f t="shared" si="14"/>
        <v>100</v>
      </c>
      <c r="X36" s="1259"/>
      <c r="Y36" s="3367"/>
      <c r="Z36" s="1258" t="str">
        <f t="shared" si="15"/>
        <v>公共部分装修</v>
      </c>
      <c r="AA36" s="1258">
        <f t="shared" si="3"/>
        <v>1</v>
      </c>
      <c r="AB36" s="1258">
        <f t="shared" si="4"/>
        <v>1</v>
      </c>
      <c r="AC36" s="1804">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03"/>
      <c r="Q37" s="1257" t="str">
        <f t="shared" si="11"/>
        <v>成新度</v>
      </c>
      <c r="R37" s="666" t="s">
        <v>14</v>
      </c>
      <c r="S37" s="667" t="e">
        <f t="shared" si="12"/>
        <v>#N/A</v>
      </c>
      <c r="T37" s="666" t="s">
        <v>14</v>
      </c>
      <c r="U37" s="667" t="e">
        <f t="shared" si="13"/>
        <v>#N/A</v>
      </c>
      <c r="V37" s="666" t="s">
        <v>14</v>
      </c>
      <c r="W37" s="667" t="e">
        <f t="shared" si="14"/>
        <v>#N/A</v>
      </c>
      <c r="X37" s="1259"/>
      <c r="Y37" s="3367"/>
      <c r="Z37" s="1258" t="str">
        <f t="shared" si="15"/>
        <v>成新度</v>
      </c>
      <c r="AA37" s="1258" t="e">
        <f t="shared" si="3"/>
        <v>#N/A</v>
      </c>
      <c r="AB37" s="1258" t="e">
        <f t="shared" si="4"/>
        <v>#N/A</v>
      </c>
      <c r="AC37" s="1804"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03"/>
      <c r="Q38" s="529" t="str">
        <f t="shared" si="11"/>
        <v>写字楼等级</v>
      </c>
      <c r="R38" s="663" t="s">
        <v>14</v>
      </c>
      <c r="S38" s="664">
        <f t="shared" si="12"/>
        <v>100</v>
      </c>
      <c r="T38" s="663" t="s">
        <v>14</v>
      </c>
      <c r="U38" s="664">
        <f t="shared" si="13"/>
        <v>100</v>
      </c>
      <c r="V38" s="663" t="s">
        <v>14</v>
      </c>
      <c r="W38" s="664">
        <f t="shared" si="14"/>
        <v>100</v>
      </c>
      <c r="X38" s="665"/>
      <c r="Y38" s="3367"/>
      <c r="Z38" s="50" t="str">
        <f t="shared" si="15"/>
        <v>写字楼等级</v>
      </c>
      <c r="AA38" s="50">
        <f t="shared" si="3"/>
        <v>1</v>
      </c>
      <c r="AB38" s="50">
        <f t="shared" si="4"/>
        <v>1</v>
      </c>
      <c r="AC38" s="796">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03" t="s">
        <v>1696</v>
      </c>
      <c r="Q39" s="1257" t="str">
        <f t="shared" si="11"/>
        <v>物业管理</v>
      </c>
      <c r="R39" s="666" t="s">
        <v>14</v>
      </c>
      <c r="S39" s="667">
        <f t="shared" si="12"/>
        <v>100</v>
      </c>
      <c r="T39" s="666" t="s">
        <v>14</v>
      </c>
      <c r="U39" s="667">
        <f t="shared" si="13"/>
        <v>100</v>
      </c>
      <c r="V39" s="666" t="s">
        <v>14</v>
      </c>
      <c r="W39" s="667">
        <f t="shared" si="14"/>
        <v>100</v>
      </c>
      <c r="X39" s="1259"/>
      <c r="Y39" s="3367" t="s">
        <v>1696</v>
      </c>
      <c r="Z39" s="1258" t="str">
        <f t="shared" si="15"/>
        <v>物业管理</v>
      </c>
      <c r="AA39" s="1258">
        <f t="shared" si="3"/>
        <v>1</v>
      </c>
      <c r="AB39" s="1258">
        <f t="shared" si="4"/>
        <v>1</v>
      </c>
      <c r="AC39" s="1804">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03"/>
      <c r="Q40" s="1257" t="str">
        <f t="shared" si="11"/>
        <v>市政基础设施</v>
      </c>
      <c r="R40" s="666" t="s">
        <v>14</v>
      </c>
      <c r="S40" s="667">
        <f t="shared" si="12"/>
        <v>100</v>
      </c>
      <c r="T40" s="666" t="s">
        <v>14</v>
      </c>
      <c r="U40" s="667">
        <f t="shared" si="13"/>
        <v>100</v>
      </c>
      <c r="V40" s="666" t="s">
        <v>14</v>
      </c>
      <c r="W40" s="667">
        <f t="shared" si="14"/>
        <v>100</v>
      </c>
      <c r="X40" s="1259"/>
      <c r="Y40" s="3367"/>
      <c r="Z40" s="1258" t="str">
        <f t="shared" si="15"/>
        <v>市政基础设施</v>
      </c>
      <c r="AA40" s="1258">
        <f t="shared" si="3"/>
        <v>1</v>
      </c>
      <c r="AB40" s="1258">
        <f t="shared" si="4"/>
        <v>1</v>
      </c>
      <c r="AC40" s="1804">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03"/>
      <c r="Q41" s="1257" t="str">
        <f t="shared" si="11"/>
        <v>层高</v>
      </c>
      <c r="R41" s="666" t="s">
        <v>14</v>
      </c>
      <c r="S41" s="667">
        <f t="shared" si="12"/>
        <v>100</v>
      </c>
      <c r="T41" s="666" t="s">
        <v>14</v>
      </c>
      <c r="U41" s="667">
        <f t="shared" si="13"/>
        <v>100</v>
      </c>
      <c r="V41" s="666" t="s">
        <v>14</v>
      </c>
      <c r="W41" s="667">
        <f t="shared" si="14"/>
        <v>100</v>
      </c>
      <c r="X41" s="1259"/>
      <c r="Y41" s="3367"/>
      <c r="Z41" s="1258" t="str">
        <f t="shared" si="15"/>
        <v>层高</v>
      </c>
      <c r="AA41" s="1258">
        <f t="shared" si="3"/>
        <v>1</v>
      </c>
      <c r="AB41" s="1258">
        <f t="shared" si="4"/>
        <v>1</v>
      </c>
      <c r="AC41" s="1804">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03"/>
      <c r="Q42" s="530" t="str">
        <f t="shared" si="11"/>
        <v>单套建筑面积</v>
      </c>
      <c r="R42" s="668" t="s">
        <v>14</v>
      </c>
      <c r="S42" s="669">
        <f t="shared" si="12"/>
        <v>100</v>
      </c>
      <c r="T42" s="668" t="s">
        <v>14</v>
      </c>
      <c r="U42" s="669">
        <f t="shared" si="13"/>
        <v>100</v>
      </c>
      <c r="V42" s="668" t="s">
        <v>14</v>
      </c>
      <c r="W42" s="669">
        <f t="shared" si="14"/>
        <v>100</v>
      </c>
      <c r="X42" s="670"/>
      <c r="Y42" s="3367"/>
      <c r="Z42" s="671" t="str">
        <f t="shared" si="15"/>
        <v>单套建筑面积</v>
      </c>
      <c r="AA42" s="1258">
        <f t="shared" si="3"/>
        <v>1</v>
      </c>
      <c r="AB42" s="1258">
        <f t="shared" si="4"/>
        <v>1</v>
      </c>
      <c r="AC42" s="1804">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03"/>
      <c r="Q43" s="1257" t="str">
        <f t="shared" si="11"/>
        <v>内部装修</v>
      </c>
      <c r="R43" s="666" t="s">
        <v>14</v>
      </c>
      <c r="S43" s="667">
        <f t="shared" si="12"/>
        <v>100</v>
      </c>
      <c r="T43" s="666" t="s">
        <v>14</v>
      </c>
      <c r="U43" s="667">
        <f t="shared" si="13"/>
        <v>100</v>
      </c>
      <c r="V43" s="666" t="s">
        <v>14</v>
      </c>
      <c r="W43" s="667">
        <f t="shared" si="14"/>
        <v>100</v>
      </c>
      <c r="X43" s="1259"/>
      <c r="Y43" s="3367"/>
      <c r="Z43" s="1258" t="str">
        <f t="shared" si="15"/>
        <v>内部装修</v>
      </c>
      <c r="AA43" s="1258">
        <f t="shared" si="3"/>
        <v>1</v>
      </c>
      <c r="AB43" s="1258">
        <f t="shared" si="4"/>
        <v>1</v>
      </c>
      <c r="AC43" s="1804">
        <f t="shared" si="5"/>
        <v>1</v>
      </c>
    </row>
    <row r="44" spans="1:29" ht="15">
      <c r="A44" s="408"/>
      <c r="B44" s="363" t="s">
        <v>1707</v>
      </c>
      <c r="C44" s="398"/>
      <c r="D44" s="373">
        <v>100</v>
      </c>
      <c r="E44" s="1753"/>
      <c r="F44" s="399">
        <f>SUMIF(125:125,E44,126:126)-SUMIF(125:125,C44,126:126)+100</f>
        <v>100</v>
      </c>
      <c r="G44" s="1753"/>
      <c r="H44" s="373">
        <f>SUMIF(125:125,G44,126:126)-SUMIF(125:125,C44,126:126)+100</f>
        <v>100</v>
      </c>
      <c r="I44" s="1753"/>
      <c r="J44" s="373">
        <f>SUMIF(125:125,I44,126:126)-SUMIF(125:125,C44,126:126)+100</f>
        <v>100</v>
      </c>
      <c r="K44" s="537"/>
      <c r="L44" s="2483"/>
      <c r="M44" s="2478"/>
      <c r="N44" s="2478"/>
      <c r="O44" s="2478"/>
      <c r="P44" s="3403"/>
      <c r="Q44" s="1257" t="str">
        <f t="shared" si="11"/>
        <v>内部装修维护情况</v>
      </c>
      <c r="R44" s="666" t="s">
        <v>14</v>
      </c>
      <c r="S44" s="667">
        <f t="shared" si="12"/>
        <v>100</v>
      </c>
      <c r="T44" s="666" t="s">
        <v>14</v>
      </c>
      <c r="U44" s="667">
        <f t="shared" si="13"/>
        <v>100</v>
      </c>
      <c r="V44" s="666" t="s">
        <v>14</v>
      </c>
      <c r="W44" s="667">
        <f t="shared" si="14"/>
        <v>100</v>
      </c>
      <c r="X44" s="1259"/>
      <c r="Y44" s="3367"/>
      <c r="Z44" s="1258" t="str">
        <f t="shared" si="15"/>
        <v>内部装修维护情况</v>
      </c>
      <c r="AA44" s="1258">
        <f t="shared" si="3"/>
        <v>1</v>
      </c>
      <c r="AB44" s="1258">
        <f t="shared" si="4"/>
        <v>1</v>
      </c>
      <c r="AC44" s="1804">
        <f t="shared" si="5"/>
        <v>1</v>
      </c>
    </row>
    <row r="45" spans="1:29" s="102" customFormat="1" ht="15">
      <c r="A45" s="409"/>
      <c r="B45" s="1060">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03"/>
      <c r="Q45" s="529">
        <f t="shared" si="11"/>
        <v>111</v>
      </c>
      <c r="R45" s="663" t="s">
        <v>14</v>
      </c>
      <c r="S45" s="664">
        <f t="shared" si="12"/>
        <v>100</v>
      </c>
      <c r="T45" s="663" t="s">
        <v>14</v>
      </c>
      <c r="U45" s="664">
        <f t="shared" si="13"/>
        <v>100</v>
      </c>
      <c r="V45" s="663" t="s">
        <v>14</v>
      </c>
      <c r="W45" s="664">
        <f t="shared" si="14"/>
        <v>100</v>
      </c>
      <c r="X45" s="665"/>
      <c r="Y45" s="3367"/>
      <c r="Z45" s="50">
        <f t="shared" si="15"/>
        <v>111</v>
      </c>
      <c r="AA45" s="50">
        <f t="shared" si="3"/>
        <v>1</v>
      </c>
      <c r="AB45" s="50">
        <f t="shared" si="4"/>
        <v>1</v>
      </c>
      <c r="AC45" s="796">
        <f t="shared" si="5"/>
        <v>1</v>
      </c>
    </row>
    <row r="46" spans="1:29" ht="15">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03"/>
      <c r="Q46" s="1257">
        <f t="shared" si="11"/>
        <v>111</v>
      </c>
      <c r="R46" s="666" t="s">
        <v>14</v>
      </c>
      <c r="S46" s="667">
        <f t="shared" si="12"/>
        <v>100</v>
      </c>
      <c r="T46" s="666" t="s">
        <v>14</v>
      </c>
      <c r="U46" s="667">
        <f t="shared" si="13"/>
        <v>100</v>
      </c>
      <c r="V46" s="666" t="s">
        <v>14</v>
      </c>
      <c r="W46" s="667">
        <f t="shared" si="14"/>
        <v>100</v>
      </c>
      <c r="X46" s="1259"/>
      <c r="Y46" s="3367"/>
      <c r="Z46" s="1258">
        <f t="shared" si="15"/>
        <v>111</v>
      </c>
      <c r="AA46" s="1258">
        <f t="shared" si="3"/>
        <v>1</v>
      </c>
      <c r="AB46" s="1258">
        <f t="shared" si="4"/>
        <v>1</v>
      </c>
      <c r="AC46" s="1804">
        <f t="shared" si="5"/>
        <v>1</v>
      </c>
    </row>
    <row r="47" spans="1:29" ht="15.75" thickBot="1">
      <c r="A47" s="414"/>
      <c r="B47" s="1742">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04"/>
      <c r="Q47" s="1257">
        <f t="shared" si="11"/>
        <v>111</v>
      </c>
      <c r="R47" s="666" t="s">
        <v>14</v>
      </c>
      <c r="S47" s="667">
        <f t="shared" si="12"/>
        <v>100</v>
      </c>
      <c r="T47" s="666" t="s">
        <v>14</v>
      </c>
      <c r="U47" s="667">
        <f t="shared" si="13"/>
        <v>100</v>
      </c>
      <c r="V47" s="666" t="s">
        <v>14</v>
      </c>
      <c r="W47" s="667">
        <f t="shared" si="14"/>
        <v>100</v>
      </c>
      <c r="X47" s="1259"/>
      <c r="Y47" s="3405"/>
      <c r="Z47" s="1258">
        <f t="shared" si="15"/>
        <v>111</v>
      </c>
      <c r="AA47" s="1258">
        <f t="shared" si="3"/>
        <v>1</v>
      </c>
      <c r="AB47" s="1258">
        <f t="shared" si="4"/>
        <v>1</v>
      </c>
      <c r="AC47" s="1804">
        <f t="shared" si="5"/>
        <v>1</v>
      </c>
    </row>
    <row r="48" spans="1:29" ht="15">
      <c r="A48" s="415" t="s">
        <v>1708</v>
      </c>
      <c r="B48" s="416"/>
      <c r="C48" s="1075" t="s">
        <v>0</v>
      </c>
      <c r="D48" s="417"/>
      <c r="E48" s="418"/>
      <c r="F48" s="419"/>
      <c r="G48" s="420"/>
      <c r="H48" s="421"/>
      <c r="I48" s="418"/>
      <c r="J48" s="421"/>
      <c r="K48" s="673"/>
      <c r="L48" s="2485"/>
      <c r="M48" s="2478"/>
      <c r="N48" s="2478"/>
      <c r="O48" s="2478"/>
      <c r="P48" s="3362" t="str">
        <f>A48</f>
        <v>成交单价（元/平方米）</v>
      </c>
      <c r="Q48" s="3363"/>
      <c r="R48" s="3368">
        <f>E48</f>
        <v>0</v>
      </c>
      <c r="S48" s="3368"/>
      <c r="T48" s="3368">
        <f>G48</f>
        <v>0</v>
      </c>
      <c r="U48" s="3368"/>
      <c r="V48" s="3368">
        <f>I48</f>
        <v>0</v>
      </c>
      <c r="W48" s="3368"/>
      <c r="X48" s="384"/>
      <c r="Y48" s="672"/>
      <c r="Z48" s="384"/>
      <c r="AA48" s="384"/>
      <c r="AB48" s="384"/>
      <c r="AC48" s="554"/>
    </row>
    <row r="49" spans="1:29" ht="15.75" thickBot="1">
      <c r="A49" s="422" t="s">
        <v>1793</v>
      </c>
      <c r="B49" s="423"/>
      <c r="C49" s="1076" t="e">
        <f>R50</f>
        <v>#DIV/0!</v>
      </c>
      <c r="D49" s="2133" t="s">
        <v>2137</v>
      </c>
      <c r="E49" s="1077" t="e">
        <f>R49</f>
        <v>#DIV/0!</v>
      </c>
      <c r="F49" s="2134"/>
      <c r="G49" s="1076" t="e">
        <f>T49</f>
        <v>#DIV/0!</v>
      </c>
      <c r="H49" s="2134"/>
      <c r="I49" s="1077" t="e">
        <f>V49</f>
        <v>#DIV/0!</v>
      </c>
      <c r="J49" s="2134"/>
      <c r="K49" s="2136">
        <f>F49+H49+J49</f>
        <v>0</v>
      </c>
      <c r="L49" s="2485"/>
      <c r="M49" s="2478"/>
      <c r="N49" s="2478"/>
      <c r="O49" s="2478"/>
      <c r="P49" s="3362" t="str">
        <f>A49</f>
        <v>比较价值（元/平方米）</v>
      </c>
      <c r="Q49" s="3363"/>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5"/>
      <c r="M50" s="2478"/>
      <c r="N50" s="2478"/>
      <c r="O50" s="2478"/>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7" t="s">
        <v>1798</v>
      </c>
      <c r="B58" s="384"/>
      <c r="C58" s="658"/>
      <c r="D58" s="658"/>
      <c r="E58" s="658"/>
      <c r="F58" s="659"/>
      <c r="G58" s="659"/>
      <c r="H58" s="658"/>
      <c r="I58" s="658"/>
      <c r="J58" s="658"/>
      <c r="K58" s="660"/>
      <c r="L58" s="882"/>
      <c r="M58" s="880"/>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097" t="str">
        <f>YEAR(C7)&amp;"-"&amp;MONTH(C7)</f>
        <v>2024-10</v>
      </c>
      <c r="D59" s="1098">
        <f>EDATE(C59,-1)</f>
        <v>45536</v>
      </c>
      <c r="E59" s="1098">
        <f>EDATE(D59,-1)</f>
        <v>45505</v>
      </c>
      <c r="F59" s="1098">
        <f t="shared" ref="F59:O59" si="16">EDATE(E59,-1)</f>
        <v>45474</v>
      </c>
      <c r="G59" s="1098">
        <f t="shared" si="16"/>
        <v>45444</v>
      </c>
      <c r="H59" s="1098">
        <f t="shared" si="16"/>
        <v>45413</v>
      </c>
      <c r="I59" s="1098">
        <f t="shared" si="16"/>
        <v>45383</v>
      </c>
      <c r="J59" s="1098">
        <f t="shared" si="16"/>
        <v>45352</v>
      </c>
      <c r="K59" s="1098">
        <f t="shared" si="16"/>
        <v>45323</v>
      </c>
      <c r="L59" s="1098">
        <f t="shared" si="16"/>
        <v>45292</v>
      </c>
      <c r="M59" s="1098">
        <f t="shared" si="16"/>
        <v>45261</v>
      </c>
      <c r="N59" s="1098">
        <f t="shared" si="16"/>
        <v>45231</v>
      </c>
      <c r="O59" s="1098">
        <f t="shared" si="16"/>
        <v>45200</v>
      </c>
      <c r="P59" s="2518"/>
      <c r="Q59" s="2501"/>
      <c r="R59" s="2501"/>
      <c r="S59" s="2501"/>
      <c r="T59" s="2501"/>
      <c r="U59" s="2501"/>
      <c r="V59" s="2501"/>
      <c r="W59" s="2501"/>
      <c r="X59" s="2501"/>
      <c r="Y59" s="2501"/>
      <c r="Z59" s="2501"/>
      <c r="AA59" s="2501"/>
      <c r="AB59" s="2501"/>
      <c r="AC59" s="2501"/>
    </row>
    <row r="60" spans="1:29" s="102" customFormat="1" ht="15">
      <c r="A60" s="442"/>
      <c r="B60" s="443"/>
      <c r="C60" s="1096">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2"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2"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2"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80" t="s">
        <v>1799</v>
      </c>
      <c r="D83" s="580" t="s">
        <v>1800</v>
      </c>
      <c r="E83" s="580" t="s">
        <v>1801</v>
      </c>
      <c r="F83" s="580" t="s">
        <v>1802</v>
      </c>
      <c r="G83" s="580" t="s">
        <v>1803</v>
      </c>
      <c r="H83" s="469"/>
      <c r="I83" s="469"/>
      <c r="J83" s="469"/>
      <c r="K83" s="469"/>
      <c r="L83" s="469"/>
      <c r="M83" s="1057"/>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2"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2" customFormat="1" ht="15.75" thickTop="1">
      <c r="A89" s="369"/>
      <c r="B89" s="468" t="str">
        <f>B27</f>
        <v>楼层</v>
      </c>
      <c r="C89" s="484"/>
      <c r="D89" s="484"/>
      <c r="E89" s="484"/>
      <c r="F89" s="1772"/>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7"/>
      <c r="J111" s="547"/>
      <c r="K111" s="548"/>
      <c r="L111" s="549"/>
      <c r="M111" s="550"/>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9" t="s">
        <v>1825</v>
      </c>
      <c r="C119" s="512"/>
      <c r="D119" s="512"/>
      <c r="E119" s="512"/>
      <c r="F119" s="512"/>
      <c r="G119" s="512"/>
      <c r="H119" s="512"/>
      <c r="I119" s="512"/>
      <c r="J119" s="512"/>
      <c r="K119" s="512"/>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1826</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IF(E1="项目模式",IF(C2="——",ROUND(C43*D3/10000,0),ROUND(C43*D3/10000,0)-D2),IF(E1="单套模式",IF(C2="——",ROUND(C43*D3/10000,4),ROUND(C43*D3/10000,4)-D2)))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49"/>
      <c r="L2" s="852"/>
      <c r="M2" s="853"/>
      <c r="N2" s="853"/>
      <c r="O2" s="853"/>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64756.12</v>
      </c>
      <c r="E3" s="849"/>
      <c r="F3" s="850"/>
      <c r="G3" s="849"/>
      <c r="H3" s="849"/>
      <c r="I3" s="849"/>
      <c r="J3" s="849"/>
      <c r="K3" s="851"/>
      <c r="L3" s="852"/>
      <c r="M3" s="853"/>
      <c r="N3" s="853"/>
      <c r="O3" s="853"/>
      <c r="P3" s="340"/>
      <c r="Q3" s="340"/>
      <c r="R3" s="340"/>
      <c r="S3" s="340"/>
      <c r="T3" s="340"/>
      <c r="U3" s="340"/>
      <c r="V3" s="340"/>
      <c r="W3" s="340"/>
      <c r="X3" s="340"/>
      <c r="Y3" s="340"/>
      <c r="Z3" s="340"/>
      <c r="AA3" s="340"/>
      <c r="AB3" s="675"/>
      <c r="AC3" s="662"/>
    </row>
    <row r="4" spans="1:29" ht="15">
      <c r="A4" s="344" t="s">
        <v>1769</v>
      </c>
      <c r="B4" s="345"/>
      <c r="C4" s="3360" t="s">
        <v>1770</v>
      </c>
      <c r="D4" s="3372"/>
      <c r="E4" s="3373" t="s">
        <v>1771</v>
      </c>
      <c r="F4" s="3374"/>
      <c r="G4" s="3360" t="s">
        <v>1772</v>
      </c>
      <c r="H4" s="3372"/>
      <c r="I4" s="3360" t="s">
        <v>1773</v>
      </c>
      <c r="J4" s="3372"/>
      <c r="K4" s="536" t="s">
        <v>1774</v>
      </c>
      <c r="L4" s="854"/>
      <c r="M4" s="855"/>
      <c r="N4" s="855"/>
      <c r="O4" s="855"/>
      <c r="P4" s="3375" t="s">
        <v>1775</v>
      </c>
      <c r="Q4" s="3376"/>
      <c r="R4" s="3381" t="s">
        <v>1771</v>
      </c>
      <c r="S4" s="3382"/>
      <c r="T4" s="3381" t="s">
        <v>1772</v>
      </c>
      <c r="U4" s="3382"/>
      <c r="V4" s="3368" t="s">
        <v>1773</v>
      </c>
      <c r="W4" s="3368"/>
      <c r="X4" s="1259"/>
      <c r="Y4" s="3381" t="s">
        <v>1775</v>
      </c>
      <c r="Z4" s="3382"/>
      <c r="AA4" s="3369" t="s">
        <v>1771</v>
      </c>
      <c r="AB4" s="3370" t="s">
        <v>1772</v>
      </c>
      <c r="AC4" s="3369" t="s">
        <v>1773</v>
      </c>
    </row>
    <row r="5" spans="1:29" ht="15">
      <c r="A5" s="347"/>
      <c r="B5" s="348"/>
      <c r="C5" s="3389" t="s">
        <v>1673</v>
      </c>
      <c r="D5" s="3390"/>
      <c r="E5" s="3396" t="s">
        <v>1674</v>
      </c>
      <c r="F5" s="3397"/>
      <c r="G5" s="3389" t="s">
        <v>1675</v>
      </c>
      <c r="H5" s="3390"/>
      <c r="I5" s="3389" t="s">
        <v>1676</v>
      </c>
      <c r="J5" s="3390"/>
      <c r="K5" s="536"/>
      <c r="L5" s="854"/>
      <c r="M5" s="855"/>
      <c r="N5" s="855"/>
      <c r="O5" s="855"/>
      <c r="P5" s="3377"/>
      <c r="Q5" s="3378"/>
      <c r="R5" s="3383"/>
      <c r="S5" s="3384"/>
      <c r="T5" s="3383"/>
      <c r="U5" s="3384"/>
      <c r="V5" s="3368"/>
      <c r="W5" s="3368"/>
      <c r="X5" s="1259"/>
      <c r="Y5" s="3383"/>
      <c r="Z5" s="3384"/>
      <c r="AA5" s="3370"/>
      <c r="AB5" s="3370"/>
      <c r="AC5" s="3370"/>
    </row>
    <row r="6" spans="1:29" ht="15.75" thickBot="1">
      <c r="A6" s="349"/>
      <c r="B6" s="350"/>
      <c r="C6" s="3387" t="s">
        <v>1677</v>
      </c>
      <c r="D6" s="3388"/>
      <c r="E6" s="3394" t="s">
        <v>1677</v>
      </c>
      <c r="F6" s="3395"/>
      <c r="G6" s="3387" t="s">
        <v>1677</v>
      </c>
      <c r="H6" s="3388"/>
      <c r="I6" s="3387" t="s">
        <v>1677</v>
      </c>
      <c r="J6" s="3388"/>
      <c r="K6" s="536" t="s">
        <v>1678</v>
      </c>
      <c r="L6" s="854"/>
      <c r="M6" s="855"/>
      <c r="N6" s="855"/>
      <c r="O6" s="855"/>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c r="F7" s="356">
        <f>SUMIF(52:52,YEAR(E7)&amp;"-"&amp;MONTH(E7),53:53)</f>
        <v>0</v>
      </c>
      <c r="G7" s="355"/>
      <c r="H7" s="354">
        <f>SUMIF(52:52,YEAR(G7)&amp;"-"&amp;MONTH(G7),53:53)</f>
        <v>0</v>
      </c>
      <c r="I7" s="355"/>
      <c r="J7" s="354">
        <f>SUMIF(52:52,YEAR(I7)&amp;"-"&amp;MONTH(I7),53:53)</f>
        <v>0</v>
      </c>
      <c r="K7" s="38"/>
      <c r="L7" s="856"/>
      <c r="M7" s="857"/>
      <c r="N7" s="857"/>
      <c r="O7" s="857"/>
      <c r="P7" s="3391" t="s">
        <v>1680</v>
      </c>
      <c r="Q7" s="3393"/>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6"/>
      <c r="M8" s="857"/>
      <c r="N8" s="857"/>
      <c r="O8" s="857"/>
      <c r="P8" s="3391" t="s">
        <v>1683</v>
      </c>
      <c r="Q8" s="3392"/>
      <c r="R8" s="663" t="s">
        <v>14</v>
      </c>
      <c r="S8" s="664">
        <f t="shared" si="0"/>
        <v>100</v>
      </c>
      <c r="T8" s="663" t="s">
        <v>14</v>
      </c>
      <c r="U8" s="664">
        <f t="shared" si="1"/>
        <v>100</v>
      </c>
      <c r="V8" s="663" t="s">
        <v>14</v>
      </c>
      <c r="W8" s="664">
        <f t="shared" si="2"/>
        <v>100</v>
      </c>
      <c r="X8" s="665"/>
      <c r="Y8" s="3391" t="s">
        <v>1683</v>
      </c>
      <c r="Z8" s="3392"/>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6"/>
      <c r="M9" s="857"/>
      <c r="N9" s="857"/>
      <c r="O9" s="858"/>
      <c r="P9" s="3363"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59"/>
      <c r="M10" s="860"/>
      <c r="N10" s="860"/>
      <c r="O10" s="861"/>
      <c r="P10" s="3363"/>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2"/>
      <c r="M11" s="855"/>
      <c r="N11" s="855"/>
      <c r="O11" s="863"/>
      <c r="P11" s="3363"/>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0"/>
      <c r="H12" s="118">
        <f>SUMIF(64:64,G12,65:65)-SUMIF(64:64,C12,65:65)+100</f>
        <v>100</v>
      </c>
      <c r="I12" s="406"/>
      <c r="J12" s="118">
        <f>SUMIF(64:64,I12,65:65)-SUMIF(64:64,C12,65:65)+100</f>
        <v>100</v>
      </c>
      <c r="K12" s="538"/>
      <c r="L12" s="856"/>
      <c r="M12" s="857"/>
      <c r="N12" s="857"/>
      <c r="O12" s="858"/>
      <c r="P12" s="3363"/>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0"/>
      <c r="H13" s="373">
        <f>SUMIF(66:66,G13,67:67)-SUMIF(66:66,C13,67:67)+100</f>
        <v>100</v>
      </c>
      <c r="I13" s="406"/>
      <c r="J13" s="373">
        <f>SUMIF(66:66,I13,67:67)-SUMIF(66:66,C13,67:67)+100</f>
        <v>100</v>
      </c>
      <c r="K13" s="538"/>
      <c r="L13" s="864"/>
      <c r="M13" s="855"/>
      <c r="N13" s="855"/>
      <c r="O13" s="863"/>
      <c r="P13" s="3363"/>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2">
        <v>111</v>
      </c>
      <c r="C14" s="375"/>
      <c r="D14" s="376">
        <v>100</v>
      </c>
      <c r="E14" s="375"/>
      <c r="F14" s="376">
        <f>SUMIF(68:68,E14,69:69)-SUMIF(68:68,C14,69:69)+100</f>
        <v>100</v>
      </c>
      <c r="G14" s="1810"/>
      <c r="H14" s="376">
        <f>SUMIF(68:68,G14,69:69)-SUMIF(68:68,C14,69:69)+100</f>
        <v>100</v>
      </c>
      <c r="I14" s="406"/>
      <c r="J14" s="376">
        <f>SUMIF(68:68,I14,69:69)-SUMIF(68:68,C14,69:69)+100</f>
        <v>100</v>
      </c>
      <c r="K14" s="538"/>
      <c r="L14" s="864"/>
      <c r="M14" s="855"/>
      <c r="N14" s="855"/>
      <c r="O14" s="863"/>
      <c r="P14" s="3363"/>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57">
      <c r="A15" s="378" t="s">
        <v>1690</v>
      </c>
      <c r="B15" s="58" t="s">
        <v>1827</v>
      </c>
      <c r="C15" s="1811"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4"/>
      <c r="M15" s="855"/>
      <c r="N15" s="855"/>
      <c r="O15" s="863"/>
      <c r="P15" s="3364" t="s">
        <v>1691</v>
      </c>
      <c r="Q15" s="1257" t="str">
        <f t="shared" si="6"/>
        <v>产业集聚程度</v>
      </c>
      <c r="R15" s="666" t="s">
        <v>14</v>
      </c>
      <c r="S15" s="667">
        <f t="shared" si="0"/>
        <v>100</v>
      </c>
      <c r="T15" s="666" t="s">
        <v>14</v>
      </c>
      <c r="U15" s="667">
        <f t="shared" si="1"/>
        <v>100</v>
      </c>
      <c r="V15" s="666" t="s">
        <v>14</v>
      </c>
      <c r="W15" s="667">
        <f t="shared" si="2"/>
        <v>100</v>
      </c>
      <c r="X15" s="1259"/>
      <c r="Y15" s="3364" t="s">
        <v>1691</v>
      </c>
      <c r="Z15" s="1258" t="str">
        <f t="shared" si="7"/>
        <v>产业集聚程度</v>
      </c>
      <c r="AA15" s="1258">
        <f t="shared" si="3"/>
        <v>1</v>
      </c>
      <c r="AB15" s="1258">
        <f t="shared" si="4"/>
        <v>1</v>
      </c>
      <c r="AC15" s="1258">
        <f t="shared" si="5"/>
        <v>1</v>
      </c>
    </row>
    <row r="16" spans="1:29" ht="15">
      <c r="A16" s="366"/>
      <c r="B16" s="384"/>
      <c r="C16" s="385"/>
      <c r="D16" s="386"/>
      <c r="E16" s="385"/>
      <c r="F16" s="387"/>
      <c r="G16" s="385"/>
      <c r="H16" s="388"/>
      <c r="I16" s="385"/>
      <c r="J16" s="386"/>
      <c r="K16" s="540"/>
      <c r="L16" s="864"/>
      <c r="M16" s="855"/>
      <c r="N16" s="855"/>
      <c r="O16" s="863"/>
      <c r="P16" s="3365"/>
      <c r="Q16" s="1257"/>
      <c r="R16" s="666"/>
      <c r="S16" s="667"/>
      <c r="T16" s="666"/>
      <c r="U16" s="667"/>
      <c r="V16" s="666"/>
      <c r="W16" s="667"/>
      <c r="X16" s="1259"/>
      <c r="Y16" s="3365"/>
      <c r="Z16" s="1258"/>
      <c r="AA16" s="1258">
        <v>1</v>
      </c>
      <c r="AB16" s="1258">
        <v>1</v>
      </c>
      <c r="AC16" s="1258">
        <v>1</v>
      </c>
    </row>
    <row r="17" spans="1:29" ht="85.5">
      <c r="A17" s="366"/>
      <c r="B17" s="389" t="s">
        <v>1259</v>
      </c>
      <c r="C17" s="1747"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4"/>
      <c r="M17" s="855"/>
      <c r="N17" s="855"/>
      <c r="O17" s="863"/>
      <c r="P17" s="3365"/>
      <c r="Q17" s="1257" t="str">
        <f>B17</f>
        <v>交通便捷度</v>
      </c>
      <c r="R17" s="666" t="s">
        <v>14</v>
      </c>
      <c r="S17" s="667">
        <f>F17</f>
        <v>100</v>
      </c>
      <c r="T17" s="666" t="s">
        <v>14</v>
      </c>
      <c r="U17" s="667">
        <f>H17</f>
        <v>100</v>
      </c>
      <c r="V17" s="666" t="s">
        <v>14</v>
      </c>
      <c r="W17" s="667">
        <f>J17</f>
        <v>100</v>
      </c>
      <c r="X17" s="1259"/>
      <c r="Y17" s="3365"/>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864"/>
      <c r="M18" s="855"/>
      <c r="N18" s="855"/>
      <c r="O18" s="863"/>
      <c r="P18" s="3365"/>
      <c r="Q18" s="1257"/>
      <c r="R18" s="666"/>
      <c r="S18" s="667"/>
      <c r="T18" s="666"/>
      <c r="U18" s="667"/>
      <c r="V18" s="666"/>
      <c r="W18" s="667"/>
      <c r="X18" s="1259"/>
      <c r="Y18" s="3365"/>
      <c r="Z18" s="1258"/>
      <c r="AA18" s="1258">
        <v>1</v>
      </c>
      <c r="AB18" s="1258">
        <v>1</v>
      </c>
      <c r="AC18" s="1258">
        <v>1</v>
      </c>
    </row>
    <row r="19" spans="1:29" ht="42.75">
      <c r="A19" s="366"/>
      <c r="B19" s="389" t="s">
        <v>1812</v>
      </c>
      <c r="C19" s="1747"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4"/>
      <c r="M19" s="855"/>
      <c r="N19" s="855"/>
      <c r="O19" s="863"/>
      <c r="P19" s="3365"/>
      <c r="Q19" s="1257" t="str">
        <f>B19</f>
        <v>公共配套设施</v>
      </c>
      <c r="R19" s="666" t="s">
        <v>14</v>
      </c>
      <c r="S19" s="667">
        <f>F19</f>
        <v>100</v>
      </c>
      <c r="T19" s="666" t="s">
        <v>14</v>
      </c>
      <c r="U19" s="667">
        <f>H19</f>
        <v>100</v>
      </c>
      <c r="V19" s="666" t="s">
        <v>14</v>
      </c>
      <c r="W19" s="667">
        <f>J19</f>
        <v>100</v>
      </c>
      <c r="X19" s="1259"/>
      <c r="Y19" s="3365"/>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864"/>
      <c r="M20" s="855"/>
      <c r="N20" s="855"/>
      <c r="O20" s="863"/>
      <c r="P20" s="3365"/>
      <c r="Q20" s="1257"/>
      <c r="R20" s="666"/>
      <c r="S20" s="667"/>
      <c r="T20" s="666"/>
      <c r="U20" s="667"/>
      <c r="V20" s="666"/>
      <c r="W20" s="667"/>
      <c r="X20" s="1259"/>
      <c r="Y20" s="3365"/>
      <c r="Z20" s="1258"/>
      <c r="AA20" s="1258">
        <v>1</v>
      </c>
      <c r="AB20" s="1258">
        <v>1</v>
      </c>
      <c r="AC20" s="1258">
        <v>1</v>
      </c>
    </row>
    <row r="21" spans="1:29" ht="28.5">
      <c r="A21" s="366"/>
      <c r="B21" s="585" t="s">
        <v>1813</v>
      </c>
      <c r="C21" s="1747"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4"/>
      <c r="M21" s="855"/>
      <c r="N21" s="855"/>
      <c r="O21" s="863"/>
      <c r="P21" s="3365"/>
      <c r="Q21" s="1257" t="str">
        <f>B21</f>
        <v>基础设施水平</v>
      </c>
      <c r="R21" s="666" t="s">
        <v>14</v>
      </c>
      <c r="S21" s="667">
        <f>F21</f>
        <v>100</v>
      </c>
      <c r="T21" s="666" t="s">
        <v>14</v>
      </c>
      <c r="U21" s="667">
        <f>H21</f>
        <v>100</v>
      </c>
      <c r="V21" s="666" t="s">
        <v>14</v>
      </c>
      <c r="W21" s="667">
        <f>J21</f>
        <v>100</v>
      </c>
      <c r="X21" s="1259"/>
      <c r="Y21" s="3365"/>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864"/>
      <c r="M22" s="855"/>
      <c r="N22" s="855"/>
      <c r="O22" s="863"/>
      <c r="P22" s="3365"/>
      <c r="Q22" s="1257"/>
      <c r="R22" s="666"/>
      <c r="S22" s="667"/>
      <c r="T22" s="666"/>
      <c r="U22" s="667"/>
      <c r="V22" s="666"/>
      <c r="W22" s="667"/>
      <c r="X22" s="1259"/>
      <c r="Y22" s="3365"/>
      <c r="Z22" s="1258"/>
      <c r="AA22" s="1258">
        <v>1</v>
      </c>
      <c r="AB22" s="1258">
        <v>1</v>
      </c>
      <c r="AC22" s="1258">
        <v>1</v>
      </c>
    </row>
    <row r="23" spans="1:29" ht="71.25">
      <c r="A23" s="366"/>
      <c r="B23" s="389" t="s">
        <v>1814</v>
      </c>
      <c r="C23" s="1747"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4"/>
      <c r="M23" s="855"/>
      <c r="N23" s="855"/>
      <c r="O23" s="863"/>
      <c r="P23" s="3365"/>
      <c r="Q23" s="1257" t="str">
        <f>B23</f>
        <v>环境质量</v>
      </c>
      <c r="R23" s="666" t="s">
        <v>14</v>
      </c>
      <c r="S23" s="667">
        <f>F23</f>
        <v>100</v>
      </c>
      <c r="T23" s="666" t="s">
        <v>14</v>
      </c>
      <c r="U23" s="667">
        <f>H23</f>
        <v>100</v>
      </c>
      <c r="V23" s="666" t="s">
        <v>14</v>
      </c>
      <c r="W23" s="667">
        <f>J23</f>
        <v>100</v>
      </c>
      <c r="X23" s="1259"/>
      <c r="Y23" s="3365"/>
      <c r="Z23" s="1258" t="str">
        <f>Q23</f>
        <v>环境质量</v>
      </c>
      <c r="AA23" s="1258">
        <f t="shared" si="3"/>
        <v>1</v>
      </c>
      <c r="AB23" s="1258">
        <f t="shared" si="4"/>
        <v>1</v>
      </c>
      <c r="AC23" s="1258">
        <f t="shared" si="5"/>
        <v>1</v>
      </c>
    </row>
    <row r="24" spans="1:29" ht="15">
      <c r="A24" s="366"/>
      <c r="B24" s="585"/>
      <c r="C24" s="385"/>
      <c r="D24" s="386"/>
      <c r="E24" s="1745"/>
      <c r="F24" s="387"/>
      <c r="G24" s="1744"/>
      <c r="H24" s="386"/>
      <c r="I24" s="1745"/>
      <c r="J24" s="386"/>
      <c r="K24" s="540"/>
      <c r="L24" s="864"/>
      <c r="M24" s="855"/>
      <c r="N24" s="855"/>
      <c r="O24" s="863"/>
      <c r="P24" s="3365"/>
      <c r="Q24" s="1257"/>
      <c r="R24" s="666"/>
      <c r="S24" s="667"/>
      <c r="T24" s="666"/>
      <c r="U24" s="667"/>
      <c r="V24" s="666"/>
      <c r="W24" s="667"/>
      <c r="X24" s="1259"/>
      <c r="Y24" s="3365"/>
      <c r="Z24" s="1258"/>
      <c r="AA24" s="1258">
        <v>1</v>
      </c>
      <c r="AB24" s="1258">
        <v>1</v>
      </c>
      <c r="AC24" s="1258">
        <v>1</v>
      </c>
    </row>
    <row r="25" spans="1:29" ht="15">
      <c r="A25" s="347"/>
      <c r="B25" s="1060">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4"/>
      <c r="M25" s="855"/>
      <c r="N25" s="855"/>
      <c r="O25" s="863"/>
      <c r="P25" s="3365"/>
      <c r="Q25" s="1257">
        <f>B25</f>
        <v>111</v>
      </c>
      <c r="R25" s="666" t="s">
        <v>14</v>
      </c>
      <c r="S25" s="667">
        <f>F25</f>
        <v>100</v>
      </c>
      <c r="T25" s="666" t="s">
        <v>14</v>
      </c>
      <c r="U25" s="667">
        <f>H25</f>
        <v>100</v>
      </c>
      <c r="V25" s="666" t="s">
        <v>14</v>
      </c>
      <c r="W25" s="667">
        <f>J25</f>
        <v>100</v>
      </c>
      <c r="X25" s="1259"/>
      <c r="Y25" s="3365"/>
      <c r="Z25" s="1258">
        <f>Q25</f>
        <v>111</v>
      </c>
      <c r="AA25" s="1258">
        <f t="shared" si="3"/>
        <v>1</v>
      </c>
      <c r="AB25" s="1258">
        <f t="shared" si="4"/>
        <v>1</v>
      </c>
      <c r="AC25" s="1258">
        <f t="shared" si="5"/>
        <v>1</v>
      </c>
    </row>
    <row r="26" spans="1:29" ht="15">
      <c r="A26" s="366"/>
      <c r="B26" s="1060">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4"/>
      <c r="M26" s="855"/>
      <c r="N26" s="855"/>
      <c r="O26" s="863"/>
      <c r="P26" s="3365"/>
      <c r="Q26" s="1257">
        <f t="shared" ref="Q26:Q40" si="11">B26</f>
        <v>111</v>
      </c>
      <c r="R26" s="666" t="s">
        <v>14</v>
      </c>
      <c r="S26" s="667">
        <f>F26</f>
        <v>100</v>
      </c>
      <c r="T26" s="666" t="s">
        <v>14</v>
      </c>
      <c r="U26" s="667">
        <f>H26</f>
        <v>100</v>
      </c>
      <c r="V26" s="666" t="s">
        <v>14</v>
      </c>
      <c r="W26" s="667">
        <f>J26</f>
        <v>100</v>
      </c>
      <c r="X26" s="1259"/>
      <c r="Y26" s="3365"/>
      <c r="Z26" s="1258">
        <f>Q26</f>
        <v>111</v>
      </c>
      <c r="AA26" s="1258">
        <f t="shared" si="3"/>
        <v>1</v>
      </c>
      <c r="AB26" s="1258">
        <f t="shared" si="4"/>
        <v>1</v>
      </c>
      <c r="AC26" s="1258">
        <f t="shared" si="5"/>
        <v>1</v>
      </c>
    </row>
    <row r="27" spans="1:29" s="102" customFormat="1" ht="15">
      <c r="A27" s="369"/>
      <c r="B27" s="1060">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6"/>
      <c r="M27" s="857"/>
      <c r="N27" s="857"/>
      <c r="O27" s="858"/>
      <c r="P27" s="3365"/>
      <c r="Q27" s="529">
        <f t="shared" si="11"/>
        <v>111</v>
      </c>
      <c r="R27" s="663" t="s">
        <v>14</v>
      </c>
      <c r="S27" s="664">
        <f>F27</f>
        <v>100</v>
      </c>
      <c r="T27" s="663" t="s">
        <v>14</v>
      </c>
      <c r="U27" s="664">
        <f>H27</f>
        <v>100</v>
      </c>
      <c r="V27" s="663" t="s">
        <v>14</v>
      </c>
      <c r="W27" s="664">
        <f>J27</f>
        <v>100</v>
      </c>
      <c r="X27" s="665"/>
      <c r="Y27" s="3365"/>
      <c r="Z27" s="50">
        <f>Q27</f>
        <v>111</v>
      </c>
      <c r="AA27" s="1258">
        <f>D27/F27</f>
        <v>1</v>
      </c>
      <c r="AB27" s="1258">
        <f>D27/H27</f>
        <v>1</v>
      </c>
      <c r="AC27" s="1258">
        <f>D27/J27</f>
        <v>1</v>
      </c>
    </row>
    <row r="28" spans="1:29" ht="15.75" thickBot="1">
      <c r="A28" s="374"/>
      <c r="B28" s="1060">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4"/>
      <c r="M28" s="855"/>
      <c r="N28" s="855"/>
      <c r="O28" s="863"/>
      <c r="P28" s="3365"/>
      <c r="Q28" s="1257">
        <f t="shared" si="11"/>
        <v>111</v>
      </c>
      <c r="R28" s="666" t="s">
        <v>14</v>
      </c>
      <c r="S28" s="667">
        <f t="shared" ref="S28:S40" si="12">F28</f>
        <v>100</v>
      </c>
      <c r="T28" s="666" t="s">
        <v>14</v>
      </c>
      <c r="U28" s="667">
        <f t="shared" ref="U28:U40" si="13">H28</f>
        <v>100</v>
      </c>
      <c r="V28" s="666" t="s">
        <v>14</v>
      </c>
      <c r="W28" s="667">
        <f t="shared" ref="W28:W40" si="14">J28</f>
        <v>100</v>
      </c>
      <c r="X28" s="1259"/>
      <c r="Y28" s="3365"/>
      <c r="Z28" s="1258">
        <f t="shared" ref="Z28:Z40" si="15">Q28</f>
        <v>111</v>
      </c>
      <c r="AA28" s="1258">
        <f t="shared" si="3"/>
        <v>1</v>
      </c>
      <c r="AB28" s="1258">
        <f t="shared" si="4"/>
        <v>1</v>
      </c>
      <c r="AC28" s="1258">
        <f t="shared" si="5"/>
        <v>1</v>
      </c>
    </row>
    <row r="29" spans="1:29" ht="28.5">
      <c r="A29" s="403" t="s">
        <v>1694</v>
      </c>
      <c r="B29" s="60" t="s">
        <v>1817</v>
      </c>
      <c r="C29" s="1757"/>
      <c r="D29" s="404">
        <v>100</v>
      </c>
      <c r="E29" s="1757"/>
      <c r="F29" s="399">
        <f>SUMIF(88:88,E29,89:89)-SUMIF(88:88,C29,89:89)+100</f>
        <v>100</v>
      </c>
      <c r="G29" s="1757"/>
      <c r="H29" s="373">
        <f>SUMIF(88:88,G29,89:89)-SUMIF(88:88,C29,89:89)+100</f>
        <v>100</v>
      </c>
      <c r="I29" s="1757"/>
      <c r="J29" s="404">
        <f>SUMIF(88:88,I29,89:89)-SUMIF(88:88,C29,89:89)+100</f>
        <v>100</v>
      </c>
      <c r="K29" s="537"/>
      <c r="L29" s="864"/>
      <c r="M29" s="855"/>
      <c r="N29" s="855"/>
      <c r="O29" s="863"/>
      <c r="P29" s="3366" t="s">
        <v>1696</v>
      </c>
      <c r="Q29" s="1257" t="str">
        <f t="shared" si="11"/>
        <v>建筑类型</v>
      </c>
      <c r="R29" s="666" t="s">
        <v>14</v>
      </c>
      <c r="S29" s="667">
        <f t="shared" si="12"/>
        <v>100</v>
      </c>
      <c r="T29" s="666" t="s">
        <v>14</v>
      </c>
      <c r="U29" s="667">
        <f t="shared" si="13"/>
        <v>100</v>
      </c>
      <c r="V29" s="666" t="s">
        <v>14</v>
      </c>
      <c r="W29" s="667">
        <f t="shared" si="14"/>
        <v>100</v>
      </c>
      <c r="X29" s="1259"/>
      <c r="Y29" s="3367" t="s">
        <v>1696</v>
      </c>
      <c r="Z29" s="1258" t="str">
        <f t="shared" si="15"/>
        <v>建筑类型</v>
      </c>
      <c r="AA29" s="1258">
        <f t="shared" si="3"/>
        <v>1</v>
      </c>
      <c r="AB29" s="1258">
        <f t="shared" si="4"/>
        <v>1</v>
      </c>
      <c r="AC29" s="1258">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2"/>
      <c r="M30" s="865"/>
      <c r="N30" s="865"/>
      <c r="O30" s="866"/>
      <c r="P30" s="3367"/>
      <c r="Q30" s="530" t="str">
        <f t="shared" si="11"/>
        <v>项目建筑规模</v>
      </c>
      <c r="R30" s="668" t="s">
        <v>14</v>
      </c>
      <c r="S30" s="669" t="e">
        <f t="shared" si="12"/>
        <v>#N/A</v>
      </c>
      <c r="T30" s="668" t="s">
        <v>14</v>
      </c>
      <c r="U30" s="669" t="e">
        <f t="shared" si="13"/>
        <v>#N/A</v>
      </c>
      <c r="V30" s="668" t="s">
        <v>14</v>
      </c>
      <c r="W30" s="669" t="e">
        <f t="shared" si="14"/>
        <v>#N/A</v>
      </c>
      <c r="X30" s="670"/>
      <c r="Y30" s="3367"/>
      <c r="Z30" s="671" t="str">
        <f t="shared" si="15"/>
        <v>项目建筑规模</v>
      </c>
      <c r="AA30" s="1258" t="e">
        <f t="shared" si="3"/>
        <v>#N/A</v>
      </c>
      <c r="AB30" s="1258" t="e">
        <f t="shared" si="4"/>
        <v>#N/A</v>
      </c>
      <c r="AC30" s="1258"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4"/>
      <c r="M31" s="855"/>
      <c r="N31" s="855"/>
      <c r="O31" s="863"/>
      <c r="P31" s="3367"/>
      <c r="Q31" s="1257" t="str">
        <f t="shared" si="11"/>
        <v>建筑结构</v>
      </c>
      <c r="R31" s="666" t="s">
        <v>14</v>
      </c>
      <c r="S31" s="667">
        <f t="shared" si="12"/>
        <v>100</v>
      </c>
      <c r="T31" s="666" t="s">
        <v>14</v>
      </c>
      <c r="U31" s="667">
        <f t="shared" si="13"/>
        <v>100</v>
      </c>
      <c r="V31" s="666" t="s">
        <v>14</v>
      </c>
      <c r="W31" s="667">
        <f t="shared" si="14"/>
        <v>100</v>
      </c>
      <c r="X31" s="1259"/>
      <c r="Y31" s="3367"/>
      <c r="Z31" s="1258" t="str">
        <f t="shared" si="15"/>
        <v>建筑结构</v>
      </c>
      <c r="AA31" s="1258">
        <f t="shared" si="3"/>
        <v>1</v>
      </c>
      <c r="AB31" s="1258">
        <f t="shared" si="4"/>
        <v>1</v>
      </c>
      <c r="AC31" s="1258">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4"/>
      <c r="M32" s="855"/>
      <c r="N32" s="855"/>
      <c r="O32" s="863"/>
      <c r="P32" s="3367"/>
      <c r="Q32" s="1257" t="str">
        <f t="shared" si="11"/>
        <v>公共部分装修</v>
      </c>
      <c r="R32" s="666" t="s">
        <v>14</v>
      </c>
      <c r="S32" s="667">
        <f t="shared" si="12"/>
        <v>100</v>
      </c>
      <c r="T32" s="666" t="s">
        <v>14</v>
      </c>
      <c r="U32" s="667">
        <f t="shared" si="13"/>
        <v>100</v>
      </c>
      <c r="V32" s="666" t="s">
        <v>14</v>
      </c>
      <c r="W32" s="667">
        <f t="shared" si="14"/>
        <v>100</v>
      </c>
      <c r="X32" s="1259"/>
      <c r="Y32" s="3367"/>
      <c r="Z32" s="1258" t="str">
        <f t="shared" si="15"/>
        <v>公共部分装修</v>
      </c>
      <c r="AA32" s="1258">
        <f t="shared" si="3"/>
        <v>1</v>
      </c>
      <c r="AB32" s="1258">
        <f t="shared" si="4"/>
        <v>1</v>
      </c>
      <c r="AC32" s="1258">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4"/>
      <c r="M33" s="855"/>
      <c r="N33" s="855"/>
      <c r="O33" s="863"/>
      <c r="P33" s="3367"/>
      <c r="Q33" s="1257" t="str">
        <f t="shared" si="11"/>
        <v>成新度</v>
      </c>
      <c r="R33" s="666" t="s">
        <v>14</v>
      </c>
      <c r="S33" s="667" t="e">
        <f t="shared" si="12"/>
        <v>#N/A</v>
      </c>
      <c r="T33" s="666" t="s">
        <v>14</v>
      </c>
      <c r="U33" s="667" t="e">
        <f t="shared" si="13"/>
        <v>#N/A</v>
      </c>
      <c r="V33" s="666" t="s">
        <v>14</v>
      </c>
      <c r="W33" s="667" t="e">
        <f t="shared" si="14"/>
        <v>#N/A</v>
      </c>
      <c r="X33" s="1259"/>
      <c r="Y33" s="3367"/>
      <c r="Z33" s="1258" t="str">
        <f t="shared" si="15"/>
        <v>成新度</v>
      </c>
      <c r="AA33" s="1258" t="e">
        <f t="shared" si="3"/>
        <v>#N/A</v>
      </c>
      <c r="AB33" s="1258" t="e">
        <f t="shared" si="4"/>
        <v>#N/A</v>
      </c>
      <c r="AC33" s="1258"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6"/>
      <c r="M34" s="857"/>
      <c r="N34" s="857"/>
      <c r="O34" s="858"/>
      <c r="P34" s="3367"/>
      <c r="Q34" s="529" t="str">
        <f t="shared" si="11"/>
        <v>物业管理</v>
      </c>
      <c r="R34" s="663" t="s">
        <v>14</v>
      </c>
      <c r="S34" s="664">
        <f t="shared" si="12"/>
        <v>100</v>
      </c>
      <c r="T34" s="663" t="s">
        <v>14</v>
      </c>
      <c r="U34" s="664">
        <f t="shared" si="13"/>
        <v>100</v>
      </c>
      <c r="V34" s="663" t="s">
        <v>14</v>
      </c>
      <c r="W34" s="664">
        <f t="shared" si="14"/>
        <v>100</v>
      </c>
      <c r="X34" s="665"/>
      <c r="Y34" s="336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4"/>
      <c r="M35" s="855"/>
      <c r="N35" s="855"/>
      <c r="O35" s="863"/>
      <c r="P35" s="3367" t="s">
        <v>1696</v>
      </c>
      <c r="Q35" s="1257" t="str">
        <f t="shared" si="11"/>
        <v>市政基础设施</v>
      </c>
      <c r="R35" s="666" t="s">
        <v>14</v>
      </c>
      <c r="S35" s="667">
        <f t="shared" si="12"/>
        <v>100</v>
      </c>
      <c r="T35" s="666" t="s">
        <v>14</v>
      </c>
      <c r="U35" s="667">
        <f t="shared" si="13"/>
        <v>100</v>
      </c>
      <c r="V35" s="666" t="s">
        <v>14</v>
      </c>
      <c r="W35" s="667">
        <f t="shared" si="14"/>
        <v>100</v>
      </c>
      <c r="X35" s="1259"/>
      <c r="Y35" s="3367" t="s">
        <v>1696</v>
      </c>
      <c r="Z35" s="1258" t="str">
        <f t="shared" si="15"/>
        <v>市政基础设施</v>
      </c>
      <c r="AA35" s="1258">
        <f t="shared" si="3"/>
        <v>1</v>
      </c>
      <c r="AB35" s="1258">
        <f t="shared" si="4"/>
        <v>1</v>
      </c>
      <c r="AC35" s="1258">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4"/>
      <c r="M36" s="855"/>
      <c r="N36" s="855"/>
      <c r="O36" s="863"/>
      <c r="P36" s="3367"/>
      <c r="Q36" s="1257" t="str">
        <f t="shared" si="11"/>
        <v>内部装修</v>
      </c>
      <c r="R36" s="666" t="s">
        <v>14</v>
      </c>
      <c r="S36" s="667">
        <f t="shared" si="12"/>
        <v>100</v>
      </c>
      <c r="T36" s="666" t="s">
        <v>14</v>
      </c>
      <c r="U36" s="667">
        <f t="shared" si="13"/>
        <v>100</v>
      </c>
      <c r="V36" s="666" t="s">
        <v>14</v>
      </c>
      <c r="W36" s="667">
        <f t="shared" si="14"/>
        <v>100</v>
      </c>
      <c r="X36" s="1259"/>
      <c r="Y36" s="3367"/>
      <c r="Z36" s="1258" t="str">
        <f t="shared" si="15"/>
        <v>内部装修</v>
      </c>
      <c r="AA36" s="1258">
        <f t="shared" si="3"/>
        <v>1</v>
      </c>
      <c r="AB36" s="1258">
        <f t="shared" si="4"/>
        <v>1</v>
      </c>
      <c r="AC36" s="1258">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4"/>
      <c r="M37" s="855"/>
      <c r="N37" s="855"/>
      <c r="O37" s="863"/>
      <c r="P37" s="3367"/>
      <c r="Q37" s="1257" t="str">
        <f t="shared" si="11"/>
        <v>内部装修状况</v>
      </c>
      <c r="R37" s="666" t="s">
        <v>14</v>
      </c>
      <c r="S37" s="667">
        <f t="shared" si="12"/>
        <v>100</v>
      </c>
      <c r="T37" s="666" t="s">
        <v>14</v>
      </c>
      <c r="U37" s="667">
        <f t="shared" si="13"/>
        <v>100</v>
      </c>
      <c r="V37" s="666" t="s">
        <v>14</v>
      </c>
      <c r="W37" s="667">
        <f t="shared" si="14"/>
        <v>100</v>
      </c>
      <c r="X37" s="1259"/>
      <c r="Y37" s="3367"/>
      <c r="Z37" s="1258" t="str">
        <f t="shared" si="15"/>
        <v>内部装修状况</v>
      </c>
      <c r="AA37" s="1258">
        <f t="shared" si="3"/>
        <v>1</v>
      </c>
      <c r="AB37" s="1258">
        <f t="shared" si="4"/>
        <v>1</v>
      </c>
      <c r="AC37" s="1258">
        <f t="shared" si="5"/>
        <v>1</v>
      </c>
    </row>
    <row r="38" spans="1:29" s="407" customFormat="1" ht="15">
      <c r="A38" s="405"/>
      <c r="B38" s="1060">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2"/>
      <c r="M38" s="865"/>
      <c r="N38" s="865"/>
      <c r="O38" s="866"/>
      <c r="P38" s="3367"/>
      <c r="Q38" s="530">
        <f t="shared" si="11"/>
        <v>111</v>
      </c>
      <c r="R38" s="668" t="s">
        <v>14</v>
      </c>
      <c r="S38" s="669">
        <f t="shared" si="12"/>
        <v>100</v>
      </c>
      <c r="T38" s="668" t="s">
        <v>14</v>
      </c>
      <c r="U38" s="669">
        <f t="shared" si="13"/>
        <v>100</v>
      </c>
      <c r="V38" s="668" t="s">
        <v>14</v>
      </c>
      <c r="W38" s="669">
        <f t="shared" si="14"/>
        <v>100</v>
      </c>
      <c r="X38" s="670"/>
      <c r="Y38" s="3367"/>
      <c r="Z38" s="671">
        <f t="shared" si="15"/>
        <v>111</v>
      </c>
      <c r="AA38" s="1258">
        <f t="shared" si="3"/>
        <v>1</v>
      </c>
      <c r="AB38" s="1258">
        <f t="shared" si="4"/>
        <v>1</v>
      </c>
      <c r="AC38" s="1258">
        <f t="shared" si="5"/>
        <v>1</v>
      </c>
    </row>
    <row r="39" spans="1:29" ht="15">
      <c r="A39" s="408"/>
      <c r="B39" s="1060">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4"/>
      <c r="M39" s="855"/>
      <c r="N39" s="855"/>
      <c r="O39" s="863"/>
      <c r="P39" s="3367"/>
      <c r="Q39" s="1257">
        <f t="shared" si="11"/>
        <v>111</v>
      </c>
      <c r="R39" s="666" t="s">
        <v>14</v>
      </c>
      <c r="S39" s="667">
        <f t="shared" si="12"/>
        <v>100</v>
      </c>
      <c r="T39" s="666" t="s">
        <v>14</v>
      </c>
      <c r="U39" s="667">
        <f t="shared" si="13"/>
        <v>100</v>
      </c>
      <c r="V39" s="666" t="s">
        <v>14</v>
      </c>
      <c r="W39" s="667">
        <f t="shared" si="14"/>
        <v>100</v>
      </c>
      <c r="X39" s="1259"/>
      <c r="Y39" s="3367"/>
      <c r="Z39" s="1258">
        <f t="shared" si="15"/>
        <v>111</v>
      </c>
      <c r="AA39" s="1258">
        <f t="shared" si="3"/>
        <v>1</v>
      </c>
      <c r="AB39" s="1258">
        <f t="shared" si="4"/>
        <v>1</v>
      </c>
      <c r="AC39" s="1258">
        <f t="shared" si="5"/>
        <v>1</v>
      </c>
    </row>
    <row r="40" spans="1:29" ht="15.75" thickBot="1">
      <c r="A40" s="414"/>
      <c r="B40" s="1742">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4"/>
      <c r="M40" s="855"/>
      <c r="N40" s="855"/>
      <c r="O40" s="863"/>
      <c r="P40" s="3405"/>
      <c r="Q40" s="1257">
        <f t="shared" si="11"/>
        <v>111</v>
      </c>
      <c r="R40" s="666" t="s">
        <v>14</v>
      </c>
      <c r="S40" s="667">
        <f t="shared" si="12"/>
        <v>100</v>
      </c>
      <c r="T40" s="666" t="s">
        <v>14</v>
      </c>
      <c r="U40" s="667">
        <f t="shared" si="13"/>
        <v>100</v>
      </c>
      <c r="V40" s="666" t="s">
        <v>14</v>
      </c>
      <c r="W40" s="667">
        <f t="shared" si="14"/>
        <v>100</v>
      </c>
      <c r="X40" s="1259"/>
      <c r="Y40" s="3405"/>
      <c r="Z40" s="1258">
        <f t="shared" si="15"/>
        <v>111</v>
      </c>
      <c r="AA40" s="1258">
        <f t="shared" si="3"/>
        <v>1</v>
      </c>
      <c r="AB40" s="1258">
        <f t="shared" si="4"/>
        <v>1</v>
      </c>
      <c r="AC40" s="1258">
        <f t="shared" si="5"/>
        <v>1</v>
      </c>
    </row>
    <row r="41" spans="1:29" ht="15">
      <c r="A41" s="415" t="s">
        <v>1708</v>
      </c>
      <c r="B41" s="416"/>
      <c r="C41" s="1075" t="s">
        <v>0</v>
      </c>
      <c r="D41" s="417"/>
      <c r="E41" s="418"/>
      <c r="F41" s="419"/>
      <c r="G41" s="420"/>
      <c r="H41" s="421"/>
      <c r="I41" s="418"/>
      <c r="J41" s="421"/>
      <c r="K41" s="673"/>
      <c r="L41" s="867"/>
      <c r="M41" s="855"/>
      <c r="N41" s="855"/>
      <c r="O41" s="855"/>
      <c r="P41" s="3363" t="str">
        <f>A41</f>
        <v>成交单价（元/平方米）</v>
      </c>
      <c r="Q41" s="3363"/>
      <c r="R41" s="3368">
        <f>E41</f>
        <v>0</v>
      </c>
      <c r="S41" s="3368"/>
      <c r="T41" s="3368">
        <f>G41</f>
        <v>0</v>
      </c>
      <c r="U41" s="3368"/>
      <c r="V41" s="3368">
        <f>I41</f>
        <v>0</v>
      </c>
      <c r="W41" s="3368"/>
      <c r="X41" s="384"/>
      <c r="Y41" s="672"/>
      <c r="Z41" s="384"/>
      <c r="AA41" s="384"/>
      <c r="AB41" s="384"/>
      <c r="AC41" s="384"/>
    </row>
    <row r="42" spans="1:29" ht="15.75" thickBot="1">
      <c r="A42" s="422" t="s">
        <v>1793</v>
      </c>
      <c r="B42" s="423"/>
      <c r="C42" s="1076" t="e">
        <f>R43</f>
        <v>#DIV/0!</v>
      </c>
      <c r="D42" s="2133" t="s">
        <v>2137</v>
      </c>
      <c r="E42" s="1077" t="e">
        <f>R42</f>
        <v>#DIV/0!</v>
      </c>
      <c r="F42" s="2134"/>
      <c r="G42" s="1076" t="e">
        <f>T42</f>
        <v>#DIV/0!</v>
      </c>
      <c r="H42" s="2134"/>
      <c r="I42" s="1077" t="e">
        <f>V42</f>
        <v>#DIV/0!</v>
      </c>
      <c r="J42" s="2134"/>
      <c r="K42" s="2136">
        <f>F42+H42+J42</f>
        <v>0</v>
      </c>
      <c r="L42" s="867"/>
      <c r="M42" s="855"/>
      <c r="N42" s="855"/>
      <c r="O42" s="855"/>
      <c r="P42" s="3363" t="str">
        <f>A42</f>
        <v>比较价值（元/平方米）</v>
      </c>
      <c r="Q42" s="3363"/>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67"/>
      <c r="M43" s="855"/>
      <c r="N43" s="855"/>
      <c r="O43" s="855"/>
      <c r="P43" s="3357" t="str">
        <f>A43</f>
        <v>估价对象XX用房的比较价值（楼面单价，元/平方米）</v>
      </c>
      <c r="Q43" s="3358"/>
      <c r="R43" s="3401" t="e">
        <f>IF(F1="售价",ROUND(IF(D42="简单平均",AVERAGE(R42:V42),R42*F42+T42*H42+V42*J42),0),ROUND(IF(D42="简单平均",AVERAGE(R42:V42),R42*F42+T42*H42+V42*J42),1))</f>
        <v>#DIV/0!</v>
      </c>
      <c r="S43" s="3401"/>
      <c r="T43" s="3401"/>
      <c r="U43" s="3401"/>
      <c r="V43" s="3401"/>
      <c r="W43" s="3401"/>
      <c r="X43" s="384"/>
      <c r="Y43" s="384"/>
      <c r="Z43" s="384"/>
      <c r="AA43" s="384"/>
      <c r="AB43" s="384"/>
      <c r="AC43" s="384"/>
    </row>
    <row r="44" spans="1:29">
      <c r="A44" s="2478"/>
      <c r="B44" s="2478"/>
      <c r="C44" s="2478"/>
      <c r="D44" s="2478"/>
      <c r="E44" s="2478"/>
      <c r="F44" s="2478"/>
      <c r="G44" s="2489"/>
      <c r="H44" s="2478"/>
      <c r="I44" s="2478"/>
      <c r="J44" s="2478"/>
      <c r="K44" s="2490"/>
      <c r="L44" s="830"/>
      <c r="M44" s="855"/>
      <c r="N44" s="855"/>
      <c r="O44" s="855"/>
    </row>
    <row r="45" spans="1:29">
      <c r="A45" s="2478"/>
      <c r="B45" s="2478"/>
      <c r="C45" s="2478"/>
      <c r="D45" s="2478"/>
      <c r="E45" s="2478"/>
      <c r="F45" s="2478"/>
      <c r="G45" s="2478"/>
      <c r="H45" s="2478"/>
      <c r="I45" s="2478"/>
      <c r="J45" s="2478"/>
      <c r="K45" s="2490"/>
      <c r="L45" s="830"/>
      <c r="M45" s="855"/>
      <c r="N45" s="855"/>
      <c r="O45" s="855"/>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0"/>
      <c r="M46" s="855"/>
      <c r="N46" s="855"/>
      <c r="O46" s="855"/>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0"/>
      <c r="M47" s="855"/>
      <c r="N47" s="855"/>
      <c r="O47" s="855"/>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0"/>
      <c r="M48" s="868"/>
      <c r="N48" s="868"/>
      <c r="O48" s="868"/>
    </row>
    <row r="49" spans="1:17" s="436" customFormat="1">
      <c r="A49" s="2488"/>
      <c r="B49" s="2491"/>
      <c r="C49" s="2492"/>
      <c r="D49" s="2488"/>
      <c r="E49" s="2488"/>
      <c r="F49" s="2488"/>
      <c r="G49" s="2488"/>
      <c r="H49" s="2488"/>
      <c r="I49" s="2488"/>
      <c r="J49" s="2488"/>
      <c r="K49" s="2493"/>
      <c r="L49" s="870"/>
      <c r="M49" s="868"/>
      <c r="N49" s="868"/>
      <c r="O49" s="868"/>
    </row>
    <row r="50" spans="1:17">
      <c r="A50" s="2478"/>
      <c r="B50" s="2491"/>
      <c r="C50" s="2492"/>
      <c r="D50" s="2478"/>
      <c r="E50" s="2478"/>
      <c r="F50" s="2478"/>
      <c r="G50" s="2478"/>
      <c r="H50" s="2478"/>
      <c r="I50" s="2478"/>
      <c r="J50" s="2478"/>
      <c r="K50" s="2490"/>
      <c r="L50" s="830"/>
      <c r="M50" s="855"/>
      <c r="N50" s="855"/>
      <c r="O50" s="855"/>
    </row>
    <row r="51" spans="1:17" ht="21.75" thickBot="1">
      <c r="A51" s="657" t="s">
        <v>1798</v>
      </c>
      <c r="B51" s="384"/>
      <c r="C51" s="658"/>
      <c r="D51" s="658"/>
      <c r="E51" s="658"/>
      <c r="F51" s="659"/>
      <c r="G51" s="659"/>
      <c r="H51" s="658"/>
      <c r="I51" s="658"/>
      <c r="J51" s="658"/>
      <c r="K51" s="881"/>
      <c r="L51" s="882"/>
      <c r="M51" s="880"/>
      <c r="N51" s="880"/>
      <c r="O51" s="880"/>
      <c r="P51" s="437"/>
      <c r="Q51" s="438"/>
    </row>
    <row r="52" spans="1:17" s="441" customFormat="1" ht="15">
      <c r="A52" s="439" t="s">
        <v>1679</v>
      </c>
      <c r="B52" s="440"/>
      <c r="C52" s="1097" t="str">
        <f>YEAR(C7)&amp;"-"&amp;MONTH(C7)</f>
        <v>2024-10</v>
      </c>
      <c r="D52" s="1098">
        <f>EDATE(C52,-1)</f>
        <v>45536</v>
      </c>
      <c r="E52" s="1098">
        <f t="shared" ref="E52:O52" si="16">EDATE(D52,-1)</f>
        <v>45505</v>
      </c>
      <c r="F52" s="1098">
        <f t="shared" si="16"/>
        <v>45474</v>
      </c>
      <c r="G52" s="1098">
        <f t="shared" si="16"/>
        <v>45444</v>
      </c>
      <c r="H52" s="1098">
        <f t="shared" si="16"/>
        <v>45413</v>
      </c>
      <c r="I52" s="1098">
        <f t="shared" si="16"/>
        <v>45383</v>
      </c>
      <c r="J52" s="1098">
        <f t="shared" si="16"/>
        <v>45352</v>
      </c>
      <c r="K52" s="1098">
        <f t="shared" si="16"/>
        <v>45323</v>
      </c>
      <c r="L52" s="1098">
        <f t="shared" si="16"/>
        <v>45292</v>
      </c>
      <c r="M52" s="1098">
        <f t="shared" si="16"/>
        <v>45261</v>
      </c>
      <c r="N52" s="1098">
        <f t="shared" si="16"/>
        <v>45231</v>
      </c>
      <c r="O52" s="1098">
        <f t="shared" si="16"/>
        <v>45200</v>
      </c>
    </row>
    <row r="53" spans="1:17" s="102" customFormat="1" ht="15">
      <c r="A53" s="442"/>
      <c r="B53" s="443"/>
      <c r="C53" s="1096">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29"/>
      <c r="O54" s="2530"/>
      <c r="P54" s="438"/>
      <c r="Q54" s="438"/>
    </row>
    <row r="55" spans="1:17" s="102" customFormat="1" ht="15">
      <c r="A55" s="454" t="s">
        <v>1681</v>
      </c>
      <c r="B55" s="443"/>
      <c r="C55" s="455" t="s">
        <v>1776</v>
      </c>
      <c r="D55" s="31"/>
      <c r="E55" s="31"/>
      <c r="F55" s="31"/>
      <c r="G55" s="31"/>
      <c r="H55" s="31"/>
      <c r="I55" s="31"/>
      <c r="J55" s="31"/>
      <c r="K55" s="31"/>
      <c r="L55" s="456"/>
      <c r="M55" s="457"/>
      <c r="N55" s="872"/>
      <c r="O55" s="872"/>
      <c r="P55" s="458"/>
      <c r="Q55" s="438"/>
    </row>
    <row r="56" spans="1:17" s="102" customFormat="1" ht="15.75" thickBot="1">
      <c r="A56" s="454"/>
      <c r="B56" s="443"/>
      <c r="C56" s="562">
        <v>100</v>
      </c>
      <c r="D56" s="445"/>
      <c r="E56" s="445"/>
      <c r="F56" s="445"/>
      <c r="G56" s="445"/>
      <c r="H56" s="445"/>
      <c r="I56" s="445"/>
      <c r="J56" s="445"/>
      <c r="K56" s="445"/>
      <c r="L56" s="445"/>
      <c r="M56" s="447"/>
      <c r="N56" s="872"/>
      <c r="O56" s="872"/>
      <c r="P56" s="438"/>
      <c r="Q56" s="438"/>
    </row>
    <row r="57" spans="1:17">
      <c r="A57" s="378" t="s">
        <v>1719</v>
      </c>
      <c r="B57" s="459" t="s">
        <v>1685</v>
      </c>
      <c r="C57" s="460">
        <f>C9</f>
        <v>0</v>
      </c>
      <c r="D57" s="461"/>
      <c r="E57" s="461"/>
      <c r="F57" s="461"/>
      <c r="G57" s="461"/>
      <c r="H57" s="461"/>
      <c r="I57" s="461"/>
      <c r="J57" s="461"/>
      <c r="K57" s="462"/>
      <c r="L57" s="463"/>
      <c r="M57" s="464"/>
      <c r="N57" s="873"/>
      <c r="O57" s="873"/>
      <c r="P57" s="40"/>
      <c r="Q57" s="438"/>
    </row>
    <row r="58" spans="1:17" ht="15.75" thickBot="1">
      <c r="A58" s="366"/>
      <c r="B58" s="465"/>
      <c r="C58" s="466">
        <v>100</v>
      </c>
      <c r="D58" s="466"/>
      <c r="E58" s="466"/>
      <c r="F58" s="466"/>
      <c r="G58" s="466"/>
      <c r="H58" s="466"/>
      <c r="I58" s="466"/>
      <c r="J58" s="466"/>
      <c r="K58" s="466"/>
      <c r="L58" s="466"/>
      <c r="M58" s="467"/>
      <c r="N58" s="874"/>
      <c r="O58" s="874"/>
      <c r="P58" s="40"/>
      <c r="Q58" s="438"/>
    </row>
    <row r="59" spans="1:17" ht="27.75" thickTop="1">
      <c r="A59" s="366"/>
      <c r="B59" s="468" t="s">
        <v>1688</v>
      </c>
      <c r="C59" s="512"/>
      <c r="D59" s="512"/>
      <c r="E59" s="512"/>
      <c r="F59" s="512"/>
      <c r="G59" s="512"/>
      <c r="H59" s="512"/>
      <c r="I59" s="512"/>
      <c r="J59" s="512"/>
      <c r="K59" s="513"/>
      <c r="L59" s="514"/>
      <c r="M59" s="515"/>
      <c r="N59" s="873"/>
      <c r="O59" s="873"/>
      <c r="P59" s="40"/>
      <c r="Q59" s="438"/>
    </row>
    <row r="60" spans="1:17" ht="15.75" thickBot="1">
      <c r="A60" s="366"/>
      <c r="B60" s="473"/>
      <c r="C60" s="466"/>
      <c r="D60" s="466"/>
      <c r="E60" s="466"/>
      <c r="F60" s="466"/>
      <c r="G60" s="466"/>
      <c r="H60" s="466"/>
      <c r="I60" s="466"/>
      <c r="J60" s="466"/>
      <c r="K60" s="466"/>
      <c r="L60" s="466"/>
      <c r="M60" s="467"/>
      <c r="N60" s="874"/>
      <c r="O60" s="874"/>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4"/>
      <c r="O61" s="874"/>
      <c r="P61" s="40"/>
      <c r="Q61" s="438"/>
    </row>
    <row r="62" spans="1:17" ht="15">
      <c r="A62" s="366"/>
      <c r="B62" s="478"/>
      <c r="C62" s="479">
        <v>0</v>
      </c>
      <c r="D62" s="479">
        <v>2</v>
      </c>
      <c r="E62" s="479"/>
      <c r="F62" s="479"/>
      <c r="G62" s="479"/>
      <c r="H62" s="479"/>
      <c r="I62" s="479"/>
      <c r="J62" s="479"/>
      <c r="K62" s="480"/>
      <c r="L62" s="481"/>
      <c r="M62" s="482"/>
      <c r="N62" s="873"/>
      <c r="O62" s="873"/>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4"/>
      <c r="O63" s="874"/>
      <c r="P63" s="40"/>
      <c r="Q63" s="438"/>
    </row>
    <row r="64" spans="1:17" s="407" customFormat="1" ht="15.75" thickTop="1">
      <c r="A64" s="483"/>
      <c r="B64" s="468">
        <f>B12</f>
        <v>111</v>
      </c>
      <c r="C64" s="484"/>
      <c r="D64" s="484"/>
      <c r="E64" s="484"/>
      <c r="F64" s="484"/>
      <c r="G64" s="484"/>
      <c r="H64" s="485"/>
      <c r="I64" s="485"/>
      <c r="J64" s="485"/>
      <c r="K64" s="485"/>
      <c r="L64" s="486"/>
      <c r="M64" s="487"/>
      <c r="N64" s="875"/>
      <c r="O64" s="875"/>
      <c r="P64" s="488"/>
      <c r="Q64" s="489"/>
    </row>
    <row r="65" spans="1:17" s="407" customFormat="1" ht="15.75" thickBot="1">
      <c r="A65" s="483"/>
      <c r="B65" s="473"/>
      <c r="C65" s="490"/>
      <c r="D65" s="466"/>
      <c r="E65" s="466"/>
      <c r="F65" s="466"/>
      <c r="G65" s="466"/>
      <c r="H65" s="466"/>
      <c r="I65" s="466"/>
      <c r="J65" s="466"/>
      <c r="K65" s="466"/>
      <c r="L65" s="466"/>
      <c r="M65" s="467"/>
      <c r="N65" s="874"/>
      <c r="O65" s="874"/>
      <c r="P65" s="488"/>
      <c r="Q65" s="489"/>
    </row>
    <row r="66" spans="1:17" s="407" customFormat="1" ht="15.75" thickTop="1">
      <c r="A66" s="483"/>
      <c r="B66" s="468">
        <f>B13</f>
        <v>111</v>
      </c>
      <c r="C66" s="484"/>
      <c r="D66" s="484"/>
      <c r="E66" s="484"/>
      <c r="F66" s="484"/>
      <c r="G66" s="484"/>
      <c r="H66" s="485"/>
      <c r="I66" s="485"/>
      <c r="J66" s="485"/>
      <c r="K66" s="485"/>
      <c r="L66" s="486"/>
      <c r="M66" s="487"/>
      <c r="N66" s="875"/>
      <c r="O66" s="875"/>
      <c r="Q66" s="491"/>
    </row>
    <row r="67" spans="1:17" s="407" customFormat="1" ht="15.75" thickBot="1">
      <c r="A67" s="483"/>
      <c r="B67" s="473"/>
      <c r="C67" s="490"/>
      <c r="D67" s="466"/>
      <c r="E67" s="466"/>
      <c r="F67" s="466"/>
      <c r="G67" s="490"/>
      <c r="H67" s="492"/>
      <c r="I67" s="492"/>
      <c r="J67" s="492"/>
      <c r="K67" s="492"/>
      <c r="L67" s="492"/>
      <c r="M67" s="493"/>
      <c r="N67" s="875"/>
      <c r="O67" s="875"/>
      <c r="P67" s="488"/>
      <c r="Q67" s="489"/>
    </row>
    <row r="68" spans="1:17" s="407" customFormat="1" ht="15.75" thickTop="1">
      <c r="A68" s="483"/>
      <c r="B68" s="476">
        <f>B14</f>
        <v>111</v>
      </c>
      <c r="C68" s="31"/>
      <c r="D68" s="31"/>
      <c r="E68" s="31"/>
      <c r="F68" s="31"/>
      <c r="G68" s="31"/>
      <c r="H68" s="494"/>
      <c r="I68" s="494"/>
      <c r="J68" s="494"/>
      <c r="K68" s="494"/>
      <c r="L68" s="495"/>
      <c r="M68" s="496"/>
      <c r="N68" s="875"/>
      <c r="O68" s="875"/>
      <c r="P68" s="497"/>
      <c r="Q68" s="489"/>
    </row>
    <row r="69" spans="1:17" s="407" customFormat="1" ht="15.75" thickBot="1">
      <c r="A69" s="498"/>
      <c r="B69" s="499"/>
      <c r="C69" s="500"/>
      <c r="D69" s="500"/>
      <c r="E69" s="500"/>
      <c r="F69" s="500"/>
      <c r="G69" s="500"/>
      <c r="H69" s="501"/>
      <c r="I69" s="501"/>
      <c r="J69" s="501"/>
      <c r="K69" s="501"/>
      <c r="L69" s="501"/>
      <c r="M69" s="502"/>
      <c r="N69" s="875"/>
      <c r="O69" s="875"/>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3"/>
      <c r="O70" s="873"/>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4"/>
      <c r="O71" s="874"/>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3"/>
      <c r="O72" s="873"/>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4"/>
      <c r="O73" s="874"/>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3"/>
      <c r="O74" s="873"/>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4"/>
      <c r="O75" s="874"/>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57"/>
      <c r="N76" s="874"/>
      <c r="O76" s="874"/>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4"/>
      <c r="O77" s="874"/>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3"/>
      <c r="O78" s="873"/>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4"/>
      <c r="O79" s="874"/>
      <c r="P79" s="40"/>
      <c r="Q79" s="438"/>
    </row>
    <row r="80" spans="1:17" s="102" customFormat="1" ht="15.75" thickTop="1">
      <c r="A80" s="369"/>
      <c r="B80" s="468">
        <f>B25</f>
        <v>111</v>
      </c>
      <c r="C80" s="484"/>
      <c r="D80" s="484"/>
      <c r="E80" s="484"/>
      <c r="F80" s="484"/>
      <c r="G80" s="484"/>
      <c r="H80" s="484"/>
      <c r="I80" s="484"/>
      <c r="J80" s="484"/>
      <c r="K80" s="484"/>
      <c r="L80" s="509"/>
      <c r="M80" s="510"/>
      <c r="N80" s="872"/>
      <c r="O80" s="872"/>
      <c r="P80" s="40"/>
      <c r="Q80" s="438"/>
    </row>
    <row r="81" spans="1:17" s="102" customFormat="1" ht="15.75" thickBot="1">
      <c r="A81" s="369"/>
      <c r="B81" s="473"/>
      <c r="C81" s="490"/>
      <c r="D81" s="466"/>
      <c r="E81" s="466"/>
      <c r="F81" s="466"/>
      <c r="G81" s="466"/>
      <c r="H81" s="466"/>
      <c r="I81" s="466"/>
      <c r="J81" s="466"/>
      <c r="K81" s="466"/>
      <c r="L81" s="466"/>
      <c r="M81" s="467"/>
      <c r="N81" s="874"/>
      <c r="O81" s="874"/>
      <c r="P81" s="40"/>
      <c r="Q81" s="438"/>
    </row>
    <row r="82" spans="1:17" s="102" customFormat="1" ht="15.75" thickTop="1">
      <c r="A82" s="369"/>
      <c r="B82" s="468">
        <f>B26</f>
        <v>111</v>
      </c>
      <c r="C82" s="484"/>
      <c r="D82" s="484"/>
      <c r="E82" s="484"/>
      <c r="F82" s="484"/>
      <c r="G82" s="484"/>
      <c r="H82" s="484"/>
      <c r="I82" s="484"/>
      <c r="J82" s="484"/>
      <c r="K82" s="484"/>
      <c r="L82" s="509"/>
      <c r="M82" s="510"/>
      <c r="N82" s="872"/>
      <c r="O82" s="872"/>
      <c r="P82" s="40"/>
      <c r="Q82" s="438"/>
    </row>
    <row r="83" spans="1:17" s="102" customFormat="1" ht="15.75" thickBot="1">
      <c r="A83" s="369"/>
      <c r="B83" s="473"/>
      <c r="C83" s="490"/>
      <c r="D83" s="466"/>
      <c r="E83" s="466"/>
      <c r="F83" s="466"/>
      <c r="G83" s="466"/>
      <c r="H83" s="466"/>
      <c r="I83" s="466"/>
      <c r="J83" s="466"/>
      <c r="K83" s="466"/>
      <c r="L83" s="466"/>
      <c r="M83" s="467"/>
      <c r="N83" s="874"/>
      <c r="O83" s="874"/>
      <c r="P83" s="40"/>
      <c r="Q83" s="438"/>
    </row>
    <row r="84" spans="1:17" s="407" customFormat="1" ht="15.75" thickTop="1">
      <c r="A84" s="483"/>
      <c r="B84" s="468">
        <f>B27</f>
        <v>111</v>
      </c>
      <c r="C84" s="484"/>
      <c r="D84" s="484"/>
      <c r="E84" s="484"/>
      <c r="F84" s="484"/>
      <c r="G84" s="484"/>
      <c r="H84" s="484"/>
      <c r="I84" s="484"/>
      <c r="J84" s="484"/>
      <c r="K84" s="484"/>
      <c r="L84" s="509"/>
      <c r="M84" s="510"/>
      <c r="N84" s="875"/>
      <c r="O84" s="875"/>
      <c r="P84" s="488"/>
      <c r="Q84" s="489"/>
    </row>
    <row r="85" spans="1:17" s="407" customFormat="1" ht="15.75" thickBot="1">
      <c r="A85" s="483"/>
      <c r="B85" s="473"/>
      <c r="C85" s="490"/>
      <c r="D85" s="466"/>
      <c r="E85" s="466"/>
      <c r="F85" s="466"/>
      <c r="G85" s="466"/>
      <c r="H85" s="466"/>
      <c r="I85" s="466"/>
      <c r="J85" s="466"/>
      <c r="K85" s="466"/>
      <c r="L85" s="466"/>
      <c r="M85" s="467"/>
      <c r="N85" s="875"/>
      <c r="O85" s="875"/>
      <c r="P85" s="488"/>
      <c r="Q85" s="489"/>
    </row>
    <row r="86" spans="1:17" ht="15.75" thickTop="1">
      <c r="A86" s="366"/>
      <c r="B86" s="476">
        <f>B28</f>
        <v>111</v>
      </c>
      <c r="C86" s="31"/>
      <c r="D86" s="31"/>
      <c r="E86" s="31"/>
      <c r="F86" s="31"/>
      <c r="G86" s="516"/>
      <c r="H86" s="516"/>
      <c r="I86" s="516"/>
      <c r="J86" s="516"/>
      <c r="K86" s="517"/>
      <c r="L86" s="518"/>
      <c r="M86" s="519"/>
      <c r="N86" s="873"/>
      <c r="O86" s="873"/>
      <c r="P86" s="40"/>
      <c r="Q86" s="438"/>
    </row>
    <row r="87" spans="1:17" ht="15.75" thickBot="1">
      <c r="A87" s="374"/>
      <c r="B87" s="499"/>
      <c r="C87" s="500"/>
      <c r="D87" s="500"/>
      <c r="E87" s="500"/>
      <c r="F87" s="500"/>
      <c r="G87" s="520"/>
      <c r="H87" s="520"/>
      <c r="I87" s="520"/>
      <c r="J87" s="520"/>
      <c r="K87" s="520"/>
      <c r="L87" s="520"/>
      <c r="M87" s="521"/>
      <c r="N87" s="874"/>
      <c r="O87" s="874"/>
      <c r="P87" s="40"/>
      <c r="Q87" s="438"/>
    </row>
    <row r="88" spans="1:17">
      <c r="A88" s="378" t="s">
        <v>1694</v>
      </c>
      <c r="B88" s="459" t="s">
        <v>1736</v>
      </c>
      <c r="C88" s="461"/>
      <c r="D88" s="461"/>
      <c r="E88" s="461"/>
      <c r="F88" s="461"/>
      <c r="G88" s="461"/>
      <c r="H88" s="461"/>
      <c r="I88" s="461"/>
      <c r="J88" s="461"/>
      <c r="K88" s="462"/>
      <c r="L88" s="463"/>
      <c r="M88" s="464"/>
      <c r="N88" s="873"/>
      <c r="O88" s="873"/>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4"/>
      <c r="O89" s="874"/>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2"/>
      <c r="O90" s="872"/>
      <c r="P90" s="40"/>
      <c r="Q90" s="438"/>
    </row>
    <row r="91" spans="1:17" s="407" customFormat="1">
      <c r="A91" s="405"/>
      <c r="B91" s="522"/>
      <c r="C91" s="6"/>
      <c r="D91" s="6"/>
      <c r="E91" s="6"/>
      <c r="F91" s="6"/>
      <c r="G91" s="6"/>
      <c r="H91" s="6"/>
      <c r="I91" s="6"/>
      <c r="J91" s="523"/>
      <c r="K91" s="523"/>
      <c r="L91" s="524"/>
      <c r="M91" s="525"/>
      <c r="N91" s="875"/>
      <c r="O91" s="875"/>
      <c r="P91" s="488"/>
      <c r="Q91" s="489"/>
    </row>
    <row r="92" spans="1:17" s="407" customFormat="1" ht="15.75" thickBot="1">
      <c r="A92" s="483"/>
      <c r="B92" s="473"/>
      <c r="C92" s="490"/>
      <c r="D92" s="466"/>
      <c r="E92" s="466"/>
      <c r="F92" s="466"/>
      <c r="G92" s="466"/>
      <c r="H92" s="466"/>
      <c r="I92" s="466"/>
      <c r="J92" s="466"/>
      <c r="K92" s="466"/>
      <c r="L92" s="466"/>
      <c r="M92" s="467"/>
      <c r="N92" s="874"/>
      <c r="O92" s="874"/>
      <c r="P92" s="488"/>
      <c r="Q92" s="489"/>
    </row>
    <row r="93" spans="1:17" ht="15" thickTop="1">
      <c r="A93" s="408"/>
      <c r="B93" s="468" t="s">
        <v>1738</v>
      </c>
      <c r="C93" s="484"/>
      <c r="D93" s="484"/>
      <c r="E93" s="512"/>
      <c r="F93" s="512"/>
      <c r="G93" s="512"/>
      <c r="H93" s="512"/>
      <c r="I93" s="512"/>
      <c r="J93" s="512"/>
      <c r="K93" s="513"/>
      <c r="L93" s="514"/>
      <c r="M93" s="515"/>
      <c r="N93" s="873"/>
      <c r="O93" s="873"/>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4"/>
      <c r="O94" s="874"/>
      <c r="P94" s="40"/>
      <c r="Q94" s="438"/>
    </row>
    <row r="95" spans="1:17" ht="15" thickTop="1">
      <c r="A95" s="408"/>
      <c r="B95" s="468" t="s">
        <v>1740</v>
      </c>
      <c r="C95" s="484"/>
      <c r="D95" s="484"/>
      <c r="E95" s="484"/>
      <c r="F95" s="512"/>
      <c r="G95" s="512"/>
      <c r="H95" s="512"/>
      <c r="I95" s="512"/>
      <c r="J95" s="512"/>
      <c r="K95" s="513"/>
      <c r="L95" s="514"/>
      <c r="M95" s="515"/>
      <c r="N95" s="873"/>
      <c r="O95" s="873"/>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4"/>
      <c r="O96" s="874"/>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3"/>
      <c r="O97" s="873"/>
      <c r="P97" s="40"/>
      <c r="Q97" s="438"/>
    </row>
    <row r="98" spans="1:17">
      <c r="A98" s="408"/>
      <c r="B98" s="476"/>
      <c r="C98" s="529">
        <v>0.5</v>
      </c>
      <c r="D98" s="529">
        <v>0.6</v>
      </c>
      <c r="E98" s="529">
        <v>0.7</v>
      </c>
      <c r="F98" s="529">
        <v>0.8</v>
      </c>
      <c r="G98" s="529">
        <v>0.9</v>
      </c>
      <c r="H98" s="529">
        <v>1.0001</v>
      </c>
      <c r="I98" s="547"/>
      <c r="J98" s="547"/>
      <c r="K98" s="548"/>
      <c r="L98" s="549"/>
      <c r="M98" s="550"/>
      <c r="N98" s="873"/>
      <c r="O98" s="873"/>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4"/>
      <c r="O99" s="874"/>
      <c r="P99" s="40"/>
      <c r="Q99" s="438"/>
    </row>
    <row r="100" spans="1:17" s="407" customFormat="1" ht="15" thickTop="1">
      <c r="A100" s="405"/>
      <c r="B100" s="468" t="s">
        <v>1741</v>
      </c>
      <c r="C100" s="484"/>
      <c r="D100" s="484"/>
      <c r="E100" s="484"/>
      <c r="F100" s="484"/>
      <c r="G100" s="484"/>
      <c r="H100" s="512"/>
      <c r="I100" s="512"/>
      <c r="J100" s="512"/>
      <c r="K100" s="513"/>
      <c r="L100" s="514"/>
      <c r="M100" s="515"/>
      <c r="N100" s="875"/>
      <c r="O100" s="875"/>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5"/>
      <c r="O101" s="875"/>
      <c r="P101" s="488"/>
      <c r="Q101" s="489"/>
    </row>
    <row r="102" spans="1:17" ht="15" thickTop="1">
      <c r="A102" s="408"/>
      <c r="B102" s="468" t="s">
        <v>1742</v>
      </c>
      <c r="C102" s="484"/>
      <c r="D102" s="484"/>
      <c r="E102" s="484"/>
      <c r="F102" s="484"/>
      <c r="G102" s="484"/>
      <c r="H102" s="512"/>
      <c r="I102" s="512"/>
      <c r="J102" s="512"/>
      <c r="K102" s="513"/>
      <c r="L102" s="514"/>
      <c r="M102" s="515"/>
      <c r="N102" s="873"/>
      <c r="O102" s="873"/>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4"/>
      <c r="O103" s="874"/>
      <c r="P103" s="40"/>
      <c r="Q103" s="438"/>
    </row>
    <row r="104" spans="1:17" ht="15" thickTop="1">
      <c r="A104" s="408"/>
      <c r="B104" s="468" t="s">
        <v>1744</v>
      </c>
      <c r="C104" s="484"/>
      <c r="D104" s="484"/>
      <c r="E104" s="484"/>
      <c r="F104" s="484"/>
      <c r="G104" s="484"/>
      <c r="H104" s="512"/>
      <c r="I104" s="512"/>
      <c r="J104" s="512"/>
      <c r="K104" s="513"/>
      <c r="L104" s="514"/>
      <c r="M104" s="515"/>
      <c r="N104" s="873"/>
      <c r="O104" s="873"/>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4"/>
      <c r="O105" s="874"/>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4"/>
      <c r="O106" s="874"/>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4"/>
      <c r="O107" s="874"/>
      <c r="P107" s="40"/>
      <c r="Q107" s="438"/>
    </row>
    <row r="108" spans="1:17" s="407" customFormat="1" ht="15" thickTop="1">
      <c r="A108" s="405"/>
      <c r="B108" s="468">
        <f>B38</f>
        <v>111</v>
      </c>
      <c r="C108" s="484"/>
      <c r="D108" s="484"/>
      <c r="E108" s="484"/>
      <c r="F108" s="484"/>
      <c r="G108" s="484"/>
      <c r="H108" s="485"/>
      <c r="I108" s="485"/>
      <c r="J108" s="485"/>
      <c r="K108" s="485"/>
      <c r="L108" s="486"/>
      <c r="M108" s="487"/>
      <c r="N108" s="875"/>
      <c r="O108" s="875"/>
      <c r="P108" s="488"/>
      <c r="Q108" s="489"/>
    </row>
    <row r="109" spans="1:17" s="407" customFormat="1" ht="15.75" thickBot="1">
      <c r="A109" s="483"/>
      <c r="B109" s="465"/>
      <c r="C109" s="490"/>
      <c r="D109" s="466"/>
      <c r="E109" s="466"/>
      <c r="F109" s="466"/>
      <c r="G109" s="490"/>
      <c r="H109" s="492"/>
      <c r="I109" s="492"/>
      <c r="J109" s="492"/>
      <c r="K109" s="492"/>
      <c r="L109" s="492"/>
      <c r="M109" s="493"/>
      <c r="N109" s="875"/>
      <c r="O109" s="875"/>
      <c r="P109" s="488"/>
      <c r="Q109" s="489"/>
    </row>
    <row r="110" spans="1:17" ht="15" thickTop="1">
      <c r="A110" s="408"/>
      <c r="B110" s="468">
        <f>B39</f>
        <v>111</v>
      </c>
      <c r="C110" s="484"/>
      <c r="D110" s="484"/>
      <c r="E110" s="484"/>
      <c r="F110" s="484"/>
      <c r="G110" s="484"/>
      <c r="H110" s="485"/>
      <c r="I110" s="485"/>
      <c r="J110" s="485"/>
      <c r="K110" s="485"/>
      <c r="L110" s="486"/>
      <c r="M110" s="487"/>
      <c r="N110" s="873"/>
      <c r="O110" s="873"/>
      <c r="P110" s="40"/>
      <c r="Q110" s="438"/>
    </row>
    <row r="111" spans="1:17" ht="15.75" thickBot="1">
      <c r="A111" s="366"/>
      <c r="B111" s="473"/>
      <c r="C111" s="490"/>
      <c r="D111" s="466"/>
      <c r="E111" s="466"/>
      <c r="F111" s="466"/>
      <c r="G111" s="490"/>
      <c r="H111" s="492"/>
      <c r="I111" s="492"/>
      <c r="J111" s="492"/>
      <c r="K111" s="492"/>
      <c r="L111" s="492"/>
      <c r="M111" s="493"/>
      <c r="N111" s="874"/>
      <c r="O111" s="874"/>
      <c r="P111" s="40"/>
      <c r="Q111" s="438"/>
    </row>
    <row r="112" spans="1:17" ht="15" thickTop="1">
      <c r="A112" s="408"/>
      <c r="B112" s="476">
        <f>B40</f>
        <v>111</v>
      </c>
      <c r="C112" s="31"/>
      <c r="D112" s="31"/>
      <c r="E112" s="31"/>
      <c r="F112" s="31"/>
      <c r="G112" s="516"/>
      <c r="H112" s="516"/>
      <c r="I112" s="516"/>
      <c r="J112" s="516"/>
      <c r="K112" s="31"/>
      <c r="L112" s="456"/>
      <c r="M112" s="519"/>
      <c r="N112" s="873"/>
      <c r="O112" s="873"/>
      <c r="P112" s="40"/>
      <c r="Q112" s="438"/>
    </row>
    <row r="113" spans="1:17" ht="15.75" thickBot="1">
      <c r="A113" s="374"/>
      <c r="B113" s="499"/>
      <c r="C113" s="500"/>
      <c r="D113" s="500"/>
      <c r="E113" s="500"/>
      <c r="F113" s="500"/>
      <c r="G113" s="520"/>
      <c r="H113" s="520"/>
      <c r="I113" s="520"/>
      <c r="J113" s="520"/>
      <c r="K113" s="520"/>
      <c r="L113" s="520"/>
      <c r="M113" s="521"/>
      <c r="N113" s="874"/>
      <c r="O113" s="874"/>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3330</v>
      </c>
      <c r="C1" s="1135" t="s">
        <v>1662</v>
      </c>
      <c r="D1" s="1136"/>
      <c r="E1" s="3120"/>
      <c r="F1" s="1729"/>
      <c r="G1" s="1138" t="s">
        <v>1767</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IF(B37="元/平方米",ROUND(C39*D3/10000,0),ROUND(F3*C39/10000,0)),IF(B37="元/平方米",ROUND(C39*D3/10000,0),ROUND(F3*C39/10000,0))-D2),IF(E1="单套模式",IF(C2="——",IF(B37="元/平方米",ROUND(C39*D3/10000,0),ROUND(F3*C39/10000,0)),IF(B37="元/平方米",ROUND(C39*D3/10000,0),ROUND(F3*C39/10000,0))-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1080"/>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49"/>
      <c r="H3" s="849"/>
      <c r="I3" s="849"/>
      <c r="J3" s="849"/>
      <c r="K3" s="851"/>
      <c r="L3" s="2494"/>
      <c r="M3" s="2495" t="e">
        <f ca="1">IF(C2="——",IF(B37="元/平方米",ROUND(C39*D3/10000,0),ROUND(F3*C39/10000,0)),IF(B37="元/平方米",ROUND(C39*D3/10000,0),ROUND(F3*C39/10000,0))-D2)</f>
        <v>#DIV/0!</v>
      </c>
      <c r="N3" s="2495"/>
      <c r="O3" s="2495"/>
      <c r="P3" s="1080"/>
      <c r="Q3" s="340"/>
      <c r="R3" s="340"/>
      <c r="S3" s="340"/>
      <c r="T3" s="340"/>
      <c r="U3" s="340"/>
      <c r="V3" s="340"/>
      <c r="W3" s="340"/>
      <c r="X3" s="340"/>
      <c r="Y3" s="340"/>
      <c r="Z3" s="340"/>
      <c r="AA3" s="340"/>
      <c r="AB3" s="675"/>
      <c r="AC3" s="662"/>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375" t="s">
        <v>1775</v>
      </c>
      <c r="Q4" s="3376"/>
      <c r="R4" s="3381" t="s">
        <v>1771</v>
      </c>
      <c r="S4" s="3382"/>
      <c r="T4" s="3381" t="s">
        <v>1772</v>
      </c>
      <c r="U4" s="3382"/>
      <c r="V4" s="3368" t="s">
        <v>1773</v>
      </c>
      <c r="W4" s="3368"/>
      <c r="X4" s="1259"/>
      <c r="Y4" s="3381" t="s">
        <v>1775</v>
      </c>
      <c r="Z4" s="3382"/>
      <c r="AA4" s="3369" t="s">
        <v>1771</v>
      </c>
      <c r="AB4" s="3370" t="s">
        <v>1772</v>
      </c>
      <c r="AC4" s="3369" t="s">
        <v>1773</v>
      </c>
    </row>
    <row r="5" spans="1:29" ht="15">
      <c r="A5" s="347"/>
      <c r="B5" s="348"/>
      <c r="C5" s="3389" t="s">
        <v>1673</v>
      </c>
      <c r="D5" s="3390"/>
      <c r="E5" s="3396" t="s">
        <v>1674</v>
      </c>
      <c r="F5" s="3397"/>
      <c r="G5" s="3389" t="s">
        <v>1675</v>
      </c>
      <c r="H5" s="3390"/>
      <c r="I5" s="3389" t="s">
        <v>1676</v>
      </c>
      <c r="J5" s="3390"/>
      <c r="K5" s="536"/>
      <c r="L5" s="2477"/>
      <c r="M5" s="2478"/>
      <c r="N5" s="2478"/>
      <c r="O5" s="2478"/>
      <c r="P5" s="3377"/>
      <c r="Q5" s="3378"/>
      <c r="R5" s="3383"/>
      <c r="S5" s="3384"/>
      <c r="T5" s="3383"/>
      <c r="U5" s="3384"/>
      <c r="V5" s="3368"/>
      <c r="W5" s="3368"/>
      <c r="X5" s="1259"/>
      <c r="Y5" s="3383"/>
      <c r="Z5" s="3384"/>
      <c r="AA5" s="3370"/>
      <c r="AB5" s="3370"/>
      <c r="AC5" s="3370"/>
    </row>
    <row r="6" spans="1:29" ht="15.75" thickBot="1">
      <c r="A6" s="349"/>
      <c r="B6" s="350"/>
      <c r="C6" s="3387" t="s">
        <v>1677</v>
      </c>
      <c r="D6" s="3388"/>
      <c r="E6" s="3394" t="s">
        <v>1677</v>
      </c>
      <c r="F6" s="3395"/>
      <c r="G6" s="3387" t="s">
        <v>1677</v>
      </c>
      <c r="H6" s="3388"/>
      <c r="I6" s="3387" t="s">
        <v>1677</v>
      </c>
      <c r="J6" s="3388"/>
      <c r="K6" s="536" t="s">
        <v>1678</v>
      </c>
      <c r="L6" s="2477"/>
      <c r="M6" s="2478"/>
      <c r="N6" s="2478"/>
      <c r="O6" s="2478"/>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1" t="s">
        <v>1680</v>
      </c>
      <c r="Q7" s="3393"/>
      <c r="R7" s="663" t="s">
        <v>14</v>
      </c>
      <c r="S7" s="664">
        <f t="shared" ref="S7:S14" si="0">F7</f>
        <v>0</v>
      </c>
      <c r="T7" s="663" t="s">
        <v>14</v>
      </c>
      <c r="U7" s="664">
        <f t="shared" ref="U7:U14" si="1">H7</f>
        <v>0</v>
      </c>
      <c r="V7" s="663" t="s">
        <v>14</v>
      </c>
      <c r="W7" s="664">
        <f t="shared" ref="W7:W14" si="2">J7</f>
        <v>0</v>
      </c>
      <c r="X7" s="665"/>
      <c r="Y7" s="3391" t="s">
        <v>1680</v>
      </c>
      <c r="Z7" s="3392"/>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1" t="s">
        <v>1683</v>
      </c>
      <c r="Q8" s="3392"/>
      <c r="R8" s="663" t="s">
        <v>14</v>
      </c>
      <c r="S8" s="664">
        <f t="shared" si="0"/>
        <v>100</v>
      </c>
      <c r="T8" s="663" t="s">
        <v>14</v>
      </c>
      <c r="U8" s="664">
        <f t="shared" si="1"/>
        <v>100</v>
      </c>
      <c r="V8" s="663" t="s">
        <v>14</v>
      </c>
      <c r="W8" s="664">
        <f t="shared" si="2"/>
        <v>100</v>
      </c>
      <c r="X8" s="665"/>
      <c r="Y8" s="3391" t="s">
        <v>1683</v>
      </c>
      <c r="Z8" s="3392"/>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63" t="s">
        <v>1686</v>
      </c>
      <c r="Q9" s="529" t="str">
        <f t="shared" ref="Q9:Q14" si="6">B9</f>
        <v>用途</v>
      </c>
      <c r="R9" s="663" t="s">
        <v>14</v>
      </c>
      <c r="S9" s="664">
        <f t="shared" si="0"/>
        <v>100</v>
      </c>
      <c r="T9" s="663" t="s">
        <v>14</v>
      </c>
      <c r="U9" s="664">
        <f t="shared" si="1"/>
        <v>100</v>
      </c>
      <c r="V9" s="663" t="s">
        <v>14</v>
      </c>
      <c r="W9" s="664">
        <f t="shared" si="2"/>
        <v>100</v>
      </c>
      <c r="X9" s="665"/>
      <c r="Y9" s="3263" t="s">
        <v>1687</v>
      </c>
      <c r="Z9" s="50" t="str">
        <f t="shared" ref="Z9:Z14" si="7">Q9</f>
        <v>用途</v>
      </c>
      <c r="AA9" s="50">
        <f t="shared" si="3"/>
        <v>1</v>
      </c>
      <c r="AB9" s="50">
        <f t="shared" si="4"/>
        <v>1</v>
      </c>
      <c r="AC9" s="50">
        <f t="shared" si="5"/>
        <v>1</v>
      </c>
    </row>
    <row r="10" spans="1:29" s="365" customFormat="1" ht="27">
      <c r="A10" s="564"/>
      <c r="B10" s="565"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63"/>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63"/>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63"/>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63"/>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85.5">
      <c r="A14" s="344" t="s">
        <v>1690</v>
      </c>
      <c r="B14" s="553" t="s">
        <v>1833</v>
      </c>
      <c r="C14" s="1811" t="str">
        <f>IF(B1="工业",估价对象房地状况!G4,估价对象房地状况!C6)</f>
        <v>估价对象周边道路状况、公共交通通达情况、停车便捷程度，综合评价交通便捷度一般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364" t="s">
        <v>1691</v>
      </c>
      <c r="Q14" s="1257" t="str">
        <f t="shared" si="6"/>
        <v>交通便捷度</v>
      </c>
      <c r="R14" s="666" t="s">
        <v>14</v>
      </c>
      <c r="S14" s="667">
        <f t="shared" si="0"/>
        <v>100</v>
      </c>
      <c r="T14" s="666" t="s">
        <v>14</v>
      </c>
      <c r="U14" s="667">
        <f t="shared" si="1"/>
        <v>100</v>
      </c>
      <c r="V14" s="666" t="s">
        <v>14</v>
      </c>
      <c r="W14" s="667">
        <f t="shared" si="2"/>
        <v>100</v>
      </c>
      <c r="X14" s="1259"/>
      <c r="Y14" s="3364" t="s">
        <v>1691</v>
      </c>
      <c r="Z14" s="1258" t="str">
        <f t="shared" si="7"/>
        <v>交通便捷度</v>
      </c>
      <c r="AA14" s="1258">
        <f t="shared" si="3"/>
        <v>1</v>
      </c>
      <c r="AB14" s="1258">
        <f t="shared" si="4"/>
        <v>1</v>
      </c>
      <c r="AC14" s="1258">
        <f t="shared" si="5"/>
        <v>1</v>
      </c>
    </row>
    <row r="15" spans="1:29" ht="15">
      <c r="A15" s="347"/>
      <c r="B15" s="570"/>
      <c r="C15" s="385"/>
      <c r="D15" s="386"/>
      <c r="E15" s="385"/>
      <c r="F15" s="387"/>
      <c r="G15" s="385"/>
      <c r="H15" s="388"/>
      <c r="I15" s="385"/>
      <c r="J15" s="386"/>
      <c r="K15" s="540"/>
      <c r="L15" s="2483"/>
      <c r="M15" s="2478"/>
      <c r="N15" s="2478"/>
      <c r="O15" s="2478"/>
      <c r="P15" s="3365"/>
      <c r="Q15" s="1257"/>
      <c r="R15" s="666"/>
      <c r="S15" s="667"/>
      <c r="T15" s="666"/>
      <c r="U15" s="667"/>
      <c r="V15" s="666"/>
      <c r="W15" s="667"/>
      <c r="X15" s="1259"/>
      <c r="Y15" s="3365"/>
      <c r="Z15" s="1258"/>
      <c r="AA15" s="1258">
        <v>1</v>
      </c>
      <c r="AB15" s="1258">
        <v>1</v>
      </c>
      <c r="AC15" s="1258">
        <v>1</v>
      </c>
    </row>
    <row r="16" spans="1:29" ht="42.75">
      <c r="A16" s="347"/>
      <c r="B16" s="555" t="s">
        <v>1812</v>
      </c>
      <c r="C16" s="1747" t="str">
        <f>IF(B1="工业",估价对象房地状况!G5,估价对象房地状况!C7)</f>
        <v>估价对象所在区域公共配套设施齐备情况一般</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365"/>
      <c r="Q16" s="1257" t="str">
        <f>B16</f>
        <v>公共配套设施</v>
      </c>
      <c r="R16" s="666" t="s">
        <v>14</v>
      </c>
      <c r="S16" s="667">
        <f>F16</f>
        <v>100</v>
      </c>
      <c r="T16" s="666" t="s">
        <v>14</v>
      </c>
      <c r="U16" s="667">
        <f>H16</f>
        <v>100</v>
      </c>
      <c r="V16" s="666" t="s">
        <v>14</v>
      </c>
      <c r="W16" s="667">
        <f>J16</f>
        <v>100</v>
      </c>
      <c r="X16" s="1259"/>
      <c r="Y16" s="3365"/>
      <c r="Z16" s="1258" t="str">
        <f>Q16</f>
        <v>公共配套设施</v>
      </c>
      <c r="AA16" s="1258">
        <f t="shared" si="3"/>
        <v>1</v>
      </c>
      <c r="AB16" s="1258">
        <f t="shared" si="4"/>
        <v>1</v>
      </c>
      <c r="AC16" s="1258">
        <f t="shared" si="5"/>
        <v>1</v>
      </c>
    </row>
    <row r="17" spans="1:29" ht="15">
      <c r="A17" s="347"/>
      <c r="B17" s="400"/>
      <c r="C17" s="1748"/>
      <c r="D17" s="386"/>
      <c r="E17" s="385"/>
      <c r="F17" s="387"/>
      <c r="G17" s="385"/>
      <c r="H17" s="386"/>
      <c r="I17" s="385"/>
      <c r="J17" s="386"/>
      <c r="K17" s="540"/>
      <c r="L17" s="2483"/>
      <c r="M17" s="2478"/>
      <c r="N17" s="2478"/>
      <c r="O17" s="2478"/>
      <c r="P17" s="3365"/>
      <c r="Q17" s="1257"/>
      <c r="R17" s="666"/>
      <c r="S17" s="667"/>
      <c r="T17" s="666"/>
      <c r="U17" s="667"/>
      <c r="V17" s="666"/>
      <c r="W17" s="667"/>
      <c r="X17" s="1259"/>
      <c r="Y17" s="3365"/>
      <c r="Z17" s="1258"/>
      <c r="AA17" s="1258">
        <v>1</v>
      </c>
      <c r="AB17" s="1258">
        <v>1</v>
      </c>
      <c r="AC17" s="1258">
        <v>1</v>
      </c>
    </row>
    <row r="18" spans="1:29" ht="28.5">
      <c r="A18" s="347"/>
      <c r="B18" s="556" t="s">
        <v>1813</v>
      </c>
      <c r="C18" s="1747"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365"/>
      <c r="Q18" s="1257" t="str">
        <f>B18</f>
        <v>基础设施水平</v>
      </c>
      <c r="R18" s="666" t="s">
        <v>14</v>
      </c>
      <c r="S18" s="667">
        <f>F18</f>
        <v>100</v>
      </c>
      <c r="T18" s="666" t="s">
        <v>14</v>
      </c>
      <c r="U18" s="667">
        <f>H18</f>
        <v>100</v>
      </c>
      <c r="V18" s="666" t="s">
        <v>14</v>
      </c>
      <c r="W18" s="667">
        <f>J18</f>
        <v>100</v>
      </c>
      <c r="X18" s="1259"/>
      <c r="Y18" s="3365"/>
      <c r="Z18" s="1258" t="str">
        <f>Q18</f>
        <v>基础设施水平</v>
      </c>
      <c r="AA18" s="1258">
        <f t="shared" ref="AA18" si="8">D18/F18</f>
        <v>1</v>
      </c>
      <c r="AB18" s="1258">
        <f t="shared" ref="AB18" si="9">D18/H18</f>
        <v>1</v>
      </c>
      <c r="AC18" s="1258">
        <f t="shared" ref="AC18" si="10">D18/J18</f>
        <v>1</v>
      </c>
    </row>
    <row r="19" spans="1:29" ht="15">
      <c r="A19" s="347"/>
      <c r="B19" s="556"/>
      <c r="C19" s="1748"/>
      <c r="D19" s="388"/>
      <c r="E19" s="1748"/>
      <c r="F19" s="391"/>
      <c r="G19" s="1748"/>
      <c r="H19" s="386"/>
      <c r="I19" s="385"/>
      <c r="J19" s="386"/>
      <c r="K19" s="1058"/>
      <c r="L19" s="2483"/>
      <c r="M19" s="2478"/>
      <c r="N19" s="2478"/>
      <c r="O19" s="2478"/>
      <c r="P19" s="3365"/>
      <c r="Q19" s="1257"/>
      <c r="R19" s="666"/>
      <c r="S19" s="667"/>
      <c r="T19" s="666"/>
      <c r="U19" s="667"/>
      <c r="V19" s="666"/>
      <c r="W19" s="667"/>
      <c r="X19" s="1259"/>
      <c r="Y19" s="3365"/>
      <c r="Z19" s="1258"/>
      <c r="AA19" s="1258">
        <v>1</v>
      </c>
      <c r="AB19" s="1258">
        <v>1</v>
      </c>
      <c r="AC19" s="1258">
        <v>1</v>
      </c>
    </row>
    <row r="20" spans="1:29" ht="57">
      <c r="A20" s="347"/>
      <c r="B20" s="555" t="s">
        <v>1834</v>
      </c>
      <c r="C20" s="1747"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365"/>
      <c r="Q20" s="1257" t="str">
        <f>B20</f>
        <v>自然及人文环境</v>
      </c>
      <c r="R20" s="666" t="s">
        <v>14</v>
      </c>
      <c r="S20" s="667">
        <f>F20</f>
        <v>100</v>
      </c>
      <c r="T20" s="666" t="s">
        <v>14</v>
      </c>
      <c r="U20" s="667">
        <f>H20</f>
        <v>100</v>
      </c>
      <c r="V20" s="666" t="s">
        <v>14</v>
      </c>
      <c r="W20" s="667">
        <f>J20</f>
        <v>100</v>
      </c>
      <c r="X20" s="1259"/>
      <c r="Y20" s="3365"/>
      <c r="Z20" s="1258" t="str">
        <f>Q20</f>
        <v>自然及人文环境</v>
      </c>
      <c r="AA20" s="1258">
        <f t="shared" si="3"/>
        <v>1</v>
      </c>
      <c r="AB20" s="1258">
        <f t="shared" si="4"/>
        <v>1</v>
      </c>
      <c r="AC20" s="1258">
        <f t="shared" si="5"/>
        <v>1</v>
      </c>
    </row>
    <row r="21" spans="1:29" ht="15">
      <c r="A21" s="347"/>
      <c r="B21" s="400"/>
      <c r="C21" s="385"/>
      <c r="D21" s="386"/>
      <c r="E21" s="385"/>
      <c r="F21" s="387"/>
      <c r="G21" s="385"/>
      <c r="H21" s="386"/>
      <c r="I21" s="385"/>
      <c r="J21" s="386"/>
      <c r="K21" s="540"/>
      <c r="L21" s="2483"/>
      <c r="M21" s="2478"/>
      <c r="N21" s="2478"/>
      <c r="O21" s="2478"/>
      <c r="P21" s="3365"/>
      <c r="Q21" s="1257"/>
      <c r="R21" s="666"/>
      <c r="S21" s="667"/>
      <c r="T21" s="666"/>
      <c r="U21" s="667"/>
      <c r="V21" s="666"/>
      <c r="W21" s="667"/>
      <c r="X21" s="1259"/>
      <c r="Y21" s="3365"/>
      <c r="Z21" s="1258"/>
      <c r="AA21" s="1258">
        <v>1</v>
      </c>
      <c r="AB21" s="1258">
        <v>1</v>
      </c>
      <c r="AC21" s="1258">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365"/>
      <c r="Q22" s="1257" t="str">
        <f>B22</f>
        <v>楼层</v>
      </c>
      <c r="R22" s="666" t="s">
        <v>14</v>
      </c>
      <c r="S22" s="667">
        <f>F22</f>
        <v>100</v>
      </c>
      <c r="T22" s="666" t="s">
        <v>14</v>
      </c>
      <c r="U22" s="667">
        <f>H22</f>
        <v>100</v>
      </c>
      <c r="V22" s="666" t="s">
        <v>14</v>
      </c>
      <c r="W22" s="667">
        <f>J22</f>
        <v>100</v>
      </c>
      <c r="X22" s="1259"/>
      <c r="Y22" s="3365"/>
      <c r="Z22" s="1258" t="str">
        <f>Q22</f>
        <v>楼层</v>
      </c>
      <c r="AA22" s="1258">
        <f t="shared" si="3"/>
        <v>1</v>
      </c>
      <c r="AB22" s="1258">
        <f t="shared" si="4"/>
        <v>1</v>
      </c>
      <c r="AC22" s="1258">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365"/>
      <c r="Q23" s="1257">
        <f>B23</f>
        <v>111</v>
      </c>
      <c r="R23" s="666" t="s">
        <v>14</v>
      </c>
      <c r="S23" s="667">
        <f>F23</f>
        <v>100</v>
      </c>
      <c r="T23" s="666" t="s">
        <v>14</v>
      </c>
      <c r="U23" s="667">
        <f>H23</f>
        <v>100</v>
      </c>
      <c r="V23" s="666" t="s">
        <v>14</v>
      </c>
      <c r="W23" s="667">
        <f>J23</f>
        <v>100</v>
      </c>
      <c r="X23" s="1259"/>
      <c r="Y23" s="3365"/>
      <c r="Z23" s="1258">
        <f>Q23</f>
        <v>111</v>
      </c>
      <c r="AA23" s="1258">
        <f t="shared" si="3"/>
        <v>1</v>
      </c>
      <c r="AB23" s="1258">
        <f t="shared" si="4"/>
        <v>1</v>
      </c>
      <c r="AC23" s="1258">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365"/>
      <c r="Q24" s="1257">
        <f t="shared" ref="Q24:Q36" si="11">B24</f>
        <v>111</v>
      </c>
      <c r="R24" s="666" t="s">
        <v>14</v>
      </c>
      <c r="S24" s="667">
        <f>F24</f>
        <v>100</v>
      </c>
      <c r="T24" s="666" t="s">
        <v>14</v>
      </c>
      <c r="U24" s="667">
        <f>H24</f>
        <v>100</v>
      </c>
      <c r="V24" s="666" t="s">
        <v>14</v>
      </c>
      <c r="W24" s="667">
        <f>J24</f>
        <v>100</v>
      </c>
      <c r="X24" s="1259"/>
      <c r="Y24" s="3365"/>
      <c r="Z24" s="1258">
        <f>Q24</f>
        <v>111</v>
      </c>
      <c r="AA24" s="1258">
        <f t="shared" si="3"/>
        <v>1</v>
      </c>
      <c r="AB24" s="1258">
        <f t="shared" si="4"/>
        <v>1</v>
      </c>
      <c r="AC24" s="1258">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9"/>
      <c r="M25" s="2431"/>
      <c r="N25" s="2431"/>
      <c r="O25" s="2431"/>
      <c r="P25" s="3365"/>
      <c r="Q25" s="529">
        <f t="shared" si="11"/>
        <v>111</v>
      </c>
      <c r="R25" s="663" t="s">
        <v>14</v>
      </c>
      <c r="S25" s="664">
        <f>F25</f>
        <v>100</v>
      </c>
      <c r="T25" s="663" t="s">
        <v>14</v>
      </c>
      <c r="U25" s="664">
        <f>H25</f>
        <v>100</v>
      </c>
      <c r="V25" s="663" t="s">
        <v>14</v>
      </c>
      <c r="W25" s="664">
        <f>J25</f>
        <v>100</v>
      </c>
      <c r="X25" s="665"/>
      <c r="Y25" s="3365"/>
      <c r="Z25" s="50">
        <f>Q25</f>
        <v>111</v>
      </c>
      <c r="AA25" s="1258">
        <f>D25/F25</f>
        <v>1</v>
      </c>
      <c r="AB25" s="1258">
        <f>D25/H25</f>
        <v>1</v>
      </c>
      <c r="AC25" s="1258">
        <f>D25/J25</f>
        <v>1</v>
      </c>
    </row>
    <row r="26" spans="1:29" ht="28.5">
      <c r="A26" s="573" t="s">
        <v>1694</v>
      </c>
      <c r="B26" s="59" t="s">
        <v>1836</v>
      </c>
      <c r="C26" s="1812"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366" t="s">
        <v>1696</v>
      </c>
      <c r="Q26" s="1257" t="str">
        <f t="shared" si="11"/>
        <v>配套类型</v>
      </c>
      <c r="R26" s="666" t="s">
        <v>14</v>
      </c>
      <c r="S26" s="667">
        <f t="shared" ref="S26:S36" si="12">F26</f>
        <v>0</v>
      </c>
      <c r="T26" s="666" t="s">
        <v>14</v>
      </c>
      <c r="U26" s="667">
        <f t="shared" ref="U26:U36" si="13">H26</f>
        <v>0</v>
      </c>
      <c r="V26" s="666" t="s">
        <v>14</v>
      </c>
      <c r="W26" s="667">
        <f t="shared" ref="W26:W36" si="14">J26</f>
        <v>0</v>
      </c>
      <c r="X26" s="1259"/>
      <c r="Y26" s="3367" t="s">
        <v>1696</v>
      </c>
      <c r="Z26" s="1258" t="str">
        <f t="shared" ref="Z26:Z36" si="15">Q26</f>
        <v>配套类型</v>
      </c>
      <c r="AA26" s="1258" t="e">
        <f t="shared" si="3"/>
        <v>#DIV/0!</v>
      </c>
      <c r="AB26" s="1258" t="e">
        <f t="shared" si="4"/>
        <v>#DIV/0!</v>
      </c>
      <c r="AC26" s="1258"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2"/>
      <c r="M27" s="2484"/>
      <c r="N27" s="2484"/>
      <c r="O27" s="2484"/>
      <c r="P27" s="3367"/>
      <c r="Q27" s="530" t="str">
        <f t="shared" si="11"/>
        <v>项目停车位配比</v>
      </c>
      <c r="R27" s="668" t="s">
        <v>14</v>
      </c>
      <c r="S27" s="669">
        <f t="shared" si="12"/>
        <v>100</v>
      </c>
      <c r="T27" s="668" t="s">
        <v>14</v>
      </c>
      <c r="U27" s="669">
        <f t="shared" si="13"/>
        <v>100</v>
      </c>
      <c r="V27" s="668" t="s">
        <v>14</v>
      </c>
      <c r="W27" s="669">
        <f t="shared" si="14"/>
        <v>100</v>
      </c>
      <c r="X27" s="670"/>
      <c r="Y27" s="3367"/>
      <c r="Z27" s="671" t="str">
        <f t="shared" si="15"/>
        <v>项目停车位配比</v>
      </c>
      <c r="AA27" s="1258">
        <f t="shared" si="3"/>
        <v>1</v>
      </c>
      <c r="AB27" s="1258">
        <f t="shared" si="4"/>
        <v>1</v>
      </c>
      <c r="AC27" s="1258">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367"/>
      <c r="Q28" s="1257" t="str">
        <f t="shared" si="11"/>
        <v>公共部分装修</v>
      </c>
      <c r="R28" s="666" t="s">
        <v>14</v>
      </c>
      <c r="S28" s="667">
        <f t="shared" si="12"/>
        <v>100</v>
      </c>
      <c r="T28" s="666" t="s">
        <v>14</v>
      </c>
      <c r="U28" s="667">
        <f t="shared" si="13"/>
        <v>100</v>
      </c>
      <c r="V28" s="666" t="s">
        <v>14</v>
      </c>
      <c r="W28" s="667">
        <f t="shared" si="14"/>
        <v>100</v>
      </c>
      <c r="X28" s="1259"/>
      <c r="Y28" s="3367"/>
      <c r="Z28" s="1258" t="str">
        <f t="shared" si="15"/>
        <v>公共部分装修</v>
      </c>
      <c r="AA28" s="1258">
        <f t="shared" si="3"/>
        <v>1</v>
      </c>
      <c r="AB28" s="1258">
        <f t="shared" si="4"/>
        <v>1</v>
      </c>
      <c r="AC28" s="1258">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367"/>
      <c r="Q29" s="1257" t="str">
        <f t="shared" si="11"/>
        <v>成新率</v>
      </c>
      <c r="R29" s="666" t="s">
        <v>14</v>
      </c>
      <c r="S29" s="667" t="e">
        <f t="shared" si="12"/>
        <v>#N/A</v>
      </c>
      <c r="T29" s="666" t="s">
        <v>14</v>
      </c>
      <c r="U29" s="667" t="e">
        <f t="shared" si="13"/>
        <v>#N/A</v>
      </c>
      <c r="V29" s="666" t="s">
        <v>14</v>
      </c>
      <c r="W29" s="667" t="e">
        <f t="shared" si="14"/>
        <v>#N/A</v>
      </c>
      <c r="X29" s="1259"/>
      <c r="Y29" s="3367"/>
      <c r="Z29" s="1258" t="str">
        <f t="shared" si="15"/>
        <v>成新率</v>
      </c>
      <c r="AA29" s="1258" t="e">
        <f t="shared" si="3"/>
        <v>#N/A</v>
      </c>
      <c r="AB29" s="1258" t="e">
        <f t="shared" si="4"/>
        <v>#N/A</v>
      </c>
      <c r="AC29" s="1258"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3"/>
      <c r="M30" s="2478"/>
      <c r="N30" s="2478"/>
      <c r="O30" s="2478"/>
      <c r="P30" s="3367"/>
      <c r="Q30" s="1257" t="str">
        <f t="shared" si="11"/>
        <v>物业等级</v>
      </c>
      <c r="R30" s="666" t="s">
        <v>14</v>
      </c>
      <c r="S30" s="667">
        <f t="shared" si="12"/>
        <v>100</v>
      </c>
      <c r="T30" s="666" t="s">
        <v>14</v>
      </c>
      <c r="U30" s="667">
        <f t="shared" si="13"/>
        <v>100</v>
      </c>
      <c r="V30" s="666" t="s">
        <v>14</v>
      </c>
      <c r="W30" s="667">
        <f t="shared" si="14"/>
        <v>100</v>
      </c>
      <c r="X30" s="1259"/>
      <c r="Y30" s="3367"/>
      <c r="Z30" s="1258" t="str">
        <f t="shared" si="15"/>
        <v>物业等级</v>
      </c>
      <c r="AA30" s="1258">
        <f t="shared" si="3"/>
        <v>1</v>
      </c>
      <c r="AB30" s="1258">
        <f t="shared" si="4"/>
        <v>1</v>
      </c>
      <c r="AC30" s="1258">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367"/>
      <c r="Q31" s="529" t="str">
        <f t="shared" si="11"/>
        <v>停车位面积</v>
      </c>
      <c r="R31" s="663" t="s">
        <v>14</v>
      </c>
      <c r="S31" s="664" t="e">
        <f t="shared" si="12"/>
        <v>#N/A</v>
      </c>
      <c r="T31" s="663" t="s">
        <v>14</v>
      </c>
      <c r="U31" s="664" t="e">
        <f t="shared" si="13"/>
        <v>#N/A</v>
      </c>
      <c r="V31" s="663" t="s">
        <v>14</v>
      </c>
      <c r="W31" s="664" t="e">
        <f t="shared" si="14"/>
        <v>#N/A</v>
      </c>
      <c r="X31" s="665"/>
      <c r="Y31" s="336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367" t="s">
        <v>1696</v>
      </c>
      <c r="Q32" s="1257" t="str">
        <f t="shared" si="11"/>
        <v>车位类型</v>
      </c>
      <c r="R32" s="666" t="s">
        <v>14</v>
      </c>
      <c r="S32" s="667">
        <f t="shared" si="12"/>
        <v>100</v>
      </c>
      <c r="T32" s="666" t="s">
        <v>14</v>
      </c>
      <c r="U32" s="667">
        <f t="shared" si="13"/>
        <v>100</v>
      </c>
      <c r="V32" s="666" t="s">
        <v>14</v>
      </c>
      <c r="W32" s="667">
        <f t="shared" si="14"/>
        <v>100</v>
      </c>
      <c r="X32" s="1259"/>
      <c r="Y32" s="3367" t="s">
        <v>1696</v>
      </c>
      <c r="Z32" s="1258" t="str">
        <f t="shared" si="15"/>
        <v>车位类型</v>
      </c>
      <c r="AA32" s="1258">
        <f t="shared" si="3"/>
        <v>1</v>
      </c>
      <c r="AB32" s="1258">
        <f t="shared" si="4"/>
        <v>1</v>
      </c>
      <c r="AC32" s="1258">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367"/>
      <c r="Q33" s="1257" t="str">
        <f t="shared" si="11"/>
        <v>是否直接入户</v>
      </c>
      <c r="R33" s="666" t="s">
        <v>14</v>
      </c>
      <c r="S33" s="667">
        <f t="shared" si="12"/>
        <v>100</v>
      </c>
      <c r="T33" s="666" t="s">
        <v>14</v>
      </c>
      <c r="U33" s="667">
        <f t="shared" si="13"/>
        <v>100</v>
      </c>
      <c r="V33" s="666" t="s">
        <v>14</v>
      </c>
      <c r="W33" s="667">
        <f t="shared" si="14"/>
        <v>100</v>
      </c>
      <c r="X33" s="1259"/>
      <c r="Y33" s="3367"/>
      <c r="Z33" s="1258" t="str">
        <f t="shared" si="15"/>
        <v>是否直接入户</v>
      </c>
      <c r="AA33" s="1258">
        <f t="shared" si="3"/>
        <v>1</v>
      </c>
      <c r="AB33" s="1258">
        <f t="shared" si="4"/>
        <v>1</v>
      </c>
      <c r="AC33" s="1258">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367"/>
      <c r="Q34" s="1257">
        <f t="shared" si="11"/>
        <v>111</v>
      </c>
      <c r="R34" s="666" t="s">
        <v>14</v>
      </c>
      <c r="S34" s="667">
        <f t="shared" si="12"/>
        <v>100</v>
      </c>
      <c r="T34" s="666" t="s">
        <v>14</v>
      </c>
      <c r="U34" s="667">
        <f t="shared" si="13"/>
        <v>100</v>
      </c>
      <c r="V34" s="666" t="s">
        <v>14</v>
      </c>
      <c r="W34" s="667">
        <f t="shared" si="14"/>
        <v>100</v>
      </c>
      <c r="X34" s="1259"/>
      <c r="Y34" s="3367"/>
      <c r="Z34" s="1258">
        <f t="shared" si="15"/>
        <v>111</v>
      </c>
      <c r="AA34" s="1258">
        <f t="shared" si="3"/>
        <v>1</v>
      </c>
      <c r="AB34" s="1258">
        <f t="shared" si="4"/>
        <v>1</v>
      </c>
      <c r="AC34" s="1258">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367"/>
      <c r="Q35" s="530">
        <f t="shared" si="11"/>
        <v>111</v>
      </c>
      <c r="R35" s="668" t="s">
        <v>14</v>
      </c>
      <c r="S35" s="669">
        <f t="shared" si="12"/>
        <v>100</v>
      </c>
      <c r="T35" s="668" t="s">
        <v>14</v>
      </c>
      <c r="U35" s="669">
        <f t="shared" si="13"/>
        <v>100</v>
      </c>
      <c r="V35" s="668" t="s">
        <v>14</v>
      </c>
      <c r="W35" s="669">
        <f t="shared" si="14"/>
        <v>100</v>
      </c>
      <c r="X35" s="670"/>
      <c r="Y35" s="3367"/>
      <c r="Z35" s="671">
        <f t="shared" si="15"/>
        <v>111</v>
      </c>
      <c r="AA35" s="1258">
        <f t="shared" si="3"/>
        <v>1</v>
      </c>
      <c r="AB35" s="1258">
        <f t="shared" si="4"/>
        <v>1</v>
      </c>
      <c r="AC35" s="1258">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367"/>
      <c r="Q36" s="1257">
        <f t="shared" si="11"/>
        <v>111</v>
      </c>
      <c r="R36" s="666" t="s">
        <v>14</v>
      </c>
      <c r="S36" s="667">
        <f t="shared" si="12"/>
        <v>100</v>
      </c>
      <c r="T36" s="666" t="s">
        <v>14</v>
      </c>
      <c r="U36" s="667">
        <f t="shared" si="13"/>
        <v>100</v>
      </c>
      <c r="V36" s="666" t="s">
        <v>14</v>
      </c>
      <c r="W36" s="667">
        <f t="shared" si="14"/>
        <v>100</v>
      </c>
      <c r="X36" s="1259"/>
      <c r="Y36" s="3367"/>
      <c r="Z36" s="1258">
        <f t="shared" si="15"/>
        <v>111</v>
      </c>
      <c r="AA36" s="1258">
        <f t="shared" si="3"/>
        <v>1</v>
      </c>
      <c r="AB36" s="1258">
        <f t="shared" si="4"/>
        <v>1</v>
      </c>
      <c r="AC36" s="1258">
        <f t="shared" si="5"/>
        <v>1</v>
      </c>
    </row>
    <row r="37" spans="1:29" ht="15">
      <c r="A37" s="415" t="s">
        <v>1844</v>
      </c>
      <c r="B37" s="1813" t="s">
        <v>3351</v>
      </c>
      <c r="C37" s="1075" t="s">
        <v>0</v>
      </c>
      <c r="D37" s="417"/>
      <c r="E37" s="418"/>
      <c r="F37" s="419"/>
      <c r="G37" s="420"/>
      <c r="H37" s="421"/>
      <c r="I37" s="418"/>
      <c r="J37" s="421"/>
      <c r="K37" s="544"/>
      <c r="L37" s="2485"/>
      <c r="M37" s="2478"/>
      <c r="N37" s="2478"/>
      <c r="O37" s="2478"/>
      <c r="P37" s="3363" t="str">
        <f>A37</f>
        <v>成交单价</v>
      </c>
      <c r="Q37" s="3363"/>
      <c r="R37" s="3368">
        <f>E37</f>
        <v>0</v>
      </c>
      <c r="S37" s="3368"/>
      <c r="T37" s="3368">
        <f>G37</f>
        <v>0</v>
      </c>
      <c r="U37" s="3368"/>
      <c r="V37" s="3368">
        <f>I37</f>
        <v>0</v>
      </c>
      <c r="W37" s="3368"/>
      <c r="X37" s="384"/>
      <c r="Y37" s="672"/>
      <c r="Z37" s="384"/>
      <c r="AA37" s="384"/>
      <c r="AB37" s="384"/>
      <c r="AC37" s="384"/>
    </row>
    <row r="38" spans="1:29" ht="15.75" thickBot="1">
      <c r="A38" s="422" t="s">
        <v>1845</v>
      </c>
      <c r="B38" s="423" t="str">
        <f>B37</f>
        <v>元/平方米</v>
      </c>
      <c r="C38" s="1076" t="e">
        <f>R39</f>
        <v>#DIV/0!</v>
      </c>
      <c r="D38" s="2133" t="s">
        <v>2137</v>
      </c>
      <c r="E38" s="1077" t="e">
        <f>R38</f>
        <v>#DIV/0!</v>
      </c>
      <c r="F38" s="2134"/>
      <c r="G38" s="1076" t="e">
        <f>T38</f>
        <v>#DIV/0!</v>
      </c>
      <c r="H38" s="2134"/>
      <c r="I38" s="1077" t="e">
        <f>V38</f>
        <v>#DIV/0!</v>
      </c>
      <c r="J38" s="2134"/>
      <c r="K38" s="2136">
        <f>F38+H38+J38</f>
        <v>0</v>
      </c>
      <c r="L38" s="2485"/>
      <c r="M38" s="2478"/>
      <c r="N38" s="2478"/>
      <c r="O38" s="2478"/>
      <c r="P38" s="3363" t="str">
        <f>A38</f>
        <v>比较价值（元/平方米）</v>
      </c>
      <c r="Q38" s="3363"/>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5"/>
      <c r="M39" s="2478"/>
      <c r="N39" s="2478"/>
      <c r="O39" s="2478"/>
      <c r="P39" s="3357" t="str">
        <f>A39</f>
        <v>估价对象XX用房的比较价值（楼面单价，元/平方米）</v>
      </c>
      <c r="Q39" s="3358"/>
      <c r="R39" s="3451" t="e">
        <f>IF(F1="售价",ROUND(IF(D38="简单平均",AVERAGE(R38:W38),R38*F38+T38*H38+V38*J38),0),ROUND(IF(D38="简单平均",AVERAGE(R38:V38),R38*F38+T38*H38+V38*J38),1))</f>
        <v>#DIV/0!</v>
      </c>
      <c r="S39" s="3451"/>
      <c r="T39" s="3451"/>
      <c r="U39" s="3451"/>
      <c r="V39" s="3451"/>
      <c r="W39" s="3451"/>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1" t="s">
        <v>1850</v>
      </c>
      <c r="B47" s="855"/>
      <c r="C47" s="880"/>
      <c r="D47" s="880"/>
      <c r="E47" s="880"/>
      <c r="F47" s="1082"/>
      <c r="G47" s="1082"/>
      <c r="H47" s="880"/>
      <c r="I47" s="880"/>
      <c r="J47" s="880"/>
      <c r="K47" s="881"/>
      <c r="L47" s="882"/>
      <c r="M47" s="880"/>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097" t="str">
        <f>YEAR(C7)&amp;"-"&amp;MONTH(C7)</f>
        <v>2024-10</v>
      </c>
      <c r="D48" s="1098">
        <f>EDATE(C48,-1)</f>
        <v>45536</v>
      </c>
      <c r="E48" s="1098">
        <f t="shared" ref="E48:O48" si="16">EDATE(D48,-1)</f>
        <v>45505</v>
      </c>
      <c r="F48" s="1098">
        <f t="shared" si="16"/>
        <v>45474</v>
      </c>
      <c r="G48" s="1098">
        <f t="shared" si="16"/>
        <v>45444</v>
      </c>
      <c r="H48" s="1098">
        <f t="shared" si="16"/>
        <v>45413</v>
      </c>
      <c r="I48" s="1098">
        <f t="shared" si="16"/>
        <v>45383</v>
      </c>
      <c r="J48" s="1098">
        <f t="shared" si="16"/>
        <v>45352</v>
      </c>
      <c r="K48" s="1098">
        <f t="shared" si="16"/>
        <v>45323</v>
      </c>
      <c r="L48" s="1098">
        <f t="shared" si="16"/>
        <v>45292</v>
      </c>
      <c r="M48" s="1098">
        <f t="shared" si="16"/>
        <v>45261</v>
      </c>
      <c r="N48" s="1098">
        <f t="shared" si="16"/>
        <v>45231</v>
      </c>
      <c r="O48" s="1098">
        <f t="shared" si="16"/>
        <v>45200</v>
      </c>
      <c r="P48" s="2518"/>
      <c r="Q48" s="2501"/>
      <c r="R48" s="2501"/>
      <c r="S48" s="2501"/>
      <c r="T48" s="2501"/>
      <c r="U48" s="2501"/>
      <c r="V48" s="2501"/>
      <c r="W48" s="2501"/>
      <c r="X48" s="2501"/>
      <c r="Y48" s="2501"/>
      <c r="Z48" s="2501"/>
      <c r="AA48" s="2501"/>
      <c r="AB48" s="2501"/>
      <c r="AC48" s="2501"/>
    </row>
    <row r="49" spans="1:29" s="102" customFormat="1" ht="15">
      <c r="A49" s="442"/>
      <c r="B49" s="443"/>
      <c r="C49" s="1091">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2"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2"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2" customFormat="1" ht="15.75" thickBot="1">
      <c r="A52" s="454"/>
      <c r="B52" s="443"/>
      <c r="C52" s="562">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80">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80" t="s">
        <v>1799</v>
      </c>
      <c r="D67" s="580" t="s">
        <v>1800</v>
      </c>
      <c r="E67" s="580" t="s">
        <v>1801</v>
      </c>
      <c r="F67" s="580" t="s">
        <v>1802</v>
      </c>
      <c r="G67" s="580" t="s">
        <v>1803</v>
      </c>
      <c r="H67" s="469"/>
      <c r="I67" s="469"/>
      <c r="J67" s="469"/>
      <c r="K67" s="469"/>
      <c r="L67" s="469"/>
      <c r="M67" s="1057"/>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2"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2"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2"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2"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1"/>
      <c r="D81" s="581"/>
      <c r="E81" s="581"/>
      <c r="F81" s="581"/>
      <c r="G81" s="581"/>
      <c r="H81" s="581"/>
      <c r="I81" s="581"/>
      <c r="J81" s="581"/>
      <c r="K81" s="582"/>
      <c r="L81" s="583"/>
      <c r="M81" s="584"/>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7"/>
      <c r="J86" s="547"/>
      <c r="K86" s="548"/>
      <c r="L86" s="549"/>
      <c r="M86" s="550"/>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9">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3331</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IF(E1="项目模式",IF(C2="——",ROUND(C37*D3/10000,0),ROUND(C37*D3/10000,0)-D2),IF(E1="单套模式",IF(C2="——",ROUND(C37*D3/10000,4),ROUND(C37*D3/10000,4)-D2)))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375" t="s">
        <v>1775</v>
      </c>
      <c r="Q4" s="3376"/>
      <c r="R4" s="3381" t="s">
        <v>1771</v>
      </c>
      <c r="S4" s="3382"/>
      <c r="T4" s="3381" t="s">
        <v>1772</v>
      </c>
      <c r="U4" s="3382"/>
      <c r="V4" s="3368" t="s">
        <v>1773</v>
      </c>
      <c r="W4" s="3368"/>
      <c r="X4" s="1259"/>
      <c r="Y4" s="3381" t="s">
        <v>1775</v>
      </c>
      <c r="Z4" s="3382"/>
      <c r="AA4" s="3369" t="s">
        <v>1771</v>
      </c>
      <c r="AB4" s="3370" t="s">
        <v>1772</v>
      </c>
      <c r="AC4" s="3369" t="s">
        <v>1773</v>
      </c>
    </row>
    <row r="5" spans="1:29" ht="15">
      <c r="A5" s="347"/>
      <c r="B5" s="348"/>
      <c r="C5" s="3389" t="s">
        <v>1673</v>
      </c>
      <c r="D5" s="3390"/>
      <c r="E5" s="3396" t="s">
        <v>1674</v>
      </c>
      <c r="F5" s="3397"/>
      <c r="G5" s="3389" t="s">
        <v>1675</v>
      </c>
      <c r="H5" s="3390"/>
      <c r="I5" s="3389" t="s">
        <v>1676</v>
      </c>
      <c r="J5" s="3390"/>
      <c r="K5" s="536"/>
      <c r="L5" s="2477"/>
      <c r="M5" s="2478"/>
      <c r="N5" s="2478"/>
      <c r="O5" s="2478"/>
      <c r="P5" s="3377"/>
      <c r="Q5" s="3378"/>
      <c r="R5" s="3383"/>
      <c r="S5" s="3384"/>
      <c r="T5" s="3383"/>
      <c r="U5" s="3384"/>
      <c r="V5" s="3368"/>
      <c r="W5" s="3368"/>
      <c r="X5" s="1259"/>
      <c r="Y5" s="3383"/>
      <c r="Z5" s="3384"/>
      <c r="AA5" s="3370"/>
      <c r="AB5" s="3370"/>
      <c r="AC5" s="3370"/>
    </row>
    <row r="6" spans="1:29" ht="15.75" thickBot="1">
      <c r="A6" s="349"/>
      <c r="B6" s="350"/>
      <c r="C6" s="3387" t="s">
        <v>1677</v>
      </c>
      <c r="D6" s="3388"/>
      <c r="E6" s="3394" t="s">
        <v>1677</v>
      </c>
      <c r="F6" s="3395"/>
      <c r="G6" s="3387" t="s">
        <v>1677</v>
      </c>
      <c r="H6" s="3388"/>
      <c r="I6" s="3387" t="s">
        <v>1677</v>
      </c>
      <c r="J6" s="3388"/>
      <c r="K6" s="536" t="s">
        <v>1678</v>
      </c>
      <c r="L6" s="2477"/>
      <c r="M6" s="2478"/>
      <c r="N6" s="2478"/>
      <c r="O6" s="2478"/>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c r="F7" s="356">
        <f>SUMIF(46:46,YEAR(E7)&amp;"-"&amp;MONTH(E7),47:47)</f>
        <v>0</v>
      </c>
      <c r="G7" s="1814"/>
      <c r="H7" s="354">
        <f>SUMIF(46:46,YEAR(G7)&amp;"-"&amp;MONTH(G7),47:47)</f>
        <v>0</v>
      </c>
      <c r="I7" s="355"/>
      <c r="J7" s="354">
        <f>SUMIF(46:46,YEAR(I7)&amp;"-"&amp;MONTH(I7),47:47)</f>
        <v>0</v>
      </c>
      <c r="K7" s="38"/>
      <c r="L7" s="2479"/>
      <c r="M7" s="2431"/>
      <c r="N7" s="2431"/>
      <c r="O7" s="2431"/>
      <c r="P7" s="3391" t="s">
        <v>1680</v>
      </c>
      <c r="Q7" s="3393"/>
      <c r="R7" s="663" t="s">
        <v>14</v>
      </c>
      <c r="S7" s="664">
        <f t="shared" ref="S7:S14" si="0">F7</f>
        <v>0</v>
      </c>
      <c r="T7" s="663" t="s">
        <v>14</v>
      </c>
      <c r="U7" s="664">
        <f t="shared" ref="U7:U14" si="1">H7</f>
        <v>0</v>
      </c>
      <c r="V7" s="663" t="s">
        <v>14</v>
      </c>
      <c r="W7" s="664">
        <f t="shared" ref="W7:W14" si="2">J7</f>
        <v>0</v>
      </c>
      <c r="X7" s="665"/>
      <c r="Y7" s="3391" t="s">
        <v>1680</v>
      </c>
      <c r="Z7" s="3392"/>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1" t="s">
        <v>1683</v>
      </c>
      <c r="Q8" s="3392"/>
      <c r="R8" s="663" t="s">
        <v>14</v>
      </c>
      <c r="S8" s="664">
        <f t="shared" si="0"/>
        <v>100</v>
      </c>
      <c r="T8" s="663" t="s">
        <v>14</v>
      </c>
      <c r="U8" s="664">
        <f t="shared" si="1"/>
        <v>100</v>
      </c>
      <c r="V8" s="663" t="s">
        <v>14</v>
      </c>
      <c r="W8" s="664">
        <f t="shared" si="2"/>
        <v>100</v>
      </c>
      <c r="X8" s="665"/>
      <c r="Y8" s="3391" t="s">
        <v>1683</v>
      </c>
      <c r="Z8" s="3392"/>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63" t="s">
        <v>1686</v>
      </c>
      <c r="Q9" s="529" t="str">
        <f t="shared" ref="Q9:Q14" si="6">B9</f>
        <v>用途</v>
      </c>
      <c r="R9" s="663" t="s">
        <v>14</v>
      </c>
      <c r="S9" s="664">
        <f t="shared" si="0"/>
        <v>100</v>
      </c>
      <c r="T9" s="663" t="s">
        <v>14</v>
      </c>
      <c r="U9" s="664">
        <f t="shared" si="1"/>
        <v>100</v>
      </c>
      <c r="V9" s="663" t="s">
        <v>14</v>
      </c>
      <c r="W9" s="664">
        <f t="shared" si="2"/>
        <v>100</v>
      </c>
      <c r="X9" s="665"/>
      <c r="Y9" s="3263"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63"/>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63"/>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63"/>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5"/>
      <c r="H13" s="376">
        <f>SUMIF(59:59,G13,60:60)-SUMIF(59:59,C13,60:60)+100</f>
        <v>100</v>
      </c>
      <c r="I13" s="406"/>
      <c r="J13" s="373">
        <f>SUMIF(59:59,I13,60:60)-SUMIF(59:59,C13,60:60)+100</f>
        <v>100</v>
      </c>
      <c r="K13" s="538"/>
      <c r="L13" s="2483"/>
      <c r="M13" s="2478"/>
      <c r="N13" s="2478"/>
      <c r="O13" s="2533"/>
      <c r="P13" s="3363"/>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85.5">
      <c r="A14" s="378" t="s">
        <v>1690</v>
      </c>
      <c r="B14" s="58" t="s">
        <v>1833</v>
      </c>
      <c r="C14" s="1811" t="str">
        <f>IF(B1="工业",估价对象房地状况!G4,估价对象房地状况!C6)</f>
        <v>估价对象周边道路状况、公共交通通达情况、停车便捷程度，综合评价交通便捷度一般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364" t="s">
        <v>1691</v>
      </c>
      <c r="Q14" s="1257" t="str">
        <f t="shared" si="6"/>
        <v>交通便捷度</v>
      </c>
      <c r="R14" s="666" t="s">
        <v>14</v>
      </c>
      <c r="S14" s="667">
        <f t="shared" si="0"/>
        <v>100</v>
      </c>
      <c r="T14" s="666" t="s">
        <v>14</v>
      </c>
      <c r="U14" s="667">
        <f t="shared" si="1"/>
        <v>100</v>
      </c>
      <c r="V14" s="666" t="s">
        <v>14</v>
      </c>
      <c r="W14" s="667">
        <f t="shared" si="2"/>
        <v>100</v>
      </c>
      <c r="X14" s="1259"/>
      <c r="Y14" s="3364" t="s">
        <v>1691</v>
      </c>
      <c r="Z14" s="1258" t="str">
        <f t="shared" si="7"/>
        <v>交通便捷度</v>
      </c>
      <c r="AA14" s="1258">
        <f t="shared" si="3"/>
        <v>1</v>
      </c>
      <c r="AB14" s="1258">
        <f t="shared" si="4"/>
        <v>1</v>
      </c>
      <c r="AC14" s="1258">
        <f t="shared" si="5"/>
        <v>1</v>
      </c>
    </row>
    <row r="15" spans="1:29" ht="15">
      <c r="A15" s="366"/>
      <c r="B15" s="384"/>
      <c r="C15" s="385"/>
      <c r="D15" s="386"/>
      <c r="E15" s="385"/>
      <c r="F15" s="387"/>
      <c r="G15" s="385"/>
      <c r="H15" s="388"/>
      <c r="I15" s="385"/>
      <c r="J15" s="386"/>
      <c r="K15" s="540"/>
      <c r="L15" s="2483"/>
      <c r="M15" s="2478"/>
      <c r="N15" s="2478"/>
      <c r="O15" s="2533"/>
      <c r="P15" s="3365"/>
      <c r="Q15" s="1257"/>
      <c r="R15" s="666"/>
      <c r="S15" s="667"/>
      <c r="T15" s="666"/>
      <c r="U15" s="667"/>
      <c r="V15" s="666"/>
      <c r="W15" s="667"/>
      <c r="X15" s="1259"/>
      <c r="Y15" s="3365"/>
      <c r="Z15" s="1258"/>
      <c r="AA15" s="1258">
        <v>1</v>
      </c>
      <c r="AB15" s="1258">
        <v>1</v>
      </c>
      <c r="AC15" s="1258">
        <v>1</v>
      </c>
    </row>
    <row r="16" spans="1:29" ht="42.75">
      <c r="A16" s="366"/>
      <c r="B16" s="389" t="s">
        <v>1812</v>
      </c>
      <c r="C16" s="1747" t="str">
        <f>IF(B1="工业",估价对象房地状况!G5,估价对象房地状况!C7)</f>
        <v>估价对象所在区域公共配套设施齐备情况一般</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365"/>
      <c r="Q16" s="1257" t="str">
        <f>B16</f>
        <v>公共配套设施</v>
      </c>
      <c r="R16" s="666" t="s">
        <v>14</v>
      </c>
      <c r="S16" s="667">
        <f>F16</f>
        <v>100</v>
      </c>
      <c r="T16" s="666" t="s">
        <v>14</v>
      </c>
      <c r="U16" s="667">
        <f>H16</f>
        <v>100</v>
      </c>
      <c r="V16" s="666" t="s">
        <v>14</v>
      </c>
      <c r="W16" s="667">
        <f>J16</f>
        <v>100</v>
      </c>
      <c r="X16" s="1259"/>
      <c r="Y16" s="3365"/>
      <c r="Z16" s="1258" t="str">
        <f>Q16</f>
        <v>公共配套设施</v>
      </c>
      <c r="AA16" s="1258">
        <f t="shared" si="3"/>
        <v>1</v>
      </c>
      <c r="AB16" s="1258">
        <f t="shared" si="4"/>
        <v>1</v>
      </c>
      <c r="AC16" s="1258">
        <f t="shared" si="5"/>
        <v>1</v>
      </c>
    </row>
    <row r="17" spans="1:29" ht="15">
      <c r="A17" s="366"/>
      <c r="B17" s="394"/>
      <c r="C17" s="1748"/>
      <c r="D17" s="386"/>
      <c r="E17" s="385"/>
      <c r="F17" s="387"/>
      <c r="G17" s="385"/>
      <c r="H17" s="386"/>
      <c r="I17" s="385"/>
      <c r="J17" s="386"/>
      <c r="K17" s="540"/>
      <c r="L17" s="2483"/>
      <c r="M17" s="2478"/>
      <c r="N17" s="2478"/>
      <c r="O17" s="2533"/>
      <c r="P17" s="3365"/>
      <c r="Q17" s="1257"/>
      <c r="R17" s="666"/>
      <c r="S17" s="667"/>
      <c r="T17" s="666"/>
      <c r="U17" s="667"/>
      <c r="V17" s="666"/>
      <c r="W17" s="667"/>
      <c r="X17" s="1259"/>
      <c r="Y17" s="3365"/>
      <c r="Z17" s="1258"/>
      <c r="AA17" s="1258">
        <v>1</v>
      </c>
      <c r="AB17" s="1258">
        <v>1</v>
      </c>
      <c r="AC17" s="1258">
        <v>1</v>
      </c>
    </row>
    <row r="18" spans="1:29" ht="28.5">
      <c r="A18" s="366"/>
      <c r="B18" s="585" t="s">
        <v>1813</v>
      </c>
      <c r="C18" s="1747"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365"/>
      <c r="Q18" s="1257" t="str">
        <f>B18</f>
        <v>基础设施水平</v>
      </c>
      <c r="R18" s="666" t="s">
        <v>14</v>
      </c>
      <c r="S18" s="667">
        <f>F18</f>
        <v>100</v>
      </c>
      <c r="T18" s="666" t="s">
        <v>14</v>
      </c>
      <c r="U18" s="667">
        <f>H18</f>
        <v>100</v>
      </c>
      <c r="V18" s="666" t="s">
        <v>14</v>
      </c>
      <c r="W18" s="667">
        <f>J18</f>
        <v>100</v>
      </c>
      <c r="X18" s="1259"/>
      <c r="Y18" s="3365"/>
      <c r="Z18" s="1258" t="str">
        <f>Q18</f>
        <v>基础设施水平</v>
      </c>
      <c r="AA18" s="1258">
        <f t="shared" ref="AA18" si="8">D18/F18</f>
        <v>1</v>
      </c>
      <c r="AB18" s="1258">
        <f t="shared" ref="AB18" si="9">D18/H18</f>
        <v>1</v>
      </c>
      <c r="AC18" s="1258">
        <f t="shared" ref="AC18" si="10">D18/J18</f>
        <v>1</v>
      </c>
    </row>
    <row r="19" spans="1:29" ht="15">
      <c r="A19" s="366"/>
      <c r="B19" s="585"/>
      <c r="C19" s="1748"/>
      <c r="D19" s="388"/>
      <c r="E19" s="1748"/>
      <c r="F19" s="391"/>
      <c r="G19" s="1748"/>
      <c r="H19" s="386"/>
      <c r="I19" s="385"/>
      <c r="J19" s="386"/>
      <c r="K19" s="1058"/>
      <c r="L19" s="2483"/>
      <c r="M19" s="2478"/>
      <c r="N19" s="2478"/>
      <c r="O19" s="2533"/>
      <c r="P19" s="3365"/>
      <c r="Q19" s="1257"/>
      <c r="R19" s="666"/>
      <c r="S19" s="667"/>
      <c r="T19" s="666"/>
      <c r="U19" s="667"/>
      <c r="V19" s="666"/>
      <c r="W19" s="667"/>
      <c r="X19" s="1259"/>
      <c r="Y19" s="3365"/>
      <c r="Z19" s="1258"/>
      <c r="AA19" s="1258">
        <v>1</v>
      </c>
      <c r="AB19" s="1258">
        <v>1</v>
      </c>
      <c r="AC19" s="1258">
        <v>1</v>
      </c>
    </row>
    <row r="20" spans="1:29" ht="57">
      <c r="A20" s="366"/>
      <c r="B20" s="389" t="s">
        <v>1834</v>
      </c>
      <c r="C20" s="1747"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365"/>
      <c r="Q20" s="1257" t="str">
        <f>B20</f>
        <v>自然及人文环境</v>
      </c>
      <c r="R20" s="666" t="s">
        <v>14</v>
      </c>
      <c r="S20" s="667">
        <f>F20</f>
        <v>100</v>
      </c>
      <c r="T20" s="666" t="s">
        <v>14</v>
      </c>
      <c r="U20" s="667">
        <f>H20</f>
        <v>100</v>
      </c>
      <c r="V20" s="666" t="s">
        <v>14</v>
      </c>
      <c r="W20" s="667">
        <f>J20</f>
        <v>100</v>
      </c>
      <c r="X20" s="1259"/>
      <c r="Y20" s="3365"/>
      <c r="Z20" s="1258" t="str">
        <f>Q20</f>
        <v>自然及人文环境</v>
      </c>
      <c r="AA20" s="1258">
        <f t="shared" si="3"/>
        <v>1</v>
      </c>
      <c r="AB20" s="1258">
        <f t="shared" si="4"/>
        <v>1</v>
      </c>
      <c r="AC20" s="1258">
        <f t="shared" si="5"/>
        <v>1</v>
      </c>
    </row>
    <row r="21" spans="1:29" ht="15">
      <c r="A21" s="366"/>
      <c r="B21" s="394"/>
      <c r="C21" s="385"/>
      <c r="D21" s="386"/>
      <c r="E21" s="385"/>
      <c r="F21" s="387"/>
      <c r="G21" s="385"/>
      <c r="H21" s="386"/>
      <c r="I21" s="385"/>
      <c r="J21" s="386"/>
      <c r="K21" s="540"/>
      <c r="L21" s="2483"/>
      <c r="M21" s="2478"/>
      <c r="N21" s="2478"/>
      <c r="O21" s="2533"/>
      <c r="P21" s="3365"/>
      <c r="Q21" s="1257"/>
      <c r="R21" s="666"/>
      <c r="S21" s="667"/>
      <c r="T21" s="666"/>
      <c r="U21" s="667"/>
      <c r="V21" s="666"/>
      <c r="W21" s="667"/>
      <c r="X21" s="1259"/>
      <c r="Y21" s="3365"/>
      <c r="Z21" s="1258"/>
      <c r="AA21" s="1258">
        <v>1</v>
      </c>
      <c r="AB21" s="1258">
        <v>1</v>
      </c>
      <c r="AC21" s="1258">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365"/>
      <c r="Q22" s="1257" t="str">
        <f>B22</f>
        <v>楼层</v>
      </c>
      <c r="R22" s="666" t="s">
        <v>14</v>
      </c>
      <c r="S22" s="667">
        <f>F22</f>
        <v>100</v>
      </c>
      <c r="T22" s="666" t="s">
        <v>14</v>
      </c>
      <c r="U22" s="667">
        <f>H22</f>
        <v>100</v>
      </c>
      <c r="V22" s="666" t="s">
        <v>14</v>
      </c>
      <c r="W22" s="667">
        <f>J22</f>
        <v>100</v>
      </c>
      <c r="X22" s="1259"/>
      <c r="Y22" s="3365"/>
      <c r="Z22" s="1258" t="str">
        <f>Q22</f>
        <v>楼层</v>
      </c>
      <c r="AA22" s="1258">
        <f t="shared" si="3"/>
        <v>1</v>
      </c>
      <c r="AB22" s="1258">
        <f t="shared" si="4"/>
        <v>1</v>
      </c>
      <c r="AC22" s="1258">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365"/>
      <c r="Q23" s="1257">
        <f>B23</f>
        <v>111</v>
      </c>
      <c r="R23" s="666" t="s">
        <v>14</v>
      </c>
      <c r="S23" s="667">
        <f>F23</f>
        <v>100</v>
      </c>
      <c r="T23" s="666" t="s">
        <v>14</v>
      </c>
      <c r="U23" s="667">
        <f>H23</f>
        <v>100</v>
      </c>
      <c r="V23" s="666" t="s">
        <v>14</v>
      </c>
      <c r="W23" s="667">
        <f>J23</f>
        <v>100</v>
      </c>
      <c r="X23" s="1259"/>
      <c r="Y23" s="3365"/>
      <c r="Z23" s="1258">
        <f>Q23</f>
        <v>111</v>
      </c>
      <c r="AA23" s="1258">
        <f t="shared" si="3"/>
        <v>1</v>
      </c>
      <c r="AB23" s="1258">
        <f t="shared" si="4"/>
        <v>1</v>
      </c>
      <c r="AC23" s="1258">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365"/>
      <c r="Q24" s="1257">
        <f t="shared" ref="Q24:Q34" si="11">B24</f>
        <v>111</v>
      </c>
      <c r="R24" s="666" t="s">
        <v>14</v>
      </c>
      <c r="S24" s="667">
        <f>F24</f>
        <v>100</v>
      </c>
      <c r="T24" s="666" t="s">
        <v>14</v>
      </c>
      <c r="U24" s="667">
        <f>H24</f>
        <v>100</v>
      </c>
      <c r="V24" s="666" t="s">
        <v>14</v>
      </c>
      <c r="W24" s="667">
        <f>J24</f>
        <v>100</v>
      </c>
      <c r="X24" s="1259"/>
      <c r="Y24" s="3365"/>
      <c r="Z24" s="1258">
        <f>Q24</f>
        <v>111</v>
      </c>
      <c r="AA24" s="1258">
        <f t="shared" si="3"/>
        <v>1</v>
      </c>
      <c r="AB24" s="1258">
        <f t="shared" si="4"/>
        <v>1</v>
      </c>
      <c r="AC24" s="1258">
        <f t="shared" si="5"/>
        <v>1</v>
      </c>
    </row>
    <row r="25" spans="1:29" s="102" customFormat="1" ht="15.75" thickBot="1">
      <c r="A25" s="369"/>
      <c r="B25" s="446">
        <v>111</v>
      </c>
      <c r="C25" s="1816"/>
      <c r="D25" s="556">
        <v>100</v>
      </c>
      <c r="E25" s="1816"/>
      <c r="F25" s="585">
        <f>SUMIF(75:75,E25,76:76)-SUMIF(75:75,C25,76:76)+100</f>
        <v>100</v>
      </c>
      <c r="G25" s="1816"/>
      <c r="H25" s="556">
        <f>SUMIF(75:75,G25,76:76)-SUMIF(75:75,C25,76:76)+100</f>
        <v>100</v>
      </c>
      <c r="I25" s="1816"/>
      <c r="J25" s="556">
        <f>SUMIF(75:75,I25,76:76)-SUMIF(75:75,C25,76:76)+100</f>
        <v>100</v>
      </c>
      <c r="K25" s="538"/>
      <c r="L25" s="2479"/>
      <c r="M25" s="2431"/>
      <c r="N25" s="2431"/>
      <c r="O25" s="2531"/>
      <c r="P25" s="3365"/>
      <c r="Q25" s="529">
        <f t="shared" si="11"/>
        <v>111</v>
      </c>
      <c r="R25" s="663" t="s">
        <v>14</v>
      </c>
      <c r="S25" s="664">
        <f>F25</f>
        <v>100</v>
      </c>
      <c r="T25" s="663" t="s">
        <v>14</v>
      </c>
      <c r="U25" s="664">
        <f>H25</f>
        <v>100</v>
      </c>
      <c r="V25" s="663" t="s">
        <v>14</v>
      </c>
      <c r="W25" s="664">
        <f>J25</f>
        <v>100</v>
      </c>
      <c r="X25" s="665"/>
      <c r="Y25" s="3365"/>
      <c r="Z25" s="50">
        <f>Q25</f>
        <v>111</v>
      </c>
      <c r="AA25" s="1258">
        <f>D25/F25</f>
        <v>1</v>
      </c>
      <c r="AB25" s="1258">
        <f>D25/H25</f>
        <v>1</v>
      </c>
      <c r="AC25" s="1258">
        <f>D25/J25</f>
        <v>1</v>
      </c>
    </row>
    <row r="26" spans="1:29" ht="28.5">
      <c r="A26" s="403" t="s">
        <v>1694</v>
      </c>
      <c r="B26" s="60" t="s">
        <v>1838</v>
      </c>
      <c r="C26" s="1757"/>
      <c r="D26" s="404">
        <v>100</v>
      </c>
      <c r="E26" s="1757"/>
      <c r="F26" s="586">
        <f>SUMIF(77:77,E26,78:78)-SUMIF(77:77,C26,78:78)+100</f>
        <v>100</v>
      </c>
      <c r="G26" s="1757"/>
      <c r="H26" s="404">
        <f>SUMIF(77:77,G26,78:78)-SUMIF(77:77,C26,78:78)+100</f>
        <v>100</v>
      </c>
      <c r="I26" s="1757"/>
      <c r="J26" s="404">
        <f>SUMIF(77:77,I26,78:78)-SUMIF(77:77,C26,78:78)+100</f>
        <v>100</v>
      </c>
      <c r="K26" s="537"/>
      <c r="L26" s="2483"/>
      <c r="M26" s="2478"/>
      <c r="N26" s="2478"/>
      <c r="O26" s="2533"/>
      <c r="P26" s="3366" t="s">
        <v>1696</v>
      </c>
      <c r="Q26" s="1257" t="str">
        <f t="shared" si="11"/>
        <v>公共部分装修</v>
      </c>
      <c r="R26" s="666" t="s">
        <v>14</v>
      </c>
      <c r="S26" s="667">
        <f t="shared" ref="S26:S34" si="12">F26</f>
        <v>100</v>
      </c>
      <c r="T26" s="666" t="s">
        <v>14</v>
      </c>
      <c r="U26" s="667">
        <f t="shared" ref="U26:U34" si="13">H26</f>
        <v>100</v>
      </c>
      <c r="V26" s="666" t="s">
        <v>14</v>
      </c>
      <c r="W26" s="667">
        <f t="shared" ref="W26:W34" si="14">J26</f>
        <v>100</v>
      </c>
      <c r="X26" s="1259"/>
      <c r="Y26" s="3367" t="s">
        <v>1696</v>
      </c>
      <c r="Z26" s="1258" t="str">
        <f t="shared" ref="Z26:Z34" si="15">Q26</f>
        <v>公共部分装修</v>
      </c>
      <c r="AA26" s="1258">
        <f t="shared" si="3"/>
        <v>1</v>
      </c>
      <c r="AB26" s="1258">
        <f t="shared" si="4"/>
        <v>1</v>
      </c>
      <c r="AC26" s="1258">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367"/>
      <c r="Q27" s="530" t="str">
        <f t="shared" si="11"/>
        <v>成新率</v>
      </c>
      <c r="R27" s="668" t="s">
        <v>14</v>
      </c>
      <c r="S27" s="669" t="e">
        <f t="shared" si="12"/>
        <v>#N/A</v>
      </c>
      <c r="T27" s="668" t="s">
        <v>14</v>
      </c>
      <c r="U27" s="669" t="e">
        <f t="shared" si="13"/>
        <v>#N/A</v>
      </c>
      <c r="V27" s="668" t="s">
        <v>14</v>
      </c>
      <c r="W27" s="669" t="e">
        <f t="shared" si="14"/>
        <v>#N/A</v>
      </c>
      <c r="X27" s="670"/>
      <c r="Y27" s="3367"/>
      <c r="Z27" s="671" t="str">
        <f t="shared" si="15"/>
        <v>成新率</v>
      </c>
      <c r="AA27" s="1258" t="e">
        <f t="shared" si="3"/>
        <v>#N/A</v>
      </c>
      <c r="AB27" s="1258" t="e">
        <f t="shared" si="4"/>
        <v>#N/A</v>
      </c>
      <c r="AC27" s="1258"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367"/>
      <c r="Q28" s="1257" t="str">
        <f t="shared" si="11"/>
        <v>物业等级</v>
      </c>
      <c r="R28" s="666" t="s">
        <v>14</v>
      </c>
      <c r="S28" s="667">
        <f t="shared" si="12"/>
        <v>100</v>
      </c>
      <c r="T28" s="666" t="s">
        <v>14</v>
      </c>
      <c r="U28" s="667">
        <f t="shared" si="13"/>
        <v>100</v>
      </c>
      <c r="V28" s="666" t="s">
        <v>14</v>
      </c>
      <c r="W28" s="667">
        <f t="shared" si="14"/>
        <v>100</v>
      </c>
      <c r="X28" s="1259"/>
      <c r="Y28" s="3367"/>
      <c r="Z28" s="1258" t="str">
        <f t="shared" si="15"/>
        <v>物业等级</v>
      </c>
      <c r="AA28" s="1258">
        <f t="shared" si="3"/>
        <v>1</v>
      </c>
      <c r="AB28" s="1258">
        <f t="shared" si="4"/>
        <v>1</v>
      </c>
      <c r="AC28" s="1258">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3"/>
      <c r="M29" s="2478"/>
      <c r="N29" s="2478"/>
      <c r="O29" s="2533"/>
      <c r="P29" s="3367"/>
      <c r="Q29" s="1257" t="str">
        <f t="shared" si="11"/>
        <v>有无电梯</v>
      </c>
      <c r="R29" s="666" t="s">
        <v>14</v>
      </c>
      <c r="S29" s="667">
        <f t="shared" si="12"/>
        <v>100</v>
      </c>
      <c r="T29" s="666" t="s">
        <v>14</v>
      </c>
      <c r="U29" s="667">
        <f t="shared" si="13"/>
        <v>100</v>
      </c>
      <c r="V29" s="666" t="s">
        <v>14</v>
      </c>
      <c r="W29" s="667">
        <f t="shared" si="14"/>
        <v>100</v>
      </c>
      <c r="X29" s="1259"/>
      <c r="Y29" s="3367"/>
      <c r="Z29" s="1258" t="str">
        <f t="shared" si="15"/>
        <v>有无电梯</v>
      </c>
      <c r="AA29" s="1258">
        <f t="shared" si="3"/>
        <v>1</v>
      </c>
      <c r="AB29" s="1258">
        <f t="shared" si="4"/>
        <v>1</v>
      </c>
      <c r="AC29" s="1258">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367"/>
      <c r="Q30" s="1257" t="str">
        <f t="shared" si="11"/>
        <v>建筑面积</v>
      </c>
      <c r="R30" s="666" t="s">
        <v>14</v>
      </c>
      <c r="S30" s="667" t="e">
        <f t="shared" si="12"/>
        <v>#N/A</v>
      </c>
      <c r="T30" s="666" t="s">
        <v>14</v>
      </c>
      <c r="U30" s="667" t="e">
        <f t="shared" si="13"/>
        <v>#N/A</v>
      </c>
      <c r="V30" s="666" t="s">
        <v>14</v>
      </c>
      <c r="W30" s="667" t="e">
        <f t="shared" si="14"/>
        <v>#N/A</v>
      </c>
      <c r="X30" s="1259"/>
      <c r="Y30" s="3367"/>
      <c r="Z30" s="1258" t="str">
        <f t="shared" si="15"/>
        <v>建筑面积</v>
      </c>
      <c r="AA30" s="1258" t="e">
        <f t="shared" si="3"/>
        <v>#N/A</v>
      </c>
      <c r="AB30" s="1258" t="e">
        <f t="shared" si="4"/>
        <v>#N/A</v>
      </c>
      <c r="AC30" s="1258"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79"/>
      <c r="M31" s="2431"/>
      <c r="N31" s="2431"/>
      <c r="O31" s="2531"/>
      <c r="P31" s="3367"/>
      <c r="Q31" s="529" t="str">
        <f t="shared" si="11"/>
        <v>是否封闭</v>
      </c>
      <c r="R31" s="663" t="s">
        <v>14</v>
      </c>
      <c r="S31" s="664">
        <f t="shared" si="12"/>
        <v>100</v>
      </c>
      <c r="T31" s="663" t="s">
        <v>14</v>
      </c>
      <c r="U31" s="664">
        <f t="shared" si="13"/>
        <v>100</v>
      </c>
      <c r="V31" s="663" t="s">
        <v>14</v>
      </c>
      <c r="W31" s="664">
        <f t="shared" si="14"/>
        <v>100</v>
      </c>
      <c r="X31" s="665"/>
      <c r="Y31" s="336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367" t="s">
        <v>1696</v>
      </c>
      <c r="Q32" s="1257">
        <f t="shared" si="11"/>
        <v>111</v>
      </c>
      <c r="R32" s="666" t="s">
        <v>14</v>
      </c>
      <c r="S32" s="667">
        <f t="shared" si="12"/>
        <v>100</v>
      </c>
      <c r="T32" s="666" t="s">
        <v>14</v>
      </c>
      <c r="U32" s="667">
        <f t="shared" si="13"/>
        <v>100</v>
      </c>
      <c r="V32" s="666" t="s">
        <v>14</v>
      </c>
      <c r="W32" s="667">
        <f t="shared" si="14"/>
        <v>100</v>
      </c>
      <c r="X32" s="1259"/>
      <c r="Y32" s="3367" t="s">
        <v>1696</v>
      </c>
      <c r="Z32" s="1258">
        <f t="shared" si="15"/>
        <v>111</v>
      </c>
      <c r="AA32" s="1258">
        <f t="shared" si="3"/>
        <v>1</v>
      </c>
      <c r="AB32" s="1258">
        <f t="shared" si="4"/>
        <v>1</v>
      </c>
      <c r="AC32" s="1258">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367"/>
      <c r="Q33" s="1257">
        <f t="shared" si="11"/>
        <v>111</v>
      </c>
      <c r="R33" s="666" t="s">
        <v>14</v>
      </c>
      <c r="S33" s="667">
        <f t="shared" si="12"/>
        <v>100</v>
      </c>
      <c r="T33" s="666" t="s">
        <v>14</v>
      </c>
      <c r="U33" s="667">
        <f t="shared" si="13"/>
        <v>100</v>
      </c>
      <c r="V33" s="666" t="s">
        <v>14</v>
      </c>
      <c r="W33" s="667">
        <f t="shared" si="14"/>
        <v>100</v>
      </c>
      <c r="X33" s="1259"/>
      <c r="Y33" s="3367"/>
      <c r="Z33" s="1258">
        <f t="shared" si="15"/>
        <v>111</v>
      </c>
      <c r="AA33" s="1258">
        <f t="shared" si="3"/>
        <v>1</v>
      </c>
      <c r="AB33" s="1258">
        <f t="shared" si="4"/>
        <v>1</v>
      </c>
      <c r="AC33" s="1258">
        <f t="shared" si="5"/>
        <v>1</v>
      </c>
    </row>
    <row r="34" spans="1:30" ht="15.75" thickBot="1">
      <c r="A34" s="414"/>
      <c r="B34" s="1742">
        <v>111</v>
      </c>
      <c r="C34" s="375"/>
      <c r="D34" s="376">
        <v>100</v>
      </c>
      <c r="E34" s="1815"/>
      <c r="F34" s="377">
        <f>SUMIF(95:95,E34,96:96)-SUMIF(95:95,C34,96:96)+100</f>
        <v>100</v>
      </c>
      <c r="G34" s="1815"/>
      <c r="H34" s="376">
        <f>SUMIF(95:95,G34,96:96)-SUMIF(95:95,C34,96:96)+100</f>
        <v>100</v>
      </c>
      <c r="I34" s="1815"/>
      <c r="J34" s="376">
        <f>SUMIF(95:95,I34,96:96)-SUMIF(95:95,C34,96:96)+100</f>
        <v>100</v>
      </c>
      <c r="K34" s="538"/>
      <c r="L34" s="2483"/>
      <c r="M34" s="2478"/>
      <c r="N34" s="2478"/>
      <c r="O34" s="2533"/>
      <c r="P34" s="3367"/>
      <c r="Q34" s="1257">
        <f t="shared" si="11"/>
        <v>111</v>
      </c>
      <c r="R34" s="666" t="s">
        <v>14</v>
      </c>
      <c r="S34" s="667">
        <f t="shared" si="12"/>
        <v>100</v>
      </c>
      <c r="T34" s="666" t="s">
        <v>14</v>
      </c>
      <c r="U34" s="667">
        <f t="shared" si="13"/>
        <v>100</v>
      </c>
      <c r="V34" s="666" t="s">
        <v>14</v>
      </c>
      <c r="W34" s="667">
        <f t="shared" si="14"/>
        <v>100</v>
      </c>
      <c r="X34" s="1259"/>
      <c r="Y34" s="3367"/>
      <c r="Z34" s="1258">
        <f t="shared" si="15"/>
        <v>111</v>
      </c>
      <c r="AA34" s="1258">
        <f t="shared" si="3"/>
        <v>1</v>
      </c>
      <c r="AB34" s="1258">
        <f t="shared" si="4"/>
        <v>1</v>
      </c>
      <c r="AC34" s="1258">
        <f t="shared" si="5"/>
        <v>1</v>
      </c>
    </row>
    <row r="35" spans="1:30" ht="15">
      <c r="A35" s="415" t="s">
        <v>1708</v>
      </c>
      <c r="B35" s="416"/>
      <c r="C35" s="1075" t="s">
        <v>0</v>
      </c>
      <c r="D35" s="417"/>
      <c r="E35" s="418"/>
      <c r="F35" s="419"/>
      <c r="G35" s="420"/>
      <c r="H35" s="421"/>
      <c r="I35" s="418"/>
      <c r="J35" s="421"/>
      <c r="K35" s="673"/>
      <c r="L35" s="2485"/>
      <c r="M35" s="2478"/>
      <c r="N35" s="2478"/>
      <c r="O35" s="2478"/>
      <c r="P35" s="3363" t="str">
        <f>A35</f>
        <v>成交单价（元/平方米）</v>
      </c>
      <c r="Q35" s="3363"/>
      <c r="R35" s="3368">
        <f>E35</f>
        <v>0</v>
      </c>
      <c r="S35" s="3368"/>
      <c r="T35" s="3368">
        <f>G35</f>
        <v>0</v>
      </c>
      <c r="U35" s="3368"/>
      <c r="V35" s="3368">
        <f>I35</f>
        <v>0</v>
      </c>
      <c r="W35" s="3368"/>
      <c r="X35" s="384"/>
      <c r="Y35" s="672"/>
      <c r="Z35" s="384"/>
      <c r="AA35" s="384"/>
      <c r="AB35" s="384"/>
      <c r="AC35" s="384"/>
    </row>
    <row r="36" spans="1:30" ht="15.75" thickBot="1">
      <c r="A36" s="422" t="s">
        <v>1793</v>
      </c>
      <c r="B36" s="423"/>
      <c r="C36" s="1076" t="e">
        <f>R37</f>
        <v>#DIV/0!</v>
      </c>
      <c r="D36" s="2133" t="s">
        <v>2137</v>
      </c>
      <c r="E36" s="1077" t="e">
        <f>R36</f>
        <v>#DIV/0!</v>
      </c>
      <c r="F36" s="2134"/>
      <c r="G36" s="1076" t="e">
        <f>T36</f>
        <v>#DIV/0!</v>
      </c>
      <c r="H36" s="2134"/>
      <c r="I36" s="1077" t="e">
        <f>V36</f>
        <v>#DIV/0!</v>
      </c>
      <c r="J36" s="2134"/>
      <c r="K36" s="2136">
        <f>F36+H36+J36</f>
        <v>0</v>
      </c>
      <c r="L36" s="2485"/>
      <c r="M36" s="2478"/>
      <c r="N36" s="2478"/>
      <c r="O36" s="2478"/>
      <c r="P36" s="3363" t="str">
        <f>A36</f>
        <v>比较价值（元/平方米）</v>
      </c>
      <c r="Q36" s="3363"/>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5"/>
      <c r="M37" s="2478"/>
      <c r="N37" s="2478"/>
      <c r="O37" s="2478"/>
      <c r="P37" s="3357" t="str">
        <f>A37</f>
        <v>估价对象XX用房的比较价值（楼面单价，元/平方米）</v>
      </c>
      <c r="Q37" s="3358"/>
      <c r="R37" s="3451" t="e">
        <f>IF(F1="售价",ROUND(IF(D36="简单平均",AVERAGE(R36:W36),R36*F36+T36*H36+V36*J36),0),ROUND(IF(D36="简单平均",AVERAGE(R36:V36),R36*F36+T36*H36+V36*J36),1))</f>
        <v>#DIV/0!</v>
      </c>
      <c r="S37" s="3451"/>
      <c r="T37" s="3451"/>
      <c r="U37" s="3451"/>
      <c r="V37" s="3451"/>
      <c r="W37" s="3451"/>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7" t="s">
        <v>1798</v>
      </c>
      <c r="B45" s="384"/>
      <c r="C45" s="658"/>
      <c r="D45" s="658"/>
      <c r="E45" s="658"/>
      <c r="F45" s="659"/>
      <c r="G45" s="659"/>
      <c r="H45" s="658"/>
      <c r="I45" s="658"/>
      <c r="J45" s="658"/>
      <c r="K45" s="660"/>
      <c r="L45" s="661"/>
      <c r="M45" s="658"/>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097" t="str">
        <f>YEAR(C7)&amp;"-"&amp;MONTH(C7)</f>
        <v>2024-10</v>
      </c>
      <c r="D46" s="1098">
        <f>EDATE(C46,-1)</f>
        <v>45536</v>
      </c>
      <c r="E46" s="1098">
        <f t="shared" ref="E46:O46" si="16">EDATE(D46,-1)</f>
        <v>45505</v>
      </c>
      <c r="F46" s="1098">
        <f t="shared" si="16"/>
        <v>45474</v>
      </c>
      <c r="G46" s="1098">
        <f t="shared" si="16"/>
        <v>45444</v>
      </c>
      <c r="H46" s="1098">
        <f t="shared" si="16"/>
        <v>45413</v>
      </c>
      <c r="I46" s="1098">
        <f t="shared" si="16"/>
        <v>45383</v>
      </c>
      <c r="J46" s="1098">
        <f t="shared" si="16"/>
        <v>45352</v>
      </c>
      <c r="K46" s="1098">
        <f t="shared" si="16"/>
        <v>45323</v>
      </c>
      <c r="L46" s="1098">
        <f t="shared" si="16"/>
        <v>45292</v>
      </c>
      <c r="M46" s="1098">
        <f t="shared" si="16"/>
        <v>45261</v>
      </c>
      <c r="N46" s="1098">
        <f t="shared" si="16"/>
        <v>45231</v>
      </c>
      <c r="O46" s="1098">
        <f t="shared" si="16"/>
        <v>45200</v>
      </c>
      <c r="P46" s="2501"/>
      <c r="Q46" s="2501"/>
      <c r="R46" s="2501"/>
      <c r="S46" s="2501"/>
      <c r="T46" s="2501"/>
      <c r="U46" s="2501"/>
      <c r="V46" s="2501"/>
      <c r="W46" s="2501"/>
      <c r="X46" s="2501"/>
      <c r="Y46" s="2501"/>
      <c r="Z46" s="2501"/>
      <c r="AA46" s="2501"/>
      <c r="AB46" s="2501"/>
      <c r="AC46" s="2501"/>
      <c r="AD46" s="2501"/>
    </row>
    <row r="47" spans="1:30" s="102" customFormat="1" ht="15">
      <c r="A47" s="442"/>
      <c r="B47" s="443"/>
      <c r="C47" s="1096">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2"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2"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2" customFormat="1" ht="15.75" thickBot="1">
      <c r="A50" s="454"/>
      <c r="B50" s="443"/>
      <c r="C50" s="562">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80">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80" t="s">
        <v>1799</v>
      </c>
      <c r="D65" s="580" t="s">
        <v>1800</v>
      </c>
      <c r="E65" s="580" t="s">
        <v>1801</v>
      </c>
      <c r="F65" s="580" t="s">
        <v>1802</v>
      </c>
      <c r="G65" s="580" t="s">
        <v>1803</v>
      </c>
      <c r="H65" s="469"/>
      <c r="I65" s="469"/>
      <c r="J65" s="469"/>
      <c r="K65" s="469"/>
      <c r="L65" s="469"/>
      <c r="M65" s="1057"/>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2"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2"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2"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2"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80"/>
      <c r="J80" s="580"/>
      <c r="K80" s="587"/>
      <c r="L80" s="588"/>
      <c r="M80" s="589"/>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9">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76"/>
      <c r="B98" s="876"/>
      <c r="C98" s="876"/>
      <c r="D98" s="876"/>
      <c r="E98" s="876"/>
      <c r="F98" s="876"/>
      <c r="G98" s="876"/>
      <c r="H98" s="876"/>
      <c r="I98" s="876"/>
      <c r="J98" s="876"/>
      <c r="K98" s="877"/>
      <c r="L98" s="878"/>
      <c r="M98" s="876"/>
      <c r="N98" s="2478"/>
      <c r="O98" s="2478"/>
      <c r="P98" s="2478"/>
      <c r="Q98" s="2478"/>
      <c r="R98" s="2478"/>
      <c r="S98" s="2478"/>
      <c r="T98" s="2478"/>
      <c r="U98" s="2478"/>
      <c r="V98" s="2478"/>
      <c r="W98" s="2478"/>
      <c r="X98" s="2478"/>
      <c r="Y98" s="2478"/>
      <c r="Z98" s="2478"/>
      <c r="AA98" s="2478"/>
      <c r="AB98" s="2478"/>
      <c r="AC98" s="2478"/>
      <c r="AD98" s="2478"/>
    </row>
    <row r="99" spans="1:30">
      <c r="A99" s="876"/>
      <c r="B99" s="876"/>
      <c r="C99" s="876"/>
      <c r="D99" s="876"/>
      <c r="E99" s="876"/>
      <c r="F99" s="876"/>
      <c r="G99" s="876"/>
      <c r="H99" s="876"/>
      <c r="I99" s="876"/>
      <c r="J99" s="876"/>
      <c r="K99" s="877"/>
      <c r="L99" s="878"/>
      <c r="M99" s="876"/>
      <c r="N99" s="2478"/>
      <c r="O99" s="2478"/>
      <c r="P99" s="2478"/>
      <c r="Q99" s="2478"/>
      <c r="R99" s="2478"/>
      <c r="S99" s="2478"/>
      <c r="T99" s="2478"/>
      <c r="U99" s="2478"/>
      <c r="V99" s="2478"/>
      <c r="W99" s="2478"/>
      <c r="X99" s="2478"/>
      <c r="Y99" s="2478"/>
      <c r="Z99" s="2478"/>
      <c r="AA99" s="2478"/>
      <c r="AB99" s="2478"/>
      <c r="AC99" s="2478"/>
      <c r="AD99" s="2478"/>
    </row>
    <row r="100" spans="1:30">
      <c r="A100" s="876"/>
      <c r="B100" s="876"/>
      <c r="C100" s="876"/>
      <c r="D100" s="876"/>
      <c r="E100" s="876"/>
      <c r="F100" s="876"/>
      <c r="G100" s="876"/>
      <c r="H100" s="876"/>
      <c r="I100" s="876"/>
      <c r="J100" s="876"/>
      <c r="K100" s="877"/>
      <c r="L100" s="878"/>
      <c r="M100" s="876"/>
      <c r="N100" s="2478"/>
      <c r="O100" s="2478"/>
      <c r="P100" s="2478"/>
      <c r="Q100" s="2478"/>
      <c r="R100" s="2478"/>
      <c r="S100" s="2478"/>
      <c r="T100" s="2478"/>
      <c r="U100" s="2478"/>
      <c r="V100" s="2478"/>
      <c r="W100" s="2478"/>
      <c r="X100" s="2478"/>
      <c r="Y100" s="2478"/>
      <c r="Z100" s="2478"/>
      <c r="AA100" s="2478"/>
      <c r="AB100" s="2478"/>
      <c r="AC100" s="2478"/>
      <c r="AD100" s="2478"/>
    </row>
    <row r="101" spans="1:30">
      <c r="A101" s="876"/>
      <c r="B101" s="876"/>
      <c r="C101" s="876"/>
      <c r="D101" s="876"/>
      <c r="E101" s="876"/>
      <c r="F101" s="876"/>
      <c r="G101" s="876"/>
      <c r="H101" s="876"/>
      <c r="I101" s="876"/>
      <c r="J101" s="876"/>
      <c r="K101" s="877"/>
      <c r="L101" s="878"/>
      <c r="M101" s="876"/>
      <c r="N101" s="2478"/>
      <c r="O101" s="2478"/>
      <c r="P101" s="2478"/>
      <c r="Q101" s="2478"/>
      <c r="R101" s="2478"/>
      <c r="S101" s="2478"/>
      <c r="T101" s="2478"/>
      <c r="U101" s="2478"/>
      <c r="V101" s="2478"/>
      <c r="W101" s="2478"/>
      <c r="X101" s="2478"/>
      <c r="Y101" s="2478"/>
      <c r="Z101" s="2478"/>
      <c r="AA101" s="2478"/>
      <c r="AB101" s="2478"/>
      <c r="AC101" s="2478"/>
      <c r="AD101" s="2478"/>
    </row>
    <row r="102" spans="1:30">
      <c r="A102" s="876"/>
      <c r="B102" s="876"/>
      <c r="C102" s="876"/>
      <c r="D102" s="876"/>
      <c r="E102" s="876"/>
      <c r="F102" s="876"/>
      <c r="G102" s="876"/>
      <c r="H102" s="876"/>
      <c r="I102" s="876"/>
      <c r="J102" s="876"/>
      <c r="K102" s="877"/>
      <c r="L102" s="878"/>
      <c r="M102" s="876"/>
      <c r="N102" s="2478"/>
      <c r="O102" s="2478"/>
      <c r="P102" s="2478"/>
      <c r="Q102" s="2478"/>
      <c r="R102" s="2478"/>
      <c r="S102" s="2478"/>
      <c r="T102" s="2478"/>
      <c r="U102" s="2478"/>
      <c r="V102" s="2478"/>
      <c r="W102" s="2478"/>
      <c r="X102" s="2478"/>
      <c r="Y102" s="2478"/>
      <c r="Z102" s="2478"/>
      <c r="AA102" s="2478"/>
      <c r="AB102" s="2478"/>
      <c r="AC102" s="2478"/>
      <c r="AD102" s="2478"/>
    </row>
    <row r="103" spans="1:30">
      <c r="A103" s="876"/>
      <c r="B103" s="876"/>
      <c r="C103" s="876"/>
      <c r="D103" s="876"/>
      <c r="E103" s="876"/>
      <c r="F103" s="876"/>
      <c r="G103" s="876"/>
      <c r="H103" s="876"/>
      <c r="I103" s="876"/>
      <c r="J103" s="876"/>
      <c r="K103" s="877"/>
      <c r="L103" s="878"/>
      <c r="M103" s="876"/>
      <c r="N103" s="876"/>
      <c r="O103" s="876"/>
      <c r="P103" s="2478"/>
      <c r="Q103" s="2478"/>
      <c r="R103" s="2478"/>
      <c r="S103" s="2478"/>
      <c r="T103" s="2478"/>
      <c r="U103" s="2478"/>
      <c r="V103" s="2478"/>
      <c r="W103" s="2478"/>
      <c r="X103" s="2478"/>
      <c r="Y103" s="2478"/>
      <c r="Z103" s="2478"/>
      <c r="AA103" s="2478"/>
      <c r="AB103" s="2478"/>
      <c r="AC103" s="2478"/>
      <c r="AD103" s="2478"/>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49"/>
      <c r="D2" s="849"/>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0" t="s">
        <v>1770</v>
      </c>
      <c r="D4" s="3372"/>
      <c r="E4" s="3373" t="s">
        <v>1771</v>
      </c>
      <c r="F4" s="3374"/>
      <c r="G4" s="3360" t="s">
        <v>1772</v>
      </c>
      <c r="H4" s="3372"/>
      <c r="I4" s="3360" t="s">
        <v>1773</v>
      </c>
      <c r="J4" s="3372"/>
      <c r="K4" s="536" t="s">
        <v>1774</v>
      </c>
      <c r="L4" s="2477"/>
      <c r="M4" s="2478"/>
      <c r="N4" s="2478"/>
      <c r="O4" s="2478"/>
      <c r="P4" s="3375" t="s">
        <v>1775</v>
      </c>
      <c r="Q4" s="3376"/>
      <c r="R4" s="3381" t="s">
        <v>1771</v>
      </c>
      <c r="S4" s="3382"/>
      <c r="T4" s="3381" t="s">
        <v>1772</v>
      </c>
      <c r="U4" s="3382"/>
      <c r="V4" s="3368" t="s">
        <v>1773</v>
      </c>
      <c r="W4" s="3368"/>
      <c r="X4" s="1259"/>
      <c r="Y4" s="3381" t="s">
        <v>1775</v>
      </c>
      <c r="Z4" s="3382"/>
      <c r="AA4" s="3369" t="s">
        <v>1771</v>
      </c>
      <c r="AB4" s="3370" t="s">
        <v>1772</v>
      </c>
      <c r="AC4" s="3369" t="s">
        <v>1773</v>
      </c>
    </row>
    <row r="5" spans="1:29" ht="15">
      <c r="A5" s="347"/>
      <c r="B5" s="348"/>
      <c r="C5" s="3389" t="s">
        <v>1673</v>
      </c>
      <c r="D5" s="3390"/>
      <c r="E5" s="3396" t="s">
        <v>1674</v>
      </c>
      <c r="F5" s="3397"/>
      <c r="G5" s="3389" t="s">
        <v>1675</v>
      </c>
      <c r="H5" s="3390"/>
      <c r="I5" s="3389" t="s">
        <v>1676</v>
      </c>
      <c r="J5" s="3390"/>
      <c r="K5" s="536"/>
      <c r="L5" s="2477"/>
      <c r="M5" s="2478"/>
      <c r="N5" s="2478"/>
      <c r="O5" s="2478"/>
      <c r="P5" s="3377"/>
      <c r="Q5" s="3378"/>
      <c r="R5" s="3383"/>
      <c r="S5" s="3384"/>
      <c r="T5" s="3383"/>
      <c r="U5" s="3384"/>
      <c r="V5" s="3368"/>
      <c r="W5" s="3368"/>
      <c r="X5" s="1259"/>
      <c r="Y5" s="3383"/>
      <c r="Z5" s="3384"/>
      <c r="AA5" s="3370"/>
      <c r="AB5" s="3370"/>
      <c r="AC5" s="3370"/>
    </row>
    <row r="6" spans="1:29" ht="15.75" thickBot="1">
      <c r="A6" s="349"/>
      <c r="B6" s="350"/>
      <c r="C6" s="3452" t="s">
        <v>1918</v>
      </c>
      <c r="D6" s="3453"/>
      <c r="E6" s="3454" t="s">
        <v>1918</v>
      </c>
      <c r="F6" s="3455"/>
      <c r="G6" s="3452" t="s">
        <v>1918</v>
      </c>
      <c r="H6" s="3453"/>
      <c r="I6" s="3452" t="s">
        <v>1918</v>
      </c>
      <c r="J6" s="3453"/>
      <c r="K6" s="536" t="s">
        <v>1678</v>
      </c>
      <c r="L6" s="2477"/>
      <c r="M6" s="2478"/>
      <c r="N6" s="2478"/>
      <c r="O6" s="2478"/>
      <c r="P6" s="3379"/>
      <c r="Q6" s="3380"/>
      <c r="R6" s="3383"/>
      <c r="S6" s="3384"/>
      <c r="T6" s="3385"/>
      <c r="U6" s="3386"/>
      <c r="V6" s="3368"/>
      <c r="W6" s="3368"/>
      <c r="X6" s="1259"/>
      <c r="Y6" s="3385"/>
      <c r="Z6" s="3386"/>
      <c r="AA6" s="3371"/>
      <c r="AB6" s="3371"/>
      <c r="AC6" s="3371"/>
    </row>
    <row r="7" spans="1:29" s="102" customFormat="1" ht="15.75" thickBot="1">
      <c r="A7" s="351" t="s">
        <v>1679</v>
      </c>
      <c r="B7" s="352"/>
      <c r="C7" s="353">
        <f>'数据-取费表'!B2</f>
        <v>45595</v>
      </c>
      <c r="D7" s="354">
        <v>100</v>
      </c>
      <c r="E7" s="355"/>
      <c r="F7" s="356">
        <f>SUMIF(65:65,YEAR(E7)&amp;"-"&amp;INT((MONTH(E7)+2)/3),66:66)</f>
        <v>0</v>
      </c>
      <c r="G7" s="1814"/>
      <c r="H7" s="354">
        <f>SUMIF(65:65,YEAR(G7)&amp;"-"&amp;INT((MONTH(G7)+2)/3),66:66)</f>
        <v>0</v>
      </c>
      <c r="I7" s="1814"/>
      <c r="J7" s="354">
        <f>SUMIF(65:65,YEAR(I7)&amp;"-"&amp;INT((MONTH(I7)+2)/3),66:66)</f>
        <v>0</v>
      </c>
      <c r="K7" s="38"/>
      <c r="L7" s="2479"/>
      <c r="M7" s="2431"/>
      <c r="N7" s="2431"/>
      <c r="O7" s="2431"/>
      <c r="P7" s="3391" t="s">
        <v>1680</v>
      </c>
      <c r="Q7" s="3393"/>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1" t="s">
        <v>1683</v>
      </c>
      <c r="Q8" s="3392"/>
      <c r="R8" s="663" t="s">
        <v>14</v>
      </c>
      <c r="S8" s="664">
        <f t="shared" si="0"/>
        <v>0</v>
      </c>
      <c r="T8" s="663" t="s">
        <v>14</v>
      </c>
      <c r="U8" s="664">
        <f t="shared" si="1"/>
        <v>0</v>
      </c>
      <c r="V8" s="663" t="s">
        <v>14</v>
      </c>
      <c r="W8" s="664">
        <f t="shared" si="2"/>
        <v>0</v>
      </c>
      <c r="X8" s="665"/>
      <c r="Y8" s="3391" t="s">
        <v>1683</v>
      </c>
      <c r="Z8" s="3392"/>
      <c r="AA8" s="50" t="e">
        <f t="shared" ref="AA8:AA40" si="3">D8/F8</f>
        <v>#DIV/0!</v>
      </c>
      <c r="AB8" s="50" t="e">
        <f t="shared" ref="AB8:AB40" si="4">D8/H8</f>
        <v>#DIV/0!</v>
      </c>
      <c r="AC8" s="50" t="e">
        <f t="shared" ref="AC8:AC40" si="5">D8/J8</f>
        <v>#DIV/0!</v>
      </c>
    </row>
    <row r="9" spans="1:29" s="102" customFormat="1">
      <c r="A9" s="358"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363"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0"/>
      <c r="M10" s="2481"/>
      <c r="N10" s="2481"/>
      <c r="O10" s="2532"/>
      <c r="P10" s="3363"/>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2"/>
      <c r="M11" s="2478"/>
      <c r="N11" s="2478"/>
      <c r="O11" s="2533"/>
      <c r="P11" s="3363"/>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9"/>
      <c r="M12" s="2431"/>
      <c r="N12" s="2431"/>
      <c r="O12" s="2531"/>
      <c r="P12" s="3363"/>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3"/>
      <c r="M13" s="2478"/>
      <c r="N13" s="2478"/>
      <c r="O13" s="2533"/>
      <c r="P13" s="3363"/>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2">
        <v>111</v>
      </c>
      <c r="C14" s="375"/>
      <c r="D14" s="376">
        <v>100</v>
      </c>
      <c r="E14" s="479"/>
      <c r="F14" s="376">
        <f>SUMIF(81:81,E14,82:82)-SUMIF(81:81,C14,82:82)+100</f>
        <v>100</v>
      </c>
      <c r="G14" s="593"/>
      <c r="H14" s="376">
        <f>SUMIF(81:81,G14,82:82)-SUMIF(81:81,C14,82:82)+100</f>
        <v>100</v>
      </c>
      <c r="I14" s="479"/>
      <c r="J14" s="376">
        <f>SUMIF(81:81,I14,82:82)-SUMIF(81:81,C14,82:82)+100</f>
        <v>100</v>
      </c>
      <c r="K14" s="591"/>
      <c r="L14" s="2483"/>
      <c r="M14" s="2478"/>
      <c r="N14" s="2478"/>
      <c r="O14" s="2533"/>
      <c r="P14" s="3363"/>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57">
      <c r="A15" s="378" t="s">
        <v>1690</v>
      </c>
      <c r="B15" s="553" t="s">
        <v>1919</v>
      </c>
      <c r="C15" s="1811"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3"/>
      <c r="M15" s="2478"/>
      <c r="N15" s="2478"/>
      <c r="O15" s="2533"/>
      <c r="P15" s="3364" t="s">
        <v>1691</v>
      </c>
      <c r="Q15" s="1257" t="str">
        <f t="shared" si="6"/>
        <v>产业集聚程度</v>
      </c>
      <c r="R15" s="666" t="s">
        <v>14</v>
      </c>
      <c r="S15" s="667">
        <f t="shared" si="0"/>
        <v>100</v>
      </c>
      <c r="T15" s="666" t="s">
        <v>14</v>
      </c>
      <c r="U15" s="667">
        <f t="shared" si="1"/>
        <v>100</v>
      </c>
      <c r="V15" s="666" t="s">
        <v>14</v>
      </c>
      <c r="W15" s="667">
        <f t="shared" si="2"/>
        <v>100</v>
      </c>
      <c r="X15" s="1259"/>
      <c r="Y15" s="3364" t="s">
        <v>1691</v>
      </c>
      <c r="Z15" s="1258" t="str">
        <f t="shared" si="7"/>
        <v>产业集聚程度</v>
      </c>
      <c r="AA15" s="1258">
        <f t="shared" si="3"/>
        <v>1</v>
      </c>
      <c r="AB15" s="1258">
        <f t="shared" si="4"/>
        <v>1</v>
      </c>
      <c r="AC15" s="1258">
        <f t="shared" si="5"/>
        <v>1</v>
      </c>
    </row>
    <row r="16" spans="1:29" ht="15">
      <c r="A16" s="366"/>
      <c r="B16" s="554"/>
      <c r="C16" s="385"/>
      <c r="D16" s="386"/>
      <c r="E16" s="1751"/>
      <c r="F16" s="386"/>
      <c r="G16" s="1751"/>
      <c r="H16" s="388"/>
      <c r="I16" s="1751"/>
      <c r="J16" s="386"/>
      <c r="K16" s="591"/>
      <c r="L16" s="2483"/>
      <c r="M16" s="2478"/>
      <c r="N16" s="2478"/>
      <c r="O16" s="2533"/>
      <c r="P16" s="3365"/>
      <c r="Q16" s="1257"/>
      <c r="R16" s="666"/>
      <c r="S16" s="667"/>
      <c r="T16" s="666"/>
      <c r="U16" s="667"/>
      <c r="V16" s="666"/>
      <c r="W16" s="667"/>
      <c r="X16" s="1259"/>
      <c r="Y16" s="3365"/>
      <c r="Z16" s="1258"/>
      <c r="AA16" s="1258">
        <v>1</v>
      </c>
      <c r="AB16" s="1258">
        <v>1</v>
      </c>
      <c r="AC16" s="1258">
        <v>1</v>
      </c>
    </row>
    <row r="17" spans="1:29" ht="85.5">
      <c r="A17" s="366"/>
      <c r="B17" s="555" t="s">
        <v>1833</v>
      </c>
      <c r="C17" s="1747"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3"/>
      <c r="M17" s="2478"/>
      <c r="N17" s="2478"/>
      <c r="O17" s="2533"/>
      <c r="P17" s="3365"/>
      <c r="Q17" s="1257" t="str">
        <f>B17</f>
        <v>交通便捷度</v>
      </c>
      <c r="R17" s="666" t="s">
        <v>14</v>
      </c>
      <c r="S17" s="667">
        <f>F17</f>
        <v>100</v>
      </c>
      <c r="T17" s="666" t="s">
        <v>14</v>
      </c>
      <c r="U17" s="667">
        <f>H17</f>
        <v>100</v>
      </c>
      <c r="V17" s="666" t="s">
        <v>14</v>
      </c>
      <c r="W17" s="667">
        <f>J17</f>
        <v>100</v>
      </c>
      <c r="X17" s="1259"/>
      <c r="Y17" s="3365"/>
      <c r="Z17" s="1258" t="str">
        <f>Q17</f>
        <v>交通便捷度</v>
      </c>
      <c r="AA17" s="1258">
        <f t="shared" si="3"/>
        <v>1</v>
      </c>
      <c r="AB17" s="1258">
        <f t="shared" si="4"/>
        <v>1</v>
      </c>
      <c r="AC17" s="1258">
        <f t="shared" si="5"/>
        <v>1</v>
      </c>
    </row>
    <row r="18" spans="1:29" ht="15">
      <c r="A18" s="366"/>
      <c r="B18" s="400"/>
      <c r="C18" s="385"/>
      <c r="D18" s="386"/>
      <c r="E18" s="1745"/>
      <c r="F18" s="386"/>
      <c r="G18" s="1745"/>
      <c r="H18" s="386"/>
      <c r="I18" s="1744"/>
      <c r="J18" s="386"/>
      <c r="K18" s="591"/>
      <c r="L18" s="2483"/>
      <c r="M18" s="2478"/>
      <c r="N18" s="2478"/>
      <c r="O18" s="2533"/>
      <c r="P18" s="3365"/>
      <c r="Q18" s="1257"/>
      <c r="R18" s="666"/>
      <c r="S18" s="667"/>
      <c r="T18" s="666"/>
      <c r="U18" s="667"/>
      <c r="V18" s="666"/>
      <c r="W18" s="667"/>
      <c r="X18" s="1259"/>
      <c r="Y18" s="3365"/>
      <c r="Z18" s="1258"/>
      <c r="AA18" s="1258">
        <v>1</v>
      </c>
      <c r="AB18" s="1258">
        <v>1</v>
      </c>
      <c r="AC18" s="1258">
        <v>1</v>
      </c>
    </row>
    <row r="19" spans="1:29" ht="15">
      <c r="A19" s="366"/>
      <c r="B19" s="555" t="s">
        <v>1870</v>
      </c>
      <c r="C19" s="1747">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3"/>
      <c r="M19" s="2478"/>
      <c r="N19" s="2478"/>
      <c r="O19" s="2533"/>
      <c r="P19" s="3365"/>
      <c r="Q19" s="1257" t="str">
        <f t="shared" ref="Q19:Q33" si="8">B19</f>
        <v>区域土地利用方向</v>
      </c>
      <c r="R19" s="666" t="s">
        <v>14</v>
      </c>
      <c r="S19" s="667">
        <f>F19</f>
        <v>100</v>
      </c>
      <c r="T19" s="666" t="s">
        <v>14</v>
      </c>
      <c r="U19" s="667">
        <f>H19</f>
        <v>100</v>
      </c>
      <c r="V19" s="666" t="s">
        <v>14</v>
      </c>
      <c r="W19" s="667">
        <f>J19</f>
        <v>100</v>
      </c>
      <c r="X19" s="1259"/>
      <c r="Y19" s="3365"/>
      <c r="Z19" s="1258" t="str">
        <f>Q19</f>
        <v>区域土地利用方向</v>
      </c>
      <c r="AA19" s="1258">
        <f t="shared" si="3"/>
        <v>1</v>
      </c>
      <c r="AB19" s="1258">
        <f t="shared" si="4"/>
        <v>1</v>
      </c>
      <c r="AC19" s="1258">
        <f t="shared" si="5"/>
        <v>1</v>
      </c>
    </row>
    <row r="20" spans="1:29" ht="15">
      <c r="A20" s="347"/>
      <c r="B20" s="400"/>
      <c r="C20" s="385"/>
      <c r="D20" s="386"/>
      <c r="E20" s="1745"/>
      <c r="F20" s="386"/>
      <c r="G20" s="1745"/>
      <c r="H20" s="386"/>
      <c r="I20" s="1745"/>
      <c r="J20" s="386"/>
      <c r="K20" s="692"/>
      <c r="L20" s="2483"/>
      <c r="M20" s="2478"/>
      <c r="N20" s="2478"/>
      <c r="O20" s="2533"/>
      <c r="P20" s="3365"/>
      <c r="Q20" s="1257"/>
      <c r="R20" s="666"/>
      <c r="S20" s="667"/>
      <c r="T20" s="666"/>
      <c r="U20" s="667"/>
      <c r="V20" s="666"/>
      <c r="W20" s="667"/>
      <c r="X20" s="1259"/>
      <c r="Y20" s="3365"/>
      <c r="Z20" s="1258"/>
      <c r="AA20" s="1258"/>
      <c r="AB20" s="1258"/>
      <c r="AC20" s="1258"/>
    </row>
    <row r="21" spans="1:29" ht="71.25">
      <c r="A21" s="347"/>
      <c r="B21" s="555" t="s">
        <v>1920</v>
      </c>
      <c r="C21" s="1747"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3"/>
      <c r="M21" s="2478"/>
      <c r="N21" s="2478"/>
      <c r="O21" s="2533"/>
      <c r="P21" s="3365"/>
      <c r="Q21" s="1257" t="str">
        <f t="shared" si="8"/>
        <v>环境状况</v>
      </c>
      <c r="R21" s="666" t="s">
        <v>14</v>
      </c>
      <c r="S21" s="667">
        <f>F21</f>
        <v>100</v>
      </c>
      <c r="T21" s="666" t="s">
        <v>14</v>
      </c>
      <c r="U21" s="667">
        <f>H21</f>
        <v>100</v>
      </c>
      <c r="V21" s="666" t="s">
        <v>14</v>
      </c>
      <c r="W21" s="667">
        <f>J21</f>
        <v>100</v>
      </c>
      <c r="X21" s="1259"/>
      <c r="Y21" s="3365"/>
      <c r="Z21" s="1258" t="str">
        <f>Q21</f>
        <v>环境状况</v>
      </c>
      <c r="AA21" s="1258">
        <f t="shared" si="3"/>
        <v>1</v>
      </c>
      <c r="AB21" s="1258">
        <f t="shared" si="4"/>
        <v>1</v>
      </c>
      <c r="AC21" s="1258">
        <f t="shared" si="5"/>
        <v>1</v>
      </c>
    </row>
    <row r="22" spans="1:29" ht="15">
      <c r="A22" s="347"/>
      <c r="B22" s="400"/>
      <c r="C22" s="385"/>
      <c r="D22" s="386"/>
      <c r="E22" s="1751"/>
      <c r="F22" s="386"/>
      <c r="G22" s="1751"/>
      <c r="H22" s="386"/>
      <c r="I22" s="385"/>
      <c r="J22" s="386"/>
      <c r="K22" s="591"/>
      <c r="L22" s="2483"/>
      <c r="M22" s="2478"/>
      <c r="N22" s="2478"/>
      <c r="O22" s="2533"/>
      <c r="P22" s="3365"/>
      <c r="Q22" s="1257"/>
      <c r="R22" s="666"/>
      <c r="S22" s="667"/>
      <c r="T22" s="666"/>
      <c r="U22" s="667"/>
      <c r="V22" s="666"/>
      <c r="W22" s="667"/>
      <c r="X22" s="1259"/>
      <c r="Y22" s="3365"/>
      <c r="Z22" s="1258"/>
      <c r="AA22" s="1258">
        <v>1</v>
      </c>
      <c r="AB22" s="1258">
        <v>1</v>
      </c>
      <c r="AC22" s="1258">
        <v>1</v>
      </c>
    </row>
    <row r="23" spans="1:29" s="102" customFormat="1" ht="42.75">
      <c r="A23" s="442"/>
      <c r="B23" s="556" t="s">
        <v>1778</v>
      </c>
      <c r="C23" s="1747"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9"/>
      <c r="M23" s="2431"/>
      <c r="N23" s="2431"/>
      <c r="O23" s="2531"/>
      <c r="P23" s="3365"/>
      <c r="Q23" s="529" t="str">
        <f t="shared" si="8"/>
        <v>公共配套设施</v>
      </c>
      <c r="R23" s="663" t="s">
        <v>14</v>
      </c>
      <c r="S23" s="664">
        <f>F23</f>
        <v>100</v>
      </c>
      <c r="T23" s="663" t="s">
        <v>14</v>
      </c>
      <c r="U23" s="664">
        <f>H23</f>
        <v>100</v>
      </c>
      <c r="V23" s="663" t="s">
        <v>14</v>
      </c>
      <c r="W23" s="664">
        <f>J23</f>
        <v>100</v>
      </c>
      <c r="X23" s="665"/>
      <c r="Y23" s="3365"/>
      <c r="Z23" s="50" t="str">
        <f>Q23</f>
        <v>公共配套设施</v>
      </c>
      <c r="AA23" s="1258">
        <f>D23/F23</f>
        <v>1</v>
      </c>
      <c r="AB23" s="1258">
        <f>D23/H23</f>
        <v>1</v>
      </c>
      <c r="AC23" s="1258">
        <f>D23/J23</f>
        <v>1</v>
      </c>
    </row>
    <row r="24" spans="1:29" s="102" customFormat="1" ht="15">
      <c r="A24" s="442"/>
      <c r="B24" s="400"/>
      <c r="C24" s="1818"/>
      <c r="D24" s="386"/>
      <c r="E24" s="1751"/>
      <c r="F24" s="386"/>
      <c r="G24" s="1751"/>
      <c r="H24" s="386"/>
      <c r="I24" s="385"/>
      <c r="J24" s="386"/>
      <c r="K24" s="591"/>
      <c r="L24" s="2479"/>
      <c r="M24" s="2431"/>
      <c r="N24" s="2431"/>
      <c r="O24" s="2531"/>
      <c r="P24" s="3365"/>
      <c r="Q24" s="529"/>
      <c r="R24" s="663"/>
      <c r="S24" s="664"/>
      <c r="T24" s="663"/>
      <c r="U24" s="664"/>
      <c r="V24" s="663"/>
      <c r="W24" s="664"/>
      <c r="X24" s="665"/>
      <c r="Y24" s="3365"/>
      <c r="Z24" s="50"/>
      <c r="AA24" s="50">
        <v>1</v>
      </c>
      <c r="AB24" s="50">
        <v>1</v>
      </c>
      <c r="AC24" s="50">
        <v>1</v>
      </c>
    </row>
    <row r="25" spans="1:29" s="102" customFormat="1" ht="28.5">
      <c r="A25" s="442"/>
      <c r="B25" s="556" t="s">
        <v>1779</v>
      </c>
      <c r="C25" s="1747"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9"/>
      <c r="M25" s="2431"/>
      <c r="N25" s="2431"/>
      <c r="O25" s="2531"/>
      <c r="P25" s="3365"/>
      <c r="Q25" s="529" t="str">
        <f t="shared" ref="Q25" si="9">B25</f>
        <v>基础设施水平</v>
      </c>
      <c r="R25" s="663" t="s">
        <v>14</v>
      </c>
      <c r="S25" s="664">
        <f>F25</f>
        <v>100</v>
      </c>
      <c r="T25" s="663" t="s">
        <v>14</v>
      </c>
      <c r="U25" s="664">
        <f>H25</f>
        <v>100</v>
      </c>
      <c r="V25" s="663" t="s">
        <v>14</v>
      </c>
      <c r="W25" s="664">
        <f>J25</f>
        <v>100</v>
      </c>
      <c r="X25" s="665"/>
      <c r="Y25" s="3365"/>
      <c r="Z25" s="50" t="str">
        <f>Q25</f>
        <v>基础设施水平</v>
      </c>
      <c r="AA25" s="1258">
        <f>D25/F25</f>
        <v>1</v>
      </c>
      <c r="AB25" s="1258">
        <f>D25/H25</f>
        <v>1</v>
      </c>
      <c r="AC25" s="1258">
        <f>D25/J25</f>
        <v>1</v>
      </c>
    </row>
    <row r="26" spans="1:29" s="102" customFormat="1" ht="15">
      <c r="A26" s="442"/>
      <c r="B26" s="400"/>
      <c r="C26" s="1818"/>
      <c r="D26" s="386"/>
      <c r="E26" s="1819"/>
      <c r="F26" s="386"/>
      <c r="G26" s="1819"/>
      <c r="H26" s="386"/>
      <c r="I26" s="1819"/>
      <c r="J26" s="386"/>
      <c r="K26" s="591"/>
      <c r="L26" s="2479"/>
      <c r="M26" s="2431"/>
      <c r="N26" s="2431"/>
      <c r="O26" s="2531"/>
      <c r="P26" s="3365"/>
      <c r="Q26" s="529"/>
      <c r="R26" s="663"/>
      <c r="S26" s="664"/>
      <c r="T26" s="663"/>
      <c r="U26" s="664"/>
      <c r="V26" s="663"/>
      <c r="W26" s="664"/>
      <c r="X26" s="665"/>
      <c r="Y26" s="336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3"/>
      <c r="M27" s="2478"/>
      <c r="N27" s="2478"/>
      <c r="O27" s="2533"/>
      <c r="P27" s="3365"/>
      <c r="Q27" s="1257" t="str">
        <f t="shared" si="8"/>
        <v>临街状况</v>
      </c>
      <c r="R27" s="666" t="s">
        <v>14</v>
      </c>
      <c r="S27" s="667">
        <f t="shared" ref="S27:S40" si="10">F27</f>
        <v>100</v>
      </c>
      <c r="T27" s="666" t="s">
        <v>14</v>
      </c>
      <c r="U27" s="667">
        <f t="shared" ref="U27:U40" si="11">H27</f>
        <v>100</v>
      </c>
      <c r="V27" s="666" t="s">
        <v>14</v>
      </c>
      <c r="W27" s="667">
        <f t="shared" ref="W27:W40" si="12">J27</f>
        <v>100</v>
      </c>
      <c r="X27" s="1259"/>
      <c r="Y27" s="3365"/>
      <c r="Z27" s="1258" t="str">
        <f t="shared" ref="Z27:Z40" si="13">Q27</f>
        <v>临街状况</v>
      </c>
      <c r="AA27" s="1258">
        <f t="shared" si="3"/>
        <v>1</v>
      </c>
      <c r="AB27" s="1258">
        <f t="shared" si="4"/>
        <v>1</v>
      </c>
      <c r="AC27" s="1258">
        <f t="shared" si="5"/>
        <v>1</v>
      </c>
    </row>
    <row r="28" spans="1:29" ht="27">
      <c r="A28" s="366"/>
      <c r="B28" s="556" t="s">
        <v>1815</v>
      </c>
      <c r="C28" s="1830">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3"/>
      <c r="M28" s="2478"/>
      <c r="N28" s="2478"/>
      <c r="O28" s="2533"/>
      <c r="P28" s="3365"/>
      <c r="Q28" s="1257" t="str">
        <f t="shared" si="8"/>
        <v>毗邻道路的类型与等级</v>
      </c>
      <c r="R28" s="666" t="s">
        <v>14</v>
      </c>
      <c r="S28" s="667">
        <f t="shared" si="10"/>
        <v>100</v>
      </c>
      <c r="T28" s="666" t="s">
        <v>14</v>
      </c>
      <c r="U28" s="667">
        <f t="shared" si="11"/>
        <v>100</v>
      </c>
      <c r="V28" s="666" t="s">
        <v>14</v>
      </c>
      <c r="W28" s="667">
        <f t="shared" si="12"/>
        <v>100</v>
      </c>
      <c r="X28" s="1259"/>
      <c r="Y28" s="3365"/>
      <c r="Z28" s="1258" t="str">
        <f t="shared" si="13"/>
        <v>毗邻道路的类型与等级</v>
      </c>
      <c r="AA28" s="1258">
        <f t="shared" si="3"/>
        <v>1</v>
      </c>
      <c r="AB28" s="1258">
        <f t="shared" si="4"/>
        <v>1</v>
      </c>
      <c r="AC28" s="1258">
        <f t="shared" si="5"/>
        <v>1</v>
      </c>
    </row>
    <row r="29" spans="1:29" ht="15">
      <c r="A29" s="366"/>
      <c r="B29" s="400"/>
      <c r="C29" s="385"/>
      <c r="D29" s="386"/>
      <c r="E29" s="1751"/>
      <c r="F29" s="386"/>
      <c r="G29" s="1751"/>
      <c r="H29" s="386"/>
      <c r="I29" s="1751"/>
      <c r="J29" s="386"/>
      <c r="K29" s="538"/>
      <c r="L29" s="2483"/>
      <c r="M29" s="2478"/>
      <c r="N29" s="2478"/>
      <c r="O29" s="2533"/>
      <c r="P29" s="3365"/>
      <c r="Q29" s="1257"/>
      <c r="R29" s="666"/>
      <c r="S29" s="667"/>
      <c r="T29" s="666"/>
      <c r="U29" s="667"/>
      <c r="V29" s="666"/>
      <c r="W29" s="667"/>
      <c r="X29" s="1259"/>
      <c r="Y29" s="3365"/>
      <c r="Z29" s="1258"/>
      <c r="AA29" s="1258">
        <v>1</v>
      </c>
      <c r="AB29" s="1258">
        <v>1</v>
      </c>
      <c r="AC29" s="1258">
        <v>1</v>
      </c>
    </row>
    <row r="30" spans="1:29" ht="15">
      <c r="A30" s="366"/>
      <c r="B30" s="118" t="s">
        <v>1872</v>
      </c>
      <c r="C30" s="1063">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3"/>
      <c r="M30" s="2478"/>
      <c r="N30" s="2478"/>
      <c r="O30" s="2533"/>
      <c r="P30" s="3365"/>
      <c r="Q30" s="1257" t="str">
        <f t="shared" si="8"/>
        <v>土地级别</v>
      </c>
      <c r="R30" s="666" t="s">
        <v>14</v>
      </c>
      <c r="S30" s="667">
        <f t="shared" si="10"/>
        <v>100</v>
      </c>
      <c r="T30" s="666" t="s">
        <v>14</v>
      </c>
      <c r="U30" s="667">
        <f t="shared" si="11"/>
        <v>100</v>
      </c>
      <c r="V30" s="666" t="s">
        <v>14</v>
      </c>
      <c r="W30" s="667">
        <f t="shared" si="12"/>
        <v>100</v>
      </c>
      <c r="X30" s="1259"/>
      <c r="Y30" s="3365"/>
      <c r="Z30" s="1258" t="str">
        <f t="shared" si="13"/>
        <v>土地级别</v>
      </c>
      <c r="AA30" s="1258">
        <f t="shared" si="3"/>
        <v>1</v>
      </c>
      <c r="AB30" s="1258">
        <f t="shared" si="4"/>
        <v>1</v>
      </c>
      <c r="AC30" s="1258">
        <f t="shared" si="5"/>
        <v>1</v>
      </c>
    </row>
    <row r="31" spans="1:29" ht="15">
      <c r="A31" s="347"/>
      <c r="B31" s="1093">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365"/>
      <c r="Q31" s="1257">
        <f t="shared" si="8"/>
        <v>111</v>
      </c>
      <c r="R31" s="666" t="s">
        <v>14</v>
      </c>
      <c r="S31" s="667">
        <f t="shared" si="10"/>
        <v>100</v>
      </c>
      <c r="T31" s="666" t="s">
        <v>14</v>
      </c>
      <c r="U31" s="667">
        <f t="shared" si="11"/>
        <v>100</v>
      </c>
      <c r="V31" s="666" t="s">
        <v>14</v>
      </c>
      <c r="W31" s="667">
        <f t="shared" si="12"/>
        <v>100</v>
      </c>
      <c r="X31" s="1259"/>
      <c r="Y31" s="3365"/>
      <c r="Z31" s="1258">
        <f t="shared" si="13"/>
        <v>111</v>
      </c>
      <c r="AA31" s="1258">
        <f t="shared" si="3"/>
        <v>1</v>
      </c>
      <c r="AB31" s="1258">
        <f t="shared" si="4"/>
        <v>1</v>
      </c>
      <c r="AC31" s="1258">
        <f t="shared" si="5"/>
        <v>1</v>
      </c>
    </row>
    <row r="32" spans="1:29" ht="15">
      <c r="A32" s="594"/>
      <c r="B32" s="1831">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3"/>
      <c r="M32" s="2478"/>
      <c r="N32" s="2478"/>
      <c r="O32" s="2533"/>
      <c r="P32" s="3366" t="s">
        <v>1696</v>
      </c>
      <c r="Q32" s="1257">
        <f t="shared" si="8"/>
        <v>111</v>
      </c>
      <c r="R32" s="666" t="s">
        <v>14</v>
      </c>
      <c r="S32" s="667">
        <f t="shared" si="10"/>
        <v>100</v>
      </c>
      <c r="T32" s="666" t="s">
        <v>14</v>
      </c>
      <c r="U32" s="667">
        <f t="shared" si="11"/>
        <v>100</v>
      </c>
      <c r="V32" s="666" t="s">
        <v>14</v>
      </c>
      <c r="W32" s="667">
        <f t="shared" si="12"/>
        <v>100</v>
      </c>
      <c r="X32" s="1259"/>
      <c r="Y32" s="3367" t="s">
        <v>1696</v>
      </c>
      <c r="Z32" s="1258">
        <f t="shared" si="13"/>
        <v>111</v>
      </c>
      <c r="AA32" s="1258">
        <f t="shared" si="3"/>
        <v>1</v>
      </c>
      <c r="AB32" s="1258">
        <f t="shared" si="4"/>
        <v>1</v>
      </c>
      <c r="AC32" s="1258">
        <f t="shared" si="5"/>
        <v>1</v>
      </c>
    </row>
    <row r="33" spans="1:31" s="407" customFormat="1" ht="15.75" thickBot="1">
      <c r="A33" s="595"/>
      <c r="B33" s="1832">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2"/>
      <c r="M33" s="2484"/>
      <c r="N33" s="2484"/>
      <c r="O33" s="2534"/>
      <c r="P33" s="3367"/>
      <c r="Q33" s="1257">
        <f t="shared" si="8"/>
        <v>111</v>
      </c>
      <c r="R33" s="668" t="s">
        <v>14</v>
      </c>
      <c r="S33" s="669">
        <f t="shared" si="10"/>
        <v>100</v>
      </c>
      <c r="T33" s="668" t="s">
        <v>14</v>
      </c>
      <c r="U33" s="669">
        <f t="shared" si="11"/>
        <v>100</v>
      </c>
      <c r="V33" s="668" t="s">
        <v>14</v>
      </c>
      <c r="W33" s="669">
        <f t="shared" si="12"/>
        <v>100</v>
      </c>
      <c r="X33" s="670"/>
      <c r="Y33" s="3367"/>
      <c r="Z33" s="671">
        <f t="shared" si="13"/>
        <v>111</v>
      </c>
      <c r="AA33" s="1258">
        <f t="shared" si="3"/>
        <v>1</v>
      </c>
      <c r="AB33" s="1258">
        <f t="shared" si="4"/>
        <v>1</v>
      </c>
      <c r="AC33" s="1258">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3"/>
      <c r="M34" s="2478"/>
      <c r="N34" s="2478"/>
      <c r="O34" s="2533"/>
      <c r="P34" s="3367"/>
      <c r="Q34" s="1257" t="str">
        <f>B34</f>
        <v>宗地面积</v>
      </c>
      <c r="R34" s="666" t="s">
        <v>14</v>
      </c>
      <c r="S34" s="667" t="e">
        <f t="shared" si="10"/>
        <v>#N/A</v>
      </c>
      <c r="T34" s="666" t="s">
        <v>14</v>
      </c>
      <c r="U34" s="667" t="e">
        <f t="shared" si="11"/>
        <v>#N/A</v>
      </c>
      <c r="V34" s="666" t="s">
        <v>14</v>
      </c>
      <c r="W34" s="667" t="e">
        <f t="shared" si="12"/>
        <v>#N/A</v>
      </c>
      <c r="X34" s="1259"/>
      <c r="Y34" s="3367"/>
      <c r="Z34" s="1258" t="str">
        <f t="shared" si="13"/>
        <v>宗地面积</v>
      </c>
      <c r="AA34" s="1258" t="e">
        <f t="shared" si="3"/>
        <v>#N/A</v>
      </c>
      <c r="AB34" s="1258" t="e">
        <f t="shared" si="4"/>
        <v>#N/A</v>
      </c>
      <c r="AC34" s="1258" t="e">
        <f t="shared" si="5"/>
        <v>#N/A</v>
      </c>
    </row>
    <row r="35" spans="1:31" ht="15">
      <c r="A35" s="408"/>
      <c r="B35" s="363" t="s">
        <v>1874</v>
      </c>
      <c r="C35" s="1753"/>
      <c r="D35" s="373">
        <v>100</v>
      </c>
      <c r="E35" s="1753"/>
      <c r="F35" s="373">
        <f>SUMIF(110:110,E35,111:111)-SUMIF(110:110,C35,111:111)+100</f>
        <v>100</v>
      </c>
      <c r="G35" s="1753"/>
      <c r="H35" s="373">
        <f>SUMIF(110:110,G35,111:111)-SUMIF(110:110,C35,111:111)+100</f>
        <v>100</v>
      </c>
      <c r="I35" s="1753"/>
      <c r="J35" s="373">
        <f>SUMIF(110:110,I35,111:111)-SUMIF(110:110,C35,111:111)+100</f>
        <v>100</v>
      </c>
      <c r="K35" s="537"/>
      <c r="L35" s="2483"/>
      <c r="M35" s="2478"/>
      <c r="N35" s="2478"/>
      <c r="O35" s="2533"/>
      <c r="P35" s="3367"/>
      <c r="Q35" s="1257" t="str">
        <f t="shared" ref="Q35:Q40" si="14">B35</f>
        <v>宗地形状</v>
      </c>
      <c r="R35" s="666" t="s">
        <v>14</v>
      </c>
      <c r="S35" s="667">
        <f t="shared" si="10"/>
        <v>100</v>
      </c>
      <c r="T35" s="666" t="s">
        <v>14</v>
      </c>
      <c r="U35" s="667">
        <f t="shared" si="11"/>
        <v>100</v>
      </c>
      <c r="V35" s="666" t="s">
        <v>14</v>
      </c>
      <c r="W35" s="667">
        <f t="shared" si="12"/>
        <v>100</v>
      </c>
      <c r="X35" s="1259"/>
      <c r="Y35" s="3367"/>
      <c r="Z35" s="1258" t="str">
        <f t="shared" si="13"/>
        <v>宗地形状</v>
      </c>
      <c r="AA35" s="1258">
        <f t="shared" si="3"/>
        <v>1</v>
      </c>
      <c r="AB35" s="1258">
        <f t="shared" si="4"/>
        <v>1</v>
      </c>
      <c r="AC35" s="1258">
        <f t="shared" si="5"/>
        <v>1</v>
      </c>
    </row>
    <row r="36" spans="1:31" s="102" customFormat="1" ht="15">
      <c r="A36" s="409"/>
      <c r="B36" s="363" t="s">
        <v>1876</v>
      </c>
      <c r="C36" s="1820"/>
      <c r="D36" s="118">
        <v>100</v>
      </c>
      <c r="E36" s="1820"/>
      <c r="F36" s="373">
        <f>SUMIF(112:112,E36,113:113)-SUMIF(112:112,C36,113:113)+100</f>
        <v>100</v>
      </c>
      <c r="G36" s="1820"/>
      <c r="H36" s="373">
        <f>SUMIF(112:112,G36,113:113)-SUMIF(112:112,C36,113:113)+100</f>
        <v>100</v>
      </c>
      <c r="I36" s="1820"/>
      <c r="J36" s="373">
        <f>SUMIF(112:112,I36,113:113)-SUMIF(112:112,C36,113:113)+100</f>
        <v>100</v>
      </c>
      <c r="K36" s="537"/>
      <c r="L36" s="2479"/>
      <c r="M36" s="2431"/>
      <c r="N36" s="2431"/>
      <c r="O36" s="2531"/>
      <c r="P36" s="3367"/>
      <c r="Q36" s="1257" t="str">
        <f t="shared" si="14"/>
        <v>宗地开发程度</v>
      </c>
      <c r="R36" s="663" t="s">
        <v>14</v>
      </c>
      <c r="S36" s="664">
        <f t="shared" si="10"/>
        <v>100</v>
      </c>
      <c r="T36" s="663" t="s">
        <v>14</v>
      </c>
      <c r="U36" s="664">
        <f t="shared" si="11"/>
        <v>100</v>
      </c>
      <c r="V36" s="663" t="s">
        <v>14</v>
      </c>
      <c r="W36" s="664">
        <f t="shared" si="12"/>
        <v>100</v>
      </c>
      <c r="X36" s="665"/>
      <c r="Y36" s="3367"/>
      <c r="Z36" s="50" t="str">
        <f t="shared" si="13"/>
        <v>宗地开发程度</v>
      </c>
      <c r="AA36" s="50">
        <f t="shared" si="3"/>
        <v>1</v>
      </c>
      <c r="AB36" s="50">
        <f t="shared" si="4"/>
        <v>1</v>
      </c>
      <c r="AC36" s="50">
        <f t="shared" si="5"/>
        <v>1</v>
      </c>
    </row>
    <row r="37" spans="1:31" ht="15">
      <c r="A37" s="408"/>
      <c r="B37" s="363" t="s">
        <v>1877</v>
      </c>
      <c r="C37" s="1753"/>
      <c r="D37" s="373">
        <v>100</v>
      </c>
      <c r="E37" s="1753"/>
      <c r="F37" s="373">
        <f>SUMIF(114:114,E37,115:115)-SUMIF(114:114,C37,115:115)+100</f>
        <v>100</v>
      </c>
      <c r="G37" s="1753"/>
      <c r="H37" s="373">
        <f>SUMIF(114:114,G37,115:115)-SUMIF(114:114,C37,115:115)+100</f>
        <v>100</v>
      </c>
      <c r="I37" s="1753"/>
      <c r="J37" s="373">
        <f>SUMIF(114:114,I37,115:115)-SUMIF(114:114,C37,115:115)+100</f>
        <v>100</v>
      </c>
      <c r="K37" s="537"/>
      <c r="L37" s="2483"/>
      <c r="M37" s="2478"/>
      <c r="N37" s="2478"/>
      <c r="O37" s="2533"/>
      <c r="P37" s="3367" t="s">
        <v>1696</v>
      </c>
      <c r="Q37" s="1257" t="str">
        <f t="shared" si="14"/>
        <v>工程地质条件</v>
      </c>
      <c r="R37" s="666" t="s">
        <v>14</v>
      </c>
      <c r="S37" s="667">
        <f t="shared" si="10"/>
        <v>100</v>
      </c>
      <c r="T37" s="666" t="s">
        <v>14</v>
      </c>
      <c r="U37" s="667">
        <f t="shared" si="11"/>
        <v>100</v>
      </c>
      <c r="V37" s="666" t="s">
        <v>14</v>
      </c>
      <c r="W37" s="667">
        <f t="shared" si="12"/>
        <v>100</v>
      </c>
      <c r="X37" s="1259"/>
      <c r="Y37" s="3367" t="s">
        <v>1696</v>
      </c>
      <c r="Z37" s="1258" t="str">
        <f t="shared" si="13"/>
        <v>工程地质条件</v>
      </c>
      <c r="AA37" s="1258">
        <f t="shared" si="3"/>
        <v>1</v>
      </c>
      <c r="AB37" s="1258">
        <f t="shared" si="4"/>
        <v>1</v>
      </c>
      <c r="AC37" s="1258">
        <f t="shared" si="5"/>
        <v>1</v>
      </c>
    </row>
    <row r="38" spans="1:31" ht="15">
      <c r="A38" s="408"/>
      <c r="B38" s="1061">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3"/>
      <c r="M38" s="2478"/>
      <c r="N38" s="2478"/>
      <c r="O38" s="2533"/>
      <c r="P38" s="3367"/>
      <c r="Q38" s="1257">
        <f t="shared" si="14"/>
        <v>111</v>
      </c>
      <c r="R38" s="666" t="s">
        <v>14</v>
      </c>
      <c r="S38" s="667">
        <f t="shared" si="10"/>
        <v>100</v>
      </c>
      <c r="T38" s="666" t="s">
        <v>14</v>
      </c>
      <c r="U38" s="667">
        <f t="shared" si="11"/>
        <v>100</v>
      </c>
      <c r="V38" s="666" t="s">
        <v>14</v>
      </c>
      <c r="W38" s="667">
        <f t="shared" si="12"/>
        <v>100</v>
      </c>
      <c r="X38" s="1259"/>
      <c r="Y38" s="3367"/>
      <c r="Z38" s="1258">
        <f t="shared" si="13"/>
        <v>111</v>
      </c>
      <c r="AA38" s="1258">
        <f t="shared" si="3"/>
        <v>1</v>
      </c>
      <c r="AB38" s="1258">
        <f t="shared" si="4"/>
        <v>1</v>
      </c>
      <c r="AC38" s="1258">
        <f t="shared" si="5"/>
        <v>1</v>
      </c>
    </row>
    <row r="39" spans="1:31" ht="15">
      <c r="A39" s="408"/>
      <c r="B39" s="1061">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3"/>
      <c r="M39" s="2478"/>
      <c r="N39" s="2478"/>
      <c r="O39" s="2533"/>
      <c r="P39" s="3367"/>
      <c r="Q39" s="1257">
        <f t="shared" si="14"/>
        <v>111</v>
      </c>
      <c r="R39" s="666" t="s">
        <v>14</v>
      </c>
      <c r="S39" s="667">
        <f t="shared" si="10"/>
        <v>100</v>
      </c>
      <c r="T39" s="666" t="s">
        <v>14</v>
      </c>
      <c r="U39" s="667">
        <f t="shared" si="11"/>
        <v>100</v>
      </c>
      <c r="V39" s="666" t="s">
        <v>14</v>
      </c>
      <c r="W39" s="667">
        <f t="shared" si="12"/>
        <v>100</v>
      </c>
      <c r="X39" s="1259"/>
      <c r="Y39" s="3367"/>
      <c r="Z39" s="1258">
        <f t="shared" si="13"/>
        <v>111</v>
      </c>
      <c r="AA39" s="1258">
        <f t="shared" si="3"/>
        <v>1</v>
      </c>
      <c r="AB39" s="1258">
        <f t="shared" si="4"/>
        <v>1</v>
      </c>
      <c r="AC39" s="1258">
        <f t="shared" si="5"/>
        <v>1</v>
      </c>
    </row>
    <row r="40" spans="1:31" s="407" customFormat="1" ht="15.75" thickBot="1">
      <c r="A40" s="405"/>
      <c r="B40" s="1061">
        <v>111</v>
      </c>
      <c r="C40" s="1821"/>
      <c r="D40" s="119">
        <v>100</v>
      </c>
      <c r="E40" s="593"/>
      <c r="F40" s="376">
        <f>SUMIF(120:120,E40,121:121)-SUMIF(120:120,C40,121:121)+100</f>
        <v>100</v>
      </c>
      <c r="G40" s="593"/>
      <c r="H40" s="376">
        <f>SUMIF(120:120,G40,121:121)-SUMIF(120:120,C40,121:121)+100</f>
        <v>100</v>
      </c>
      <c r="I40" s="479"/>
      <c r="J40" s="376">
        <f>SUMIF(120:120,I40,121:121)-SUMIF(120:120,C40,121:121)+100</f>
        <v>100</v>
      </c>
      <c r="K40" s="600"/>
      <c r="L40" s="2482"/>
      <c r="M40" s="2484"/>
      <c r="N40" s="2484"/>
      <c r="O40" s="2534"/>
      <c r="P40" s="3367"/>
      <c r="Q40" s="1257">
        <f t="shared" si="14"/>
        <v>111</v>
      </c>
      <c r="R40" s="668" t="s">
        <v>14</v>
      </c>
      <c r="S40" s="669">
        <f t="shared" si="10"/>
        <v>100</v>
      </c>
      <c r="T40" s="668" t="s">
        <v>14</v>
      </c>
      <c r="U40" s="669">
        <f t="shared" si="11"/>
        <v>100</v>
      </c>
      <c r="V40" s="668" t="s">
        <v>14</v>
      </c>
      <c r="W40" s="669">
        <f t="shared" si="12"/>
        <v>100</v>
      </c>
      <c r="X40" s="670"/>
      <c r="Y40" s="3367"/>
      <c r="Z40" s="671">
        <f t="shared" si="13"/>
        <v>111</v>
      </c>
      <c r="AA40" s="1258">
        <f t="shared" si="3"/>
        <v>1</v>
      </c>
      <c r="AB40" s="1258">
        <f t="shared" si="4"/>
        <v>1</v>
      </c>
      <c r="AC40" s="1258">
        <f t="shared" si="5"/>
        <v>1</v>
      </c>
    </row>
    <row r="41" spans="1:31" ht="15">
      <c r="A41" s="415" t="s">
        <v>1844</v>
      </c>
      <c r="B41" s="1822" t="s">
        <v>1921</v>
      </c>
      <c r="C41" s="601" t="s">
        <v>0</v>
      </c>
      <c r="D41" s="417"/>
      <c r="E41" s="418"/>
      <c r="F41" s="419"/>
      <c r="G41" s="420"/>
      <c r="H41" s="421"/>
      <c r="I41" s="418"/>
      <c r="J41" s="421"/>
      <c r="K41" s="673"/>
      <c r="L41" s="2485"/>
      <c r="M41" s="2478"/>
      <c r="N41" s="2478"/>
      <c r="O41" s="2478"/>
      <c r="P41" s="3363" t="str">
        <f>A41</f>
        <v>成交单价</v>
      </c>
      <c r="Q41" s="3363"/>
      <c r="R41" s="3368">
        <f>E41</f>
        <v>0</v>
      </c>
      <c r="S41" s="3368"/>
      <c r="T41" s="3368">
        <f>G41</f>
        <v>0</v>
      </c>
      <c r="U41" s="3368"/>
      <c r="V41" s="3368">
        <f>I41</f>
        <v>0</v>
      </c>
      <c r="W41" s="3368"/>
      <c r="X41" s="384"/>
      <c r="Y41" s="672"/>
      <c r="Z41" s="384"/>
      <c r="AA41" s="384"/>
      <c r="AB41" s="384"/>
      <c r="AC41" s="384"/>
    </row>
    <row r="42" spans="1:31" ht="15.75" thickBot="1">
      <c r="A42" s="422" t="s">
        <v>1793</v>
      </c>
      <c r="B42" s="602"/>
      <c r="C42" s="425" t="e">
        <f>R43</f>
        <v>#DIV/0!</v>
      </c>
      <c r="D42" s="2133" t="s">
        <v>2137</v>
      </c>
      <c r="E42" s="425" t="e">
        <f>R42</f>
        <v>#DIV/0!</v>
      </c>
      <c r="F42" s="2134"/>
      <c r="G42" s="424" t="e">
        <f>T42</f>
        <v>#DIV/0!</v>
      </c>
      <c r="H42" s="2134"/>
      <c r="I42" s="425" t="e">
        <f>V42</f>
        <v>#DIV/0!</v>
      </c>
      <c r="J42" s="2134"/>
      <c r="K42" s="2136">
        <f>F42+H42+J42</f>
        <v>0</v>
      </c>
      <c r="L42" s="2485"/>
      <c r="M42" s="2478"/>
      <c r="N42" s="2478"/>
      <c r="O42" s="2478"/>
      <c r="P42" s="3363" t="str">
        <f>A42</f>
        <v>比较价值（元/平方米）</v>
      </c>
      <c r="Q42" s="3363"/>
      <c r="R42" s="3356" t="e">
        <f>ROUND(PRODUCT(R41,AA7:AA40),0)</f>
        <v>#DIV/0!</v>
      </c>
      <c r="S42" s="3356"/>
      <c r="T42" s="3356" t="e">
        <f>ROUND(PRODUCT(T41,AB7:AB40),0)</f>
        <v>#DIV/0!</v>
      </c>
      <c r="U42" s="3356"/>
      <c r="V42" s="3356" t="e">
        <f>ROUND(PRODUCT(V41,AC7:AC40),0)</f>
        <v>#DIV/0!</v>
      </c>
      <c r="W42" s="335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85"/>
      <c r="M43" s="2478"/>
      <c r="N43" s="2478"/>
      <c r="O43" s="2478"/>
      <c r="P43" s="3357" t="str">
        <f>A43</f>
        <v>估价对象XX用房的比较价值（楼面单价，元/平方米）</v>
      </c>
      <c r="Q43" s="3358"/>
      <c r="R43" s="3359" t="e">
        <f>ROUND(IF(D42="简单平均",AVERAGE(R42:W42),R42*F42+T42*H42+V42*J42),0)</f>
        <v>#DIV/0!</v>
      </c>
      <c r="S43" s="3359"/>
      <c r="T43" s="3359"/>
      <c r="U43" s="3359"/>
      <c r="V43" s="3359"/>
      <c r="W43" s="3359"/>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6"/>
      <c r="D49" s="654"/>
      <c r="E49" s="654"/>
      <c r="F49" s="654"/>
      <c r="G49" s="654"/>
      <c r="H49" s="654"/>
      <c r="I49" s="654"/>
      <c r="J49" s="654"/>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3" t="s">
        <v>1880</v>
      </c>
      <c r="B50" s="604" t="s">
        <v>1881</v>
      </c>
      <c r="C50" s="1823" t="s">
        <v>1882</v>
      </c>
      <c r="D50" s="1824" t="s">
        <v>1883</v>
      </c>
      <c r="E50" s="605" t="s">
        <v>1884</v>
      </c>
      <c r="F50" s="606" t="s">
        <v>1885</v>
      </c>
      <c r="G50" s="3360" t="s">
        <v>1886</v>
      </c>
      <c r="H50" s="3361"/>
      <c r="I50" s="1258" t="s">
        <v>1922</v>
      </c>
      <c r="J50" s="1258">
        <f>项目基本情况!F35</f>
        <v>0</v>
      </c>
      <c r="K50" s="1826" t="s">
        <v>1888</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1" customFormat="1">
      <c r="A51" s="607" t="s">
        <v>1889</v>
      </c>
      <c r="B51" s="608" t="e">
        <f>C43</f>
        <v>#DIV/0!</v>
      </c>
      <c r="C51" s="609">
        <v>1</v>
      </c>
      <c r="D51" s="884">
        <v>1</v>
      </c>
      <c r="E51" s="609">
        <f>'数据-汇总表'!E8+'数据-汇总表'!E9</f>
        <v>64756.12</v>
      </c>
      <c r="F51" s="610" t="e">
        <f t="shared" ref="F51:F60" si="15">ROUND(B51*E51/10000,0)</f>
        <v>#DIV/0!</v>
      </c>
      <c r="G51" s="3362"/>
      <c r="H51" s="3363"/>
      <c r="I51" s="721">
        <v>1</v>
      </c>
      <c r="J51" s="721">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1" customFormat="1">
      <c r="A52" s="612" t="s">
        <v>1890</v>
      </c>
      <c r="B52" s="209" t="e">
        <f>ROUND($C$43*C52*D52,0)</f>
        <v>#DIV/0!</v>
      </c>
      <c r="C52" s="162">
        <f t="shared" ref="C52:C60" si="16">IF($C$50="北京市系数",I52,J52)</f>
        <v>0.5</v>
      </c>
      <c r="D52" s="885">
        <v>0.25</v>
      </c>
      <c r="E52" s="613"/>
      <c r="F52" s="610" t="e">
        <f t="shared" si="15"/>
        <v>#DIV/0!</v>
      </c>
      <c r="G52" s="2741" t="s">
        <v>1891</v>
      </c>
      <c r="H52" s="828" t="str">
        <f>项目基本情况!B37</f>
        <v>十级</v>
      </c>
      <c r="I52" s="721">
        <f>SUMIF(修正!A57:A68,H52,修正!B57:B68)</f>
        <v>0.5</v>
      </c>
      <c r="J52" s="722"/>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1" customFormat="1">
      <c r="A53" s="612" t="s">
        <v>1892</v>
      </c>
      <c r="B53" s="209" t="e">
        <f t="shared" ref="B53:B60" si="17">ROUND($C$43*C53*D53,0)</f>
        <v>#DIV/0!</v>
      </c>
      <c r="C53" s="162">
        <f t="shared" si="16"/>
        <v>0.2</v>
      </c>
      <c r="D53" s="885">
        <v>0.25</v>
      </c>
      <c r="E53" s="613"/>
      <c r="F53" s="610" t="e">
        <f t="shared" si="15"/>
        <v>#DIV/0!</v>
      </c>
      <c r="G53" s="2742"/>
      <c r="H53" s="828" t="str">
        <f>项目基本情况!B37</f>
        <v>十级</v>
      </c>
      <c r="I53" s="721">
        <f>SUMIF(修正!A57:A68,H53,修正!C57:C68)</f>
        <v>0.2</v>
      </c>
      <c r="J53" s="722"/>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1" customFormat="1">
      <c r="A54" s="612" t="s">
        <v>1893</v>
      </c>
      <c r="B54" s="209" t="e">
        <f t="shared" si="17"/>
        <v>#DIV/0!</v>
      </c>
      <c r="C54" s="162">
        <f t="shared" si="16"/>
        <v>0.2</v>
      </c>
      <c r="D54" s="885">
        <v>0.25</v>
      </c>
      <c r="E54" s="613"/>
      <c r="F54" s="610" t="e">
        <f t="shared" si="15"/>
        <v>#DIV/0!</v>
      </c>
      <c r="G54" s="2742"/>
      <c r="H54" s="828" t="str">
        <f>项目基本情况!B37</f>
        <v>十级</v>
      </c>
      <c r="I54" s="721">
        <f>SUMIF(修正!A57:A68,H54,修正!D57:D68)</f>
        <v>0.2</v>
      </c>
      <c r="J54" s="722"/>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1" customFormat="1" hidden="1">
      <c r="A55" s="612"/>
      <c r="B55" s="209"/>
      <c r="C55" s="162"/>
      <c r="D55" s="885"/>
      <c r="E55" s="613"/>
      <c r="F55" s="610"/>
      <c r="G55" s="2743"/>
      <c r="H55" s="828"/>
      <c r="I55" s="721"/>
      <c r="J55" s="722"/>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1" customFormat="1">
      <c r="A56" s="612" t="s">
        <v>1894</v>
      </c>
      <c r="B56" s="209" t="e">
        <f t="shared" si="17"/>
        <v>#DIV/0!</v>
      </c>
      <c r="C56" s="162">
        <f t="shared" si="16"/>
        <v>0.2</v>
      </c>
      <c r="D56" s="885">
        <v>0.25</v>
      </c>
      <c r="E56" s="208">
        <f>'数据-汇总表'!E11</f>
        <v>0</v>
      </c>
      <c r="F56" s="610" t="e">
        <f t="shared" si="15"/>
        <v>#DIV/0!</v>
      </c>
      <c r="G56" s="1827" t="s">
        <v>1895</v>
      </c>
      <c r="H56" s="828" t="str">
        <f>项目基本情况!C37</f>
        <v>十级</v>
      </c>
      <c r="I56" s="721">
        <f>SUMIF(修正!A57:A68,H56,修正!E57:E68)</f>
        <v>0.2</v>
      </c>
      <c r="J56" s="722"/>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1" customFormat="1">
      <c r="A57" s="612" t="s">
        <v>1896</v>
      </c>
      <c r="B57" s="209" t="e">
        <f t="shared" si="17"/>
        <v>#DIV/0!</v>
      </c>
      <c r="C57" s="162">
        <f t="shared" si="16"/>
        <v>0.2</v>
      </c>
      <c r="D57" s="885">
        <v>0.25</v>
      </c>
      <c r="E57" s="208">
        <f>'数据-汇总表'!E12</f>
        <v>0</v>
      </c>
      <c r="F57" s="610" t="e">
        <f t="shared" si="15"/>
        <v>#DIV/0!</v>
      </c>
      <c r="G57" s="833" t="s">
        <v>1897</v>
      </c>
      <c r="H57" s="828" t="str">
        <f>IF(G57="商业",项目基本情况!B37,IF(G57="办公",项目基本情况!C37,IF(G57="住宅",项目基本情况!D37,项目基本情况!E37)))</f>
        <v>十级</v>
      </c>
      <c r="I57" s="721">
        <f>SUMIF(修正!A57:A68,H57,修正!F57:F68)</f>
        <v>0.2</v>
      </c>
      <c r="J57" s="722"/>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1" customFormat="1">
      <c r="A58" s="612" t="s">
        <v>1898</v>
      </c>
      <c r="B58" s="209" t="e">
        <f t="shared" si="17"/>
        <v>#DIV/0!</v>
      </c>
      <c r="C58" s="162">
        <f t="shared" si="16"/>
        <v>0.1</v>
      </c>
      <c r="D58" s="885">
        <v>0.25</v>
      </c>
      <c r="E58" s="208">
        <f>'数据-汇总表'!E13</f>
        <v>0</v>
      </c>
      <c r="F58" s="610" t="e">
        <f t="shared" si="15"/>
        <v>#DIV/0!</v>
      </c>
      <c r="G58" s="833" t="s">
        <v>1899</v>
      </c>
      <c r="H58" s="828" t="str">
        <f>IF(G58="商业",项目基本情况!B37,IF(G58="办公",项目基本情况!C37,IF(G58="住宅",项目基本情况!D37,项目基本情况!E37)))</f>
        <v>十级</v>
      </c>
      <c r="I58" s="721">
        <f>SUMIF(修正!A57:A68,H58,修正!G57:G68)</f>
        <v>0.1</v>
      </c>
      <c r="J58" s="722"/>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1" customFormat="1">
      <c r="A59" s="612" t="s">
        <v>1900</v>
      </c>
      <c r="B59" s="209" t="e">
        <f t="shared" si="17"/>
        <v>#DIV/0!</v>
      </c>
      <c r="C59" s="162">
        <f t="shared" si="16"/>
        <v>0.1</v>
      </c>
      <c r="D59" s="885">
        <v>0.25</v>
      </c>
      <c r="E59" s="208">
        <f>'数据-汇总表'!E14</f>
        <v>0</v>
      </c>
      <c r="F59" s="610" t="e">
        <f t="shared" si="15"/>
        <v>#DIV/0!</v>
      </c>
      <c r="G59" s="1827" t="s">
        <v>1891</v>
      </c>
      <c r="H59" s="828" t="str">
        <f>项目基本情况!B37</f>
        <v>十级</v>
      </c>
      <c r="I59" s="721">
        <f>SUMIF(修正!A57:A68,H59,修正!G57:G68)</f>
        <v>0.1</v>
      </c>
      <c r="J59" s="722"/>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1" customFormat="1" ht="15" thickBot="1">
      <c r="A60" s="612" t="s">
        <v>1901</v>
      </c>
      <c r="B60" s="209" t="e">
        <f t="shared" si="17"/>
        <v>#DIV/0!</v>
      </c>
      <c r="C60" s="162">
        <f t="shared" si="16"/>
        <v>0.1</v>
      </c>
      <c r="D60" s="885">
        <v>0.25</v>
      </c>
      <c r="E60" s="208">
        <f>'数据-汇总表'!E15</f>
        <v>0</v>
      </c>
      <c r="F60" s="610" t="e">
        <f t="shared" si="15"/>
        <v>#DIV/0!</v>
      </c>
      <c r="G60" s="1828" t="s">
        <v>1895</v>
      </c>
      <c r="H60" s="838" t="str">
        <f>项目基本情况!C37</f>
        <v>十级</v>
      </c>
      <c r="I60" s="721">
        <f>SUMIF(修正!A57:A68,H60,修正!G57:G68)</f>
        <v>0.1</v>
      </c>
      <c r="J60" s="722"/>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1" customFormat="1" ht="15" thickBot="1">
      <c r="A61" s="614" t="s">
        <v>1902</v>
      </c>
      <c r="B61" s="615" t="s">
        <v>22</v>
      </c>
      <c r="C61" s="615" t="s">
        <v>23</v>
      </c>
      <c r="D61" s="615" t="s">
        <v>392</v>
      </c>
      <c r="E61" s="615">
        <f>IF(B41="楼面地价",SUM(E51:E60),'数据-汇总表'!D3)</f>
        <v>15478.33</v>
      </c>
      <c r="F61" s="616" t="e">
        <f>IF(B41="楼面地价",SUM(F51:F60),ROUND(C43*E61/10000,0))</f>
        <v>#DIV/0!</v>
      </c>
      <c r="G61" s="879"/>
      <c r="H61" s="879"/>
      <c r="I61" s="879"/>
      <c r="J61" s="879"/>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5"/>
      <c r="B62" s="869"/>
      <c r="C62" s="871"/>
      <c r="D62" s="855"/>
      <c r="E62" s="855"/>
      <c r="F62" s="855"/>
      <c r="G62" s="855"/>
      <c r="H62" s="855"/>
      <c r="I62" s="855"/>
      <c r="J62" s="855"/>
      <c r="K62" s="829"/>
      <c r="L62" s="830"/>
      <c r="M62" s="855"/>
      <c r="N62" s="855"/>
      <c r="O62" s="855"/>
      <c r="P62" s="2478"/>
      <c r="Q62" s="2478"/>
      <c r="R62" s="2478"/>
      <c r="S62" s="2478"/>
      <c r="T62" s="2478"/>
      <c r="U62" s="2478"/>
      <c r="V62" s="2478"/>
      <c r="W62" s="2478"/>
      <c r="X62" s="2478"/>
      <c r="Y62" s="2478"/>
      <c r="Z62" s="2478"/>
      <c r="AA62" s="2478"/>
      <c r="AB62" s="2478"/>
      <c r="AC62" s="2478"/>
      <c r="AD62" s="2478"/>
      <c r="AE62" s="2478"/>
    </row>
    <row r="63" spans="1:31">
      <c r="A63" s="855"/>
      <c r="B63" s="869"/>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78"/>
      <c r="Q63" s="2478"/>
      <c r="R63" s="2478"/>
      <c r="S63" s="2478"/>
      <c r="T63" s="2478"/>
      <c r="U63" s="2478"/>
      <c r="V63" s="2478"/>
      <c r="W63" s="2478"/>
      <c r="X63" s="2478"/>
      <c r="Y63" s="2478"/>
      <c r="Z63" s="2478"/>
      <c r="AA63" s="2478"/>
      <c r="AB63" s="2478"/>
      <c r="AC63" s="2478"/>
      <c r="AD63" s="2478"/>
      <c r="AE63" s="2478"/>
    </row>
    <row r="64" spans="1:31" ht="21.75" thickBot="1">
      <c r="A64" s="657" t="s">
        <v>1798</v>
      </c>
      <c r="B64" s="384"/>
      <c r="C64" s="658"/>
      <c r="D64" s="658"/>
      <c r="E64" s="658"/>
      <c r="F64" s="659"/>
      <c r="G64" s="659"/>
      <c r="H64" s="658"/>
      <c r="I64" s="658"/>
      <c r="J64" s="658"/>
      <c r="K64" s="660"/>
      <c r="L64" s="661"/>
      <c r="M64" s="658"/>
      <c r="N64" s="658"/>
      <c r="O64" s="880"/>
      <c r="P64" s="2528"/>
      <c r="Q64" s="2499"/>
      <c r="R64" s="2478"/>
      <c r="S64" s="2478"/>
      <c r="T64" s="2478"/>
      <c r="U64" s="2478"/>
      <c r="V64" s="2478"/>
      <c r="W64" s="2478"/>
      <c r="X64" s="2478"/>
      <c r="Y64" s="2478"/>
      <c r="Z64" s="2478"/>
      <c r="AA64" s="2478"/>
      <c r="AB64" s="2478"/>
      <c r="AC64" s="2478"/>
      <c r="AD64" s="2478"/>
      <c r="AE64" s="2478"/>
    </row>
    <row r="65" spans="1:31" s="441" customFormat="1" ht="15">
      <c r="A65" s="1624" t="s">
        <v>1903</v>
      </c>
      <c r="B65" s="1040"/>
      <c r="C65" s="1095" t="str">
        <f>YEAR(C63)&amp;"-"&amp;ROUNDUP(MONTH(C63)/3,0)</f>
        <v>2024-4</v>
      </c>
      <c r="D65" s="1095" t="str">
        <f t="shared" ref="D65:O65" si="19">YEAR(D63)&amp;"-"&amp;ROUNDUP(MONTH(D63)/3,0)</f>
        <v>2024-3</v>
      </c>
      <c r="E65" s="1095" t="str">
        <f t="shared" si="19"/>
        <v>2024-2</v>
      </c>
      <c r="F65" s="1095" t="str">
        <f t="shared" si="19"/>
        <v>2024-1</v>
      </c>
      <c r="G65" s="1095" t="str">
        <f t="shared" si="19"/>
        <v>2023-4</v>
      </c>
      <c r="H65" s="1095" t="str">
        <f t="shared" si="19"/>
        <v>2023-3</v>
      </c>
      <c r="I65" s="1095" t="str">
        <f t="shared" si="19"/>
        <v>2023-2</v>
      </c>
      <c r="J65" s="1095" t="str">
        <f t="shared" si="19"/>
        <v>2023-1</v>
      </c>
      <c r="K65" s="1095" t="str">
        <f t="shared" si="19"/>
        <v>2022-4</v>
      </c>
      <c r="L65" s="1095" t="str">
        <f t="shared" si="19"/>
        <v>2022-3</v>
      </c>
      <c r="M65" s="1095" t="str">
        <f t="shared" si="19"/>
        <v>2022-2</v>
      </c>
      <c r="N65" s="1095" t="str">
        <f t="shared" si="19"/>
        <v>2022-1</v>
      </c>
      <c r="O65" s="1095" t="str">
        <f t="shared" si="19"/>
        <v>2021-4</v>
      </c>
      <c r="P65" s="2501"/>
      <c r="Q65" s="2501"/>
      <c r="R65" s="2501"/>
      <c r="S65" s="2501"/>
      <c r="T65" s="2501"/>
      <c r="U65" s="2501"/>
      <c r="V65" s="2501"/>
      <c r="W65" s="2501"/>
      <c r="X65" s="2501"/>
      <c r="Y65" s="2501"/>
      <c r="Z65" s="2501"/>
      <c r="AA65" s="2501"/>
      <c r="AB65" s="2501"/>
      <c r="AC65" s="2501"/>
      <c r="AD65" s="2501"/>
      <c r="AE65" s="2501"/>
    </row>
    <row r="66" spans="1:31" s="102" customFormat="1" ht="30.75" customHeight="1">
      <c r="A66" s="1833" t="s">
        <v>1923</v>
      </c>
      <c r="B66" s="279" t="str">
        <f>"北京市平均增长率"&amp;TEXT(基准地价修正!P28,"0.00%")</f>
        <v>北京市平均增长率0.00%</v>
      </c>
      <c r="C66" s="529">
        <v>100</v>
      </c>
      <c r="D66" s="6"/>
      <c r="E66" s="6"/>
      <c r="F66" s="6"/>
      <c r="G66" s="6"/>
      <c r="H66" s="6"/>
      <c r="I66" s="6"/>
      <c r="J66" s="6"/>
      <c r="K66" s="6"/>
      <c r="L66" s="6"/>
      <c r="M66" s="1060"/>
      <c r="N66" s="1060"/>
      <c r="O66" s="1093"/>
      <c r="P66" s="2499"/>
      <c r="Q66" s="2431"/>
      <c r="R66" s="2431"/>
      <c r="S66" s="2431"/>
      <c r="T66" s="2431"/>
      <c r="U66" s="2431"/>
      <c r="V66" s="2431"/>
      <c r="W66" s="2431"/>
      <c r="X66" s="2431"/>
      <c r="Y66" s="2431"/>
      <c r="Z66" s="2431"/>
      <c r="AA66" s="2431"/>
      <c r="AB66" s="2431"/>
      <c r="AC66" s="2431"/>
      <c r="AD66" s="2431"/>
      <c r="AE66" s="2431"/>
    </row>
    <row r="67" spans="1:31" s="102"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2"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2" customFormat="1" ht="15.75" thickBot="1">
      <c r="A69" s="454"/>
      <c r="B69" s="443"/>
      <c r="C69" s="562">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2" customFormat="1" ht="15.75" thickTop="1">
      <c r="A87" s="369"/>
      <c r="B87" s="468" t="s">
        <v>1906</v>
      </c>
      <c r="C87" s="503" t="s">
        <v>1721</v>
      </c>
      <c r="D87" s="503" t="s">
        <v>1722</v>
      </c>
      <c r="E87" s="503" t="s">
        <v>1723</v>
      </c>
      <c r="F87" s="503" t="s">
        <v>1724</v>
      </c>
      <c r="G87" s="503" t="s">
        <v>1725</v>
      </c>
      <c r="H87" s="508"/>
      <c r="I87" s="508"/>
      <c r="J87" s="508"/>
      <c r="K87" s="508"/>
      <c r="L87" s="617"/>
      <c r="M87" s="546"/>
      <c r="N87" s="2511"/>
      <c r="O87" s="2511"/>
      <c r="P87" s="2511"/>
      <c r="Q87" s="2499"/>
      <c r="R87" s="2431"/>
      <c r="S87" s="2431"/>
      <c r="T87" s="2431"/>
      <c r="U87" s="2431"/>
      <c r="V87" s="2431"/>
      <c r="W87" s="2431"/>
      <c r="X87" s="2431"/>
      <c r="Y87" s="2431"/>
      <c r="Z87" s="2431"/>
      <c r="AA87" s="2431"/>
      <c r="AB87" s="2431"/>
      <c r="AC87" s="2431"/>
      <c r="AD87" s="2431"/>
      <c r="AE87" s="2431"/>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2" customFormat="1" ht="27.75" thickTop="1">
      <c r="A89" s="369"/>
      <c r="B89" s="468" t="s">
        <v>1907</v>
      </c>
      <c r="C89" s="503" t="s">
        <v>1721</v>
      </c>
      <c r="D89" s="503" t="s">
        <v>1722</v>
      </c>
      <c r="E89" s="503" t="s">
        <v>1723</v>
      </c>
      <c r="F89" s="503" t="s">
        <v>1724</v>
      </c>
      <c r="G89" s="503" t="s">
        <v>1725</v>
      </c>
      <c r="H89" s="508"/>
      <c r="I89" s="508"/>
      <c r="J89" s="508"/>
      <c r="K89" s="508"/>
      <c r="L89" s="508"/>
      <c r="M89" s="546"/>
      <c r="N89" s="2511"/>
      <c r="O89" s="2511"/>
      <c r="P89" s="2511"/>
      <c r="Q89" s="2499"/>
      <c r="R89" s="2431"/>
      <c r="S89" s="2431"/>
      <c r="T89" s="2431"/>
      <c r="U89" s="2431"/>
      <c r="V89" s="2431"/>
      <c r="W89" s="2431"/>
      <c r="X89" s="2431"/>
      <c r="Y89" s="2431"/>
      <c r="Z89" s="2431"/>
      <c r="AA89" s="2431"/>
      <c r="AB89" s="2431"/>
      <c r="AC89" s="2431"/>
      <c r="AD89" s="2431"/>
      <c r="AE89" s="2431"/>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9"/>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1872</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4"/>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6"/>
      <c r="H106" s="596"/>
      <c r="I106" s="596"/>
      <c r="J106" s="596"/>
      <c r="K106" s="596"/>
      <c r="L106" s="596"/>
      <c r="M106" s="618"/>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0" t="str">
        <f t="shared" si="25"/>
        <v>(含)-</v>
      </c>
      <c r="L107" s="1240" t="str">
        <f t="shared" si="25"/>
        <v>(含)-</v>
      </c>
      <c r="M107" s="1241"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9"/>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Q12" sqref="Q1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3" t="s">
        <v>2082</v>
      </c>
      <c r="C1" s="3459" t="s">
        <v>2083</v>
      </c>
      <c r="D1" s="3460"/>
      <c r="E1" s="3460"/>
      <c r="F1" s="3460"/>
      <c r="G1" s="3460"/>
      <c r="H1" s="3460"/>
      <c r="I1" s="3460"/>
      <c r="J1" s="3460"/>
      <c r="K1" s="3460"/>
      <c r="L1" s="3460"/>
      <c r="M1" s="3460"/>
      <c r="N1" s="3460"/>
      <c r="O1" s="3460"/>
      <c r="P1" s="3460"/>
      <c r="Q1" s="3460"/>
      <c r="R1" s="3460"/>
      <c r="S1" s="3461"/>
      <c r="T1" s="923" t="s">
        <v>2084</v>
      </c>
    </row>
    <row r="2" spans="1:45" s="624" customFormat="1">
      <c r="A2" s="924"/>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5"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6"/>
      <c r="B3" s="625"/>
      <c r="C3" s="626"/>
      <c r="D3" s="627"/>
      <c r="E3" s="627"/>
      <c r="F3" s="1214"/>
      <c r="G3" s="1214"/>
      <c r="H3" s="1214"/>
      <c r="I3" s="1214"/>
      <c r="J3" s="1214"/>
      <c r="K3" s="1214"/>
      <c r="L3" s="1215"/>
      <c r="M3" s="1216"/>
      <c r="N3" s="1216"/>
      <c r="O3" s="1214"/>
      <c r="P3" s="1214"/>
      <c r="Q3" s="1214"/>
      <c r="R3" s="1214"/>
      <c r="S3" s="1217"/>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27"/>
      <c r="B4" s="928"/>
      <c r="C4" s="929"/>
      <c r="D4" s="930"/>
      <c r="E4" s="930"/>
      <c r="F4" s="1218"/>
      <c r="G4" s="1218"/>
      <c r="H4" s="1218"/>
      <c r="I4" s="1218"/>
      <c r="J4" s="1218"/>
      <c r="K4" s="1218"/>
      <c r="L4" s="1218"/>
      <c r="M4" s="1219"/>
      <c r="N4" s="1219"/>
      <c r="O4" s="1218"/>
      <c r="P4" s="1218"/>
      <c r="Q4" s="1218"/>
      <c r="R4" s="1218"/>
      <c r="S4" s="1220"/>
      <c r="T4" s="933"/>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19"/>
      <c r="B5" s="1243" t="s">
        <v>2086</v>
      </c>
      <c r="C5" s="934"/>
      <c r="D5" s="935"/>
      <c r="E5" s="935"/>
      <c r="F5" s="1221"/>
      <c r="G5" s="1221"/>
      <c r="H5" s="1221"/>
      <c r="I5" s="1221"/>
      <c r="J5" s="1221"/>
      <c r="K5" s="1221"/>
      <c r="L5" s="1222"/>
      <c r="M5" s="1223"/>
      <c r="N5" s="1223"/>
      <c r="O5" s="1221"/>
      <c r="P5" s="1221"/>
      <c r="Q5" s="1221"/>
      <c r="R5" s="1221"/>
      <c r="S5" s="1224"/>
      <c r="T5" s="937"/>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19"/>
      <c r="B6" s="840"/>
      <c r="C6" s="846">
        <v>100</v>
      </c>
      <c r="D6" s="843">
        <f>C6-$T5</f>
        <v>100</v>
      </c>
      <c r="E6" s="843">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2"/>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19"/>
      <c r="B7" s="1244" t="s">
        <v>2087</v>
      </c>
      <c r="C7" s="845"/>
      <c r="D7" s="839"/>
      <c r="E7" s="839"/>
      <c r="F7" s="1226"/>
      <c r="G7" s="1226"/>
      <c r="H7" s="1226"/>
      <c r="I7" s="1226"/>
      <c r="J7" s="1226"/>
      <c r="K7" s="1226"/>
      <c r="L7" s="1226"/>
      <c r="M7" s="1227"/>
      <c r="N7" s="1228"/>
      <c r="O7" s="1229"/>
      <c r="P7" s="1229"/>
      <c r="Q7" s="1230"/>
      <c r="R7" s="1231"/>
      <c r="S7" s="1232"/>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19"/>
      <c r="B8" s="840"/>
      <c r="C8" s="846">
        <v>100</v>
      </c>
      <c r="D8" s="843">
        <f>C8-$T7</f>
        <v>100</v>
      </c>
      <c r="E8" s="843">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2"/>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19"/>
      <c r="B9" s="1244" t="s">
        <v>2088</v>
      </c>
      <c r="C9" s="845"/>
      <c r="D9" s="839"/>
      <c r="E9" s="839"/>
      <c r="F9" s="1226"/>
      <c r="G9" s="1226"/>
      <c r="H9" s="1226"/>
      <c r="I9" s="1226"/>
      <c r="J9" s="1226"/>
      <c r="K9" s="1226"/>
      <c r="L9" s="1233"/>
      <c r="M9" s="1227"/>
      <c r="N9" s="1228"/>
      <c r="O9" s="1229"/>
      <c r="P9" s="1229"/>
      <c r="Q9" s="1230"/>
      <c r="R9" s="1231"/>
      <c r="S9" s="1232"/>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19"/>
      <c r="B10" s="928"/>
      <c r="C10" s="938">
        <v>100</v>
      </c>
      <c r="D10" s="709">
        <f>C10-$T9</f>
        <v>100</v>
      </c>
      <c r="E10" s="709">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19"/>
      <c r="B11" s="1243" t="s">
        <v>2089</v>
      </c>
      <c r="C11" s="934"/>
      <c r="D11" s="935"/>
      <c r="E11" s="935"/>
      <c r="F11" s="935"/>
      <c r="G11" s="935"/>
      <c r="H11" s="935"/>
      <c r="I11" s="935"/>
      <c r="J11" s="935"/>
      <c r="K11" s="935"/>
      <c r="L11" s="935"/>
      <c r="M11" s="936"/>
      <c r="N11" s="939"/>
      <c r="O11" s="940"/>
      <c r="P11" s="940"/>
      <c r="Q11" s="941"/>
      <c r="R11" s="942"/>
      <c r="S11" s="943"/>
      <c r="T11" s="937"/>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19"/>
      <c r="B12" s="840"/>
      <c r="C12" s="846">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Q12-$T11</f>
        <v>100</v>
      </c>
      <c r="S12" s="843">
        <f t="shared" si="10"/>
        <v>100</v>
      </c>
      <c r="T12" s="842"/>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19"/>
      <c r="B13" s="1243" t="s">
        <v>2090</v>
      </c>
      <c r="C13" s="934"/>
      <c r="D13" s="935"/>
      <c r="E13" s="935"/>
      <c r="F13" s="935"/>
      <c r="G13" s="935"/>
      <c r="H13" s="935"/>
      <c r="I13" s="935"/>
      <c r="J13" s="935"/>
      <c r="K13" s="935"/>
      <c r="L13" s="935"/>
      <c r="M13" s="936"/>
      <c r="N13" s="939"/>
      <c r="O13" s="940"/>
      <c r="P13" s="940"/>
      <c r="Q13" s="941"/>
      <c r="R13" s="942"/>
      <c r="S13" s="943"/>
      <c r="T13" s="944"/>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19"/>
      <c r="B14" s="840"/>
      <c r="C14" s="844"/>
      <c r="D14" s="841"/>
      <c r="E14" s="841"/>
      <c r="F14" s="841"/>
      <c r="G14" s="841"/>
      <c r="H14" s="841"/>
      <c r="I14" s="841"/>
      <c r="J14" s="841"/>
      <c r="K14" s="841"/>
      <c r="L14" s="841"/>
      <c r="M14" s="945"/>
      <c r="N14" s="945"/>
      <c r="O14" s="841"/>
      <c r="P14" s="841"/>
      <c r="Q14" s="841"/>
      <c r="R14" s="841"/>
      <c r="S14" s="946"/>
      <c r="T14" s="842"/>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19"/>
      <c r="B15" s="1243" t="s">
        <v>2091</v>
      </c>
      <c r="C15" s="934"/>
      <c r="D15" s="935"/>
      <c r="E15" s="935"/>
      <c r="F15" s="935"/>
      <c r="G15" s="935"/>
      <c r="H15" s="935"/>
      <c r="I15" s="935"/>
      <c r="J15" s="935"/>
      <c r="K15" s="935"/>
      <c r="L15" s="935"/>
      <c r="M15" s="936"/>
      <c r="N15" s="939"/>
      <c r="O15" s="940"/>
      <c r="P15" s="940"/>
      <c r="Q15" s="941"/>
      <c r="R15" s="942"/>
      <c r="S15" s="943"/>
      <c r="T15" s="944"/>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19"/>
      <c r="B16" s="928"/>
      <c r="C16" s="929"/>
      <c r="D16" s="930"/>
      <c r="E16" s="930"/>
      <c r="F16" s="930"/>
      <c r="G16" s="930"/>
      <c r="H16" s="930"/>
      <c r="I16" s="930"/>
      <c r="J16" s="930"/>
      <c r="K16" s="930"/>
      <c r="L16" s="930"/>
      <c r="M16" s="931"/>
      <c r="N16" s="931"/>
      <c r="O16" s="930"/>
      <c r="P16" s="930"/>
      <c r="Q16" s="930"/>
      <c r="R16" s="930"/>
      <c r="S16" s="932"/>
      <c r="T16" s="93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78" t="s">
        <v>2092</v>
      </c>
      <c r="B17" s="1979" t="s">
        <v>2093</v>
      </c>
      <c r="C17" s="947"/>
      <c r="D17" s="948"/>
      <c r="E17" s="948"/>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84"/>
      <c r="AS17" s="684"/>
    </row>
    <row r="18" spans="1:45" s="624" customFormat="1" ht="13.5" thickBot="1">
      <c r="A18" s="956"/>
      <c r="B18" s="957"/>
      <c r="C18" s="958"/>
      <c r="D18" s="959"/>
      <c r="E18" s="959"/>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84"/>
      <c r="AS18" s="684"/>
    </row>
    <row r="19" spans="1:45">
      <c r="A19" s="120"/>
      <c r="B19" s="150"/>
      <c r="C19" s="150"/>
      <c r="D19" s="1980" t="s">
        <v>2094</v>
      </c>
      <c r="E19" s="1247"/>
      <c r="F19" s="1247"/>
      <c r="G19" s="1247"/>
      <c r="H19" s="990"/>
      <c r="I19" s="150"/>
      <c r="J19" s="150"/>
      <c r="K19" s="150"/>
      <c r="L19" s="150"/>
      <c r="M19" s="150"/>
      <c r="N19" s="150"/>
      <c r="O19" s="150"/>
      <c r="P19" s="150"/>
      <c r="Q19" s="150"/>
      <c r="R19" s="150"/>
      <c r="S19" s="120"/>
    </row>
    <row r="20" spans="1:45" ht="16.5" thickBot="1">
      <c r="A20" s="631" t="s">
        <v>2095</v>
      </c>
      <c r="B20" s="285" t="e">
        <f ca="1">IF(D20="——",S22,S22-F20)</f>
        <v>#REF!</v>
      </c>
      <c r="C20" s="150"/>
      <c r="D20" s="1981"/>
      <c r="E20" s="1248"/>
      <c r="F20" s="923" t="e">
        <f ca="1">SUMIF(INDIRECT("'"&amp;H20&amp;"'"&amp;"!A:A"),"承租人权益价值",INDIRECT("'"&amp;H20&amp;"'"&amp;"!c:c"))</f>
        <v>#REF!</v>
      </c>
      <c r="G20" s="923" t="s">
        <v>2096</v>
      </c>
      <c r="H20" s="1982"/>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1">
        <v>1</v>
      </c>
      <c r="D24" s="2562"/>
      <c r="E24" s="2561">
        <v>1</v>
      </c>
      <c r="F24" s="2562"/>
      <c r="G24" s="2561">
        <v>1</v>
      </c>
      <c r="H24" s="2562"/>
      <c r="I24" s="2561">
        <v>1</v>
      </c>
      <c r="J24" s="2562"/>
      <c r="K24" s="2561">
        <v>1</v>
      </c>
      <c r="L24" s="2562"/>
      <c r="M24" s="2561">
        <v>1</v>
      </c>
      <c r="N24" s="2562"/>
      <c r="O24" s="2561">
        <v>1</v>
      </c>
      <c r="P24" s="2562"/>
      <c r="Q24" s="2561">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19" t="s">
        <v>2080</v>
      </c>
      <c r="B1" s="4"/>
      <c r="C1" s="4"/>
      <c r="D1" s="4"/>
      <c r="E1" s="4"/>
      <c r="F1" s="2535"/>
      <c r="G1" s="2535"/>
      <c r="H1" s="2535"/>
      <c r="I1" s="2535"/>
      <c r="J1" s="2535"/>
      <c r="K1" s="2535"/>
      <c r="L1" s="2535"/>
      <c r="M1" s="2535"/>
      <c r="N1" s="2535"/>
      <c r="O1" s="2535"/>
      <c r="P1" s="2535"/>
    </row>
    <row r="2" spans="1:16" ht="15.75">
      <c r="A2" s="1976" t="s">
        <v>2072</v>
      </c>
      <c r="B2" s="2379" t="e">
        <f ca="1">SUMIF(B6:B13,"&lt;&gt;#ref!",B6:B13)</f>
        <v>#DIV/0!</v>
      </c>
      <c r="C2" s="1976" t="s">
        <v>2073</v>
      </c>
      <c r="D2" s="1976" t="s">
        <v>2074</v>
      </c>
      <c r="E2" s="2389">
        <f ca="1">SUMIF(E6:E13,"&lt;&gt;#ref!",E6:E13)</f>
        <v>0</v>
      </c>
      <c r="F2" s="2535"/>
      <c r="G2" s="2535"/>
      <c r="H2" s="2535"/>
      <c r="I2" s="2535"/>
      <c r="J2" s="2535"/>
      <c r="K2" s="2535"/>
      <c r="L2" s="2535"/>
      <c r="M2" s="2535"/>
      <c r="N2" s="2535"/>
      <c r="O2" s="2535"/>
      <c r="P2" s="2535"/>
    </row>
    <row r="3" spans="1:16" ht="15.75">
      <c r="A3" s="1976" t="s">
        <v>2075</v>
      </c>
      <c r="B3" s="2379" t="e">
        <f ca="1">ROUND(B2*10000/E2,0)</f>
        <v>#DIV/0!</v>
      </c>
      <c r="C3" s="1976"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7"/>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6"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6"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6"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6"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6"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6"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6"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6"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85"/>
      <c r="B4" s="3178" t="s">
        <v>917</v>
      </c>
      <c r="C4" s="3178"/>
      <c r="D4" s="3178"/>
      <c r="E4" s="1385"/>
    </row>
    <row r="5" spans="1:5" ht="16.5" thickTop="1">
      <c r="B5" s="3176" t="s">
        <v>909</v>
      </c>
      <c r="C5" s="1386" t="s">
        <v>910</v>
      </c>
      <c r="D5" s="791">
        <f ca="1">结果表!H101</f>
        <v>108366</v>
      </c>
    </row>
    <row r="6" spans="1:5" ht="15.75">
      <c r="B6" s="3176"/>
      <c r="C6" s="1386" t="s">
        <v>911</v>
      </c>
      <c r="D6" s="791" t="str">
        <f ca="1">NUMBERSTRING(INT(D5*10000),2)&amp;"元整"</f>
        <v>壹拾亿捌仟叁佰陆拾陆万元整</v>
      </c>
    </row>
    <row r="7" spans="1:5" ht="15.75">
      <c r="B7" s="3181"/>
      <c r="C7" s="1387" t="s">
        <v>912</v>
      </c>
      <c r="D7" s="792">
        <f ca="1">结果表!H102</f>
        <v>16734</v>
      </c>
    </row>
    <row r="8" spans="1:5" ht="15.75">
      <c r="B8" s="3182" t="str">
        <f>结果表!E103</f>
        <v>2.估价师知悉的法定优先受偿款</v>
      </c>
      <c r="C8" s="1388" t="s">
        <v>913</v>
      </c>
      <c r="D8" s="792">
        <f>结果表!H103</f>
        <v>0</v>
      </c>
    </row>
    <row r="9" spans="1:5" ht="15.75">
      <c r="B9" s="3184"/>
      <c r="C9" s="1386" t="s">
        <v>911</v>
      </c>
      <c r="D9" s="791" t="str">
        <f>NUMBERSTRING(INT(D8*10000),2)&amp;"元整"</f>
        <v>零元整</v>
      </c>
    </row>
    <row r="10" spans="1:5" ht="15">
      <c r="B10" s="1389" t="s">
        <v>916</v>
      </c>
      <c r="C10" s="1390" t="s">
        <v>914</v>
      </c>
      <c r="D10" s="793">
        <f>结果表!H104</f>
        <v>0</v>
      </c>
    </row>
    <row r="11" spans="1:5" ht="15">
      <c r="B11" s="1389" t="s">
        <v>918</v>
      </c>
      <c r="C11" s="1390" t="s">
        <v>919</v>
      </c>
      <c r="D11" s="793">
        <f>结果表!H105</f>
        <v>0</v>
      </c>
    </row>
    <row r="12" spans="1:5" ht="15">
      <c r="B12" s="1389" t="s">
        <v>920</v>
      </c>
      <c r="C12" s="1390" t="s">
        <v>919</v>
      </c>
      <c r="D12" s="793">
        <f>结果表!H106</f>
        <v>0</v>
      </c>
    </row>
    <row r="13" spans="1:5" ht="15.75">
      <c r="B13" s="3175" t="str">
        <f>结果表!E107</f>
        <v>3.房地产抵押价值</v>
      </c>
      <c r="C13" s="1391" t="s">
        <v>910</v>
      </c>
      <c r="D13" s="794">
        <f ca="1">结果表!H107</f>
        <v>108366</v>
      </c>
    </row>
    <row r="14" spans="1:5" ht="15.75">
      <c r="B14" s="3176"/>
      <c r="C14" s="1386" t="s">
        <v>911</v>
      </c>
      <c r="D14" s="791" t="str">
        <f ca="1">NUMBERSTRING(INT(D13*10000),2)&amp;"元整"</f>
        <v>壹拾亿捌仟叁佰陆拾陆万元整</v>
      </c>
    </row>
    <row r="15" spans="1:5" ht="15">
      <c r="B15" s="3181"/>
      <c r="C15" s="1387" t="s">
        <v>921</v>
      </c>
      <c r="D15" s="800">
        <f ca="1">结果表!H108</f>
        <v>16734</v>
      </c>
    </row>
    <row r="16" spans="1:5" ht="15">
      <c r="B16" s="3182" t="str">
        <f>结果表!E109</f>
        <v>——</v>
      </c>
      <c r="C16" s="1391" t="s">
        <v>922</v>
      </c>
      <c r="D16" s="1392" t="str">
        <f>结果表!H109</f>
        <v>——</v>
      </c>
    </row>
    <row r="17" spans="1:5" ht="15.75">
      <c r="B17" s="3183"/>
      <c r="C17" s="1386" t="s">
        <v>923</v>
      </c>
      <c r="D17" s="791" t="e">
        <f>NUMBERSTRING(INT(D16*10000),2)&amp;"元整"</f>
        <v>#VALUE!</v>
      </c>
    </row>
    <row r="18" spans="1:5" ht="15">
      <c r="B18" s="3184"/>
      <c r="C18" s="1387" t="s">
        <v>912</v>
      </c>
      <c r="D18" s="800" t="str">
        <f>结果表!H110</f>
        <v>——</v>
      </c>
    </row>
    <row r="19" spans="1:5" ht="15.75">
      <c r="B19" s="3175" t="str">
        <f>结果表!E111</f>
        <v>——</v>
      </c>
      <c r="C19" s="1391" t="s">
        <v>910</v>
      </c>
      <c r="D19" s="792" t="str">
        <f>结果表!H111</f>
        <v>——</v>
      </c>
    </row>
    <row r="20" spans="1:5" ht="15.75">
      <c r="B20" s="3176"/>
      <c r="C20" s="1386" t="s">
        <v>923</v>
      </c>
      <c r="D20" s="791" t="e">
        <f>NUMBERSTRING(INT(D19*10000),2)&amp;"元整"</f>
        <v>#VALUE!</v>
      </c>
    </row>
    <row r="21" spans="1:5" ht="15.75" thickBot="1">
      <c r="B21" s="3177"/>
      <c r="C21" s="1393" t="s">
        <v>921</v>
      </c>
      <c r="D21" s="801"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2" customWidth="1"/>
    <col min="33" max="36" width="9.375" style="1887" customWidth="1"/>
    <col min="37" max="38" width="9.375" style="1837" customWidth="1"/>
    <col min="39" max="16384" width="12" style="1837"/>
  </cols>
  <sheetData>
    <row r="1" spans="1:36" ht="28.5">
      <c r="A1" s="187" t="s">
        <v>1925</v>
      </c>
      <c r="B1" s="188"/>
      <c r="C1" s="192" t="s">
        <v>1926</v>
      </c>
      <c r="D1" s="332">
        <f>SUM(D33:D34,D37:D42)</f>
        <v>0</v>
      </c>
      <c r="E1" s="1834"/>
      <c r="F1" s="1834"/>
      <c r="G1" s="1834"/>
      <c r="H1" s="1834"/>
      <c r="I1" s="1834"/>
      <c r="J1" s="1834"/>
      <c r="K1" s="1050"/>
      <c r="L1" s="1835" t="s">
        <v>1927</v>
      </c>
      <c r="M1" s="804">
        <f>SUMPRODUCT((区片价!B5:B9=I2)*(区片价!C3:G3=E2)*(区片价!C5:G9))</f>
        <v>0</v>
      </c>
      <c r="N1" s="807">
        <f>SUMPRODUCT((因素修正幅度!B5:B9=I2)*(因素修正幅度!C3:G3=E2)*(因素修正幅度!C5:G9))</f>
        <v>0</v>
      </c>
      <c r="O1" s="1836"/>
      <c r="P1" s="1836"/>
      <c r="Q1" s="1050"/>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2" t="s">
        <v>1933</v>
      </c>
      <c r="B2" s="195" t="e">
        <f>C30</f>
        <v>#DIV/0!</v>
      </c>
      <c r="C2" s="1838" t="s">
        <v>1934</v>
      </c>
      <c r="D2" s="161" t="s">
        <v>1935</v>
      </c>
      <c r="E2" s="3110"/>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4"/>
      <c r="K2" s="1050"/>
      <c r="L2" s="1839" t="s">
        <v>1938</v>
      </c>
      <c r="M2" s="805">
        <f>SUMPRODUCT((区片价!B10:B29=I2)*(区片价!C3:G3=E2)*(区片价!C10:G29))</f>
        <v>0</v>
      </c>
      <c r="N2" s="807">
        <f>SUMPRODUCT((因素修正幅度!B10:B29=I2)*(因素修正幅度!C3:G3=E2)*(因素修正幅度!C10:G29))</f>
        <v>0</v>
      </c>
      <c r="O2" s="1050"/>
      <c r="P2" s="1050"/>
      <c r="Q2" s="1050"/>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4" t="s">
        <v>1939</v>
      </c>
      <c r="B3" s="195" t="e">
        <f>ROUND(B2*10000/D1,0)</f>
        <v>#DIV/0!</v>
      </c>
      <c r="C3" s="1838" t="s">
        <v>1940</v>
      </c>
      <c r="D3" s="161" t="s">
        <v>1941</v>
      </c>
      <c r="E3" s="3108"/>
      <c r="F3" s="1840"/>
      <c r="G3" s="702">
        <f>IF(F3="宗地容积率",'数据-汇总表'!I4,IF(F3="估价对象容积率",'数据-汇总表'!I6,'数据-汇总表'!I7))</f>
        <v>0</v>
      </c>
      <c r="H3" s="161" t="s">
        <v>1942</v>
      </c>
      <c r="I3" s="723"/>
      <c r="J3" s="1834" t="s">
        <v>1943</v>
      </c>
      <c r="K3" s="1050"/>
      <c r="L3" s="1839" t="s">
        <v>1944</v>
      </c>
      <c r="M3" s="805">
        <f>SUMPRODUCT((区片价!B30:B54=I2)*(区片价!C3:G3=E2)*(区片价!C30:G54))</f>
        <v>0</v>
      </c>
      <c r="N3" s="807">
        <f>SUMPRODUCT((因素修正幅度!B30:B54=I2)*(因素修正幅度!C3:G3=E2)*(因素修正幅度!C30:G54))</f>
        <v>0</v>
      </c>
      <c r="O3" s="1050"/>
      <c r="P3" s="1050"/>
      <c r="Q3" s="1050"/>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469"/>
      <c r="B4" s="3470"/>
      <c r="C4" s="3470"/>
      <c r="D4" s="3471"/>
      <c r="E4" s="3471"/>
      <c r="F4" s="3471"/>
      <c r="G4" s="3471"/>
      <c r="H4" s="3471"/>
      <c r="I4" s="3471"/>
      <c r="J4" s="3472"/>
      <c r="K4" s="1050"/>
      <c r="L4" s="1839" t="s">
        <v>1945</v>
      </c>
      <c r="M4" s="805">
        <f>SUMPRODUCT((区片价!B55:B86=I2)*(区片价!C3:G3=E2)*(区片价!C55:G86))</f>
        <v>0</v>
      </c>
      <c r="N4" s="807">
        <f>SUMPRODUCT((因素修正幅度!B55:B86=I2)*(因素修正幅度!C3:G3=E2)*(因素修正幅度!C55:G86))</f>
        <v>0</v>
      </c>
      <c r="O4" s="1050"/>
      <c r="P4" s="1050"/>
      <c r="Q4" s="1050"/>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3" t="e">
        <f>ROUND(IF(E2="商业",C6*C7*C17+C20,(IF(E2="住宅",C6*C13*C17+C20,IF(E2="办公",C6*C12*C17+C20,C6+C20)))),0)</f>
        <v>#DIV/0!</v>
      </c>
      <c r="D5" s="1246" t="e">
        <f>ROUND(C6*C17+C20,0)</f>
        <v>#DIV/0!</v>
      </c>
      <c r="E5" s="1246"/>
      <c r="F5" s="1843"/>
      <c r="G5" s="1844"/>
      <c r="H5" s="1844"/>
      <c r="I5" s="1844"/>
      <c r="J5" s="1845"/>
      <c r="K5" s="1846"/>
      <c r="L5" s="1839" t="s">
        <v>1947</v>
      </c>
      <c r="M5" s="805">
        <f>SUMPRODUCT((区片价!B87:B126=I2)*(区片价!C3:G3=E2)*(区片价!C87:G126))</f>
        <v>0</v>
      </c>
      <c r="N5" s="807">
        <f>SUMPRODUCT((因素修正幅度!B87:B126=I2)*(因素修正幅度!C3:G3=E2)*(因素修正幅度!C87:G126))</f>
        <v>0</v>
      </c>
      <c r="O5" s="1050"/>
      <c r="P5" s="1050"/>
      <c r="Q5" s="1050"/>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4">
        <f>SUMIF(L1:L12,G2,M1:M12)</f>
        <v>0</v>
      </c>
      <c r="D6" s="1853"/>
      <c r="E6" s="1854"/>
      <c r="F6" s="1854"/>
      <c r="G6" s="1855"/>
      <c r="H6" s="1855"/>
      <c r="I6" s="1855"/>
      <c r="J6" s="1856"/>
      <c r="K6" s="1286"/>
      <c r="L6" s="1839" t="s">
        <v>1950</v>
      </c>
      <c r="M6" s="805">
        <f>SUMPRODUCT((区片价!B127:B189=I2)*(区片价!C3:G3=E2)*(区片价!C127:G189))</f>
        <v>0</v>
      </c>
      <c r="N6" s="807">
        <f>SUMPRODUCT((因素修正幅度!B127:B189=I2)*(因素修正幅度!C3:G3=E2)*(因素修正幅度!C127:G189))</f>
        <v>0</v>
      </c>
      <c r="O6" s="1050"/>
      <c r="P6" s="1050"/>
      <c r="Q6" s="1050"/>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3234</v>
      </c>
      <c r="B7" s="1857" t="s">
        <v>1951</v>
      </c>
      <c r="C7" s="705" t="e">
        <f>IF(C8="不临65条商业街",1,ROUND(1+(1.6*E8+1.2*E9+0.8*E10+0.4*E11)*C9,4))</f>
        <v>#DIV/0!</v>
      </c>
      <c r="D7" s="1858" t="s">
        <v>1952</v>
      </c>
      <c r="E7" s="724"/>
      <c r="F7" s="1859"/>
      <c r="G7" s="1860"/>
      <c r="H7" s="1860"/>
      <c r="I7" s="1860"/>
      <c r="J7" s="1861"/>
      <c r="K7" s="1286"/>
      <c r="L7" s="1839" t="s">
        <v>1953</v>
      </c>
      <c r="M7" s="805">
        <f>SUMPRODUCT((区片价!B190:B233=I2)*(区片价!C3:G3=E2)*(区片价!C190:G233))</f>
        <v>0</v>
      </c>
      <c r="N7" s="807">
        <f>SUMPRODUCT((因素修正幅度!B190:B233=I2)*(因素修正幅度!C3:G3=E2)*(因素修正幅度!C190:G233))</f>
        <v>0</v>
      </c>
      <c r="O7" s="1050"/>
      <c r="P7" s="1050"/>
      <c r="Q7" s="1050"/>
      <c r="R7" s="1123">
        <v>6</v>
      </c>
      <c r="S7" s="3107"/>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1" t="s">
        <v>1956</v>
      </c>
      <c r="C8" s="1862"/>
      <c r="D8" s="706" t="s">
        <v>112</v>
      </c>
      <c r="E8" s="707" t="e">
        <f>ROUND(C11/E7,4)</f>
        <v>#DIV/0!</v>
      </c>
      <c r="F8" s="1863" t="s">
        <v>1957</v>
      </c>
      <c r="G8" s="1864"/>
      <c r="H8" s="1864"/>
      <c r="I8" s="1864"/>
      <c r="J8" s="1865"/>
      <c r="K8" s="1050"/>
      <c r="L8" s="1839" t="s">
        <v>1958</v>
      </c>
      <c r="M8" s="805">
        <f>SUMPRODUCT((区片价!B234:B276=I2)*(区片价!C3:G3=E2)*(区片价!C234:G276))</f>
        <v>0</v>
      </c>
      <c r="N8" s="807">
        <f>SUMPRODUCT((因素修正幅度!B234:B276=I2)*(因素修正幅度!C3:G3=E2)*(因素修正幅度!C234:G276))</f>
        <v>0</v>
      </c>
      <c r="O8" s="1050"/>
      <c r="P8" s="1050"/>
      <c r="Q8" s="1050"/>
      <c r="R8" s="1123">
        <v>7</v>
      </c>
      <c r="S8" s="1124"/>
      <c r="T8" s="3054" t="e">
        <f t="shared" si="0"/>
        <v>#DIV/0!</v>
      </c>
      <c r="U8" s="1124"/>
      <c r="V8" s="3054" t="e">
        <f t="shared" si="1"/>
        <v>#DIV/0!</v>
      </c>
      <c r="W8" s="3466" t="s">
        <v>1959</v>
      </c>
      <c r="X8" s="3467"/>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1" t="s">
        <v>1972</v>
      </c>
      <c r="C9" s="708">
        <f>SUMIF(修正!C71:C138,C8,修正!E71:E138)</f>
        <v>0</v>
      </c>
      <c r="D9" s="162" t="s">
        <v>113</v>
      </c>
      <c r="E9" s="162" t="e">
        <f>ROUND(C11/E7,4)</f>
        <v>#DIV/0!</v>
      </c>
      <c r="F9" s="1863" t="s">
        <v>1973</v>
      </c>
      <c r="G9" s="1864"/>
      <c r="H9" s="1864"/>
      <c r="I9" s="1864"/>
      <c r="J9" s="1865"/>
      <c r="K9" s="1050"/>
      <c r="L9" s="1839" t="s">
        <v>1974</v>
      </c>
      <c r="M9" s="805">
        <f>SUMPRODUCT((区片价!B277:B326=I2)*(区片价!C3:G3=E2)*(区片价!C277:G326))</f>
        <v>0</v>
      </c>
      <c r="N9" s="807">
        <f>SUMPRODUCT((因素修正幅度!B277:B326=I2)*(因素修正幅度!C3:G3=E2)*(因素修正幅度!C277:G326))</f>
        <v>0</v>
      </c>
      <c r="O9" s="1050"/>
      <c r="P9" s="1050"/>
      <c r="Q9" s="1050"/>
      <c r="R9" s="1123">
        <v>8</v>
      </c>
      <c r="S9" s="1124"/>
      <c r="T9" s="3054" t="e">
        <f t="shared" si="0"/>
        <v>#DIV/0!</v>
      </c>
      <c r="U9" s="1124"/>
      <c r="V9" s="3054" t="e">
        <f t="shared" si="1"/>
        <v>#DIV/0!</v>
      </c>
      <c r="W9" s="3468"/>
      <c r="X9" s="3055" t="s">
        <v>3265</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1" t="s">
        <v>1975</v>
      </c>
      <c r="C10" s="162">
        <f>SUMIF(修正!C71:C138,C8,修正!F71:F138)</f>
        <v>0</v>
      </c>
      <c r="D10" s="162" t="s">
        <v>114</v>
      </c>
      <c r="E10" s="162" t="e">
        <f>ROUND(C11/E7,4)</f>
        <v>#DIV/0!</v>
      </c>
      <c r="F10" s="1863" t="s">
        <v>1976</v>
      </c>
      <c r="G10" s="1864"/>
      <c r="H10" s="1864"/>
      <c r="I10" s="1864"/>
      <c r="J10" s="1865"/>
      <c r="K10" s="1050"/>
      <c r="L10" s="1839" t="s">
        <v>1977</v>
      </c>
      <c r="M10" s="805">
        <f>SUMPRODUCT((区片价!B327:B357=I2)*(区片价!C3:G3=E2)*(区片价!C327:G357))</f>
        <v>0</v>
      </c>
      <c r="N10" s="807">
        <f>SUMPRODUCT((因素修正幅度!B327:B357=I2)*(因素修正幅度!C3:G3=E2)*(因素修正幅度!C327:G357))</f>
        <v>0</v>
      </c>
      <c r="O10" s="1050"/>
      <c r="P10" s="1050"/>
      <c r="Q10" s="1050"/>
      <c r="R10" s="1123">
        <v>9</v>
      </c>
      <c r="S10" s="1124"/>
      <c r="T10" s="3054" t="e">
        <f t="shared" si="0"/>
        <v>#DIV/0!</v>
      </c>
      <c r="U10" s="1124"/>
      <c r="V10" s="3054" t="e">
        <f t="shared" si="1"/>
        <v>#DIV/0!</v>
      </c>
      <c r="W10" s="3468"/>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09">
        <f>C10/4</f>
        <v>0</v>
      </c>
      <c r="D11" s="709" t="s">
        <v>115</v>
      </c>
      <c r="E11" s="709" t="e">
        <f>ROUND(C11/E7,4)</f>
        <v>#DIV/0!</v>
      </c>
      <c r="F11" s="1867" t="s">
        <v>1979</v>
      </c>
      <c r="G11" s="1868"/>
      <c r="H11" s="1868"/>
      <c r="I11" s="1868"/>
      <c r="J11" s="1869"/>
      <c r="K11" s="1050"/>
      <c r="L11" s="1839" t="s">
        <v>1980</v>
      </c>
      <c r="M11" s="805">
        <f>SUMPRODUCT((区片价!B358:B377=I2)*(区片价!C3:G3=E2)*(区片价!C358:G377))</f>
        <v>0</v>
      </c>
      <c r="N11" s="807">
        <f>SUMPRODUCT((因素修正幅度!B358:B377=I2)*(因素修正幅度!C3:G3=E2)*(因素修正幅度!C358:G377))</f>
        <v>0</v>
      </c>
      <c r="O11" s="1050"/>
      <c r="P11" s="1050"/>
      <c r="Q11" s="1050"/>
      <c r="R11" s="1123">
        <v>10</v>
      </c>
      <c r="S11" s="1124"/>
      <c r="T11" s="3054" t="e">
        <f t="shared" si="0"/>
        <v>#DIV/0!</v>
      </c>
      <c r="U11" s="1124"/>
      <c r="V11" s="3054" t="e">
        <f t="shared" si="1"/>
        <v>#DIV/0!</v>
      </c>
      <c r="W11" s="1127"/>
      <c r="X11" s="1127"/>
      <c r="Y11" s="1127"/>
      <c r="Z11" s="1127"/>
      <c r="AA11" s="1127"/>
      <c r="AB11" s="1127"/>
      <c r="AC11" s="1128"/>
      <c r="AD11" s="2544"/>
      <c r="AE11" s="2544"/>
      <c r="AF11" s="2544"/>
      <c r="AG11" s="2544"/>
      <c r="AH11" s="2544"/>
      <c r="AI11" s="2544"/>
      <c r="AJ11" s="2545"/>
    </row>
    <row r="12" spans="1:36" ht="25.5" thickBot="1">
      <c r="A12" s="3003" t="s">
        <v>3235</v>
      </c>
      <c r="B12" s="3004" t="s">
        <v>3236</v>
      </c>
      <c r="C12" s="3005"/>
      <c r="D12" s="3006" t="s">
        <v>3237</v>
      </c>
      <c r="E12" s="3007" t="s">
        <v>3238</v>
      </c>
      <c r="F12" s="3008"/>
      <c r="G12" s="3009"/>
      <c r="H12" s="3009"/>
      <c r="I12" s="3009"/>
      <c r="J12" s="3010"/>
      <c r="K12" s="1050"/>
      <c r="L12" s="1788" t="s">
        <v>1983</v>
      </c>
      <c r="M12" s="806">
        <f>SUMPRODUCT((区片价!B378:B384=I2)*(区片价!C3:G3=E2)*(区片价!C378:G384))</f>
        <v>0</v>
      </c>
      <c r="N12" s="807">
        <f>SUMPRODUCT((因素修正幅度!B378:B384=I2)*(因素修正幅度!C3:G3=E2)*(因素修正幅度!C378:G384))</f>
        <v>0</v>
      </c>
      <c r="O12" s="1050"/>
      <c r="P12" s="1050"/>
      <c r="Q12" s="1050"/>
      <c r="R12" s="1123">
        <v>11</v>
      </c>
      <c r="S12" s="1124"/>
      <c r="T12" s="3054" t="e">
        <f t="shared" si="0"/>
        <v>#DIV/0!</v>
      </c>
      <c r="U12" s="1124"/>
      <c r="V12" s="3054" t="e">
        <f t="shared" si="1"/>
        <v>#DIV/0!</v>
      </c>
      <c r="W12" s="1127"/>
      <c r="X12" s="1127"/>
      <c r="Y12" s="1127"/>
      <c r="Z12" s="1127"/>
      <c r="AA12" s="1127"/>
      <c r="AB12" s="1127"/>
      <c r="AC12" s="1128"/>
      <c r="AD12" s="2544"/>
      <c r="AE12" s="2544"/>
      <c r="AF12" s="2544"/>
      <c r="AG12" s="2544"/>
      <c r="AH12" s="2544"/>
      <c r="AI12" s="2544"/>
      <c r="AJ12" s="2545"/>
    </row>
    <row r="13" spans="1:36" ht="15.75" thickBot="1">
      <c r="A13" s="3003" t="s">
        <v>3239</v>
      </c>
      <c r="B13" s="1870" t="s">
        <v>1981</v>
      </c>
      <c r="C13" s="705">
        <f>ROUND(C16*D16*E16*F16*G16*H16*I16*J16,4)</f>
        <v>0</v>
      </c>
      <c r="D13" s="1871" t="s">
        <v>1982</v>
      </c>
      <c r="E13" s="1872"/>
      <c r="F13" s="1872"/>
      <c r="G13" s="1873"/>
      <c r="H13" s="1873"/>
      <c r="I13" s="1873"/>
      <c r="J13" s="1874"/>
      <c r="K13" s="1050"/>
      <c r="L13" s="3"/>
      <c r="M13" s="4"/>
      <c r="N13" s="3001"/>
      <c r="O13" s="1050"/>
      <c r="P13" s="1050"/>
      <c r="Q13" s="1050"/>
      <c r="R13" s="1123">
        <v>12</v>
      </c>
      <c r="S13" s="1124"/>
      <c r="T13" s="3054" t="e">
        <f t="shared" si="0"/>
        <v>#DIV/0!</v>
      </c>
      <c r="U13" s="1124"/>
      <c r="V13" s="3054" t="e">
        <f t="shared" si="1"/>
        <v>#DIV/0!</v>
      </c>
      <c r="W13" s="1127"/>
      <c r="X13" s="1127"/>
      <c r="Y13" s="1127"/>
      <c r="Z13" s="1127"/>
      <c r="AA13" s="1127"/>
      <c r="AB13" s="1127"/>
      <c r="AC13" s="1128"/>
      <c r="AD13" s="2544"/>
      <c r="AE13" s="2544"/>
      <c r="AF13" s="2544"/>
      <c r="AG13" s="2544"/>
      <c r="AH13" s="2544"/>
      <c r="AI13" s="2544"/>
      <c r="AJ13" s="2545"/>
    </row>
    <row r="14" spans="1:36" ht="15">
      <c r="A14" s="2999"/>
      <c r="B14" s="1875" t="s">
        <v>1984</v>
      </c>
      <c r="C14" s="1876" t="s">
        <v>1985</v>
      </c>
      <c r="D14" s="1255" t="s">
        <v>1986</v>
      </c>
      <c r="E14" s="27" t="s">
        <v>1987</v>
      </c>
      <c r="F14" s="3011" t="s">
        <v>3240</v>
      </c>
      <c r="G14" s="3011" t="s">
        <v>3240</v>
      </c>
      <c r="H14" s="3011" t="s">
        <v>3240</v>
      </c>
      <c r="I14" s="3011" t="s">
        <v>3240</v>
      </c>
      <c r="J14" s="3011" t="s">
        <v>3240</v>
      </c>
      <c r="K14" s="1050"/>
      <c r="L14" s="1050"/>
      <c r="M14" s="1050"/>
      <c r="N14" s="1050"/>
      <c r="O14" s="1050"/>
      <c r="P14" s="1050"/>
      <c r="Q14" s="1050"/>
      <c r="R14" s="1123">
        <v>13</v>
      </c>
      <c r="S14" s="1124"/>
      <c r="T14" s="3054" t="e">
        <f t="shared" si="0"/>
        <v>#DIV/0!</v>
      </c>
      <c r="U14" s="1124"/>
      <c r="V14" s="3054" t="e">
        <f t="shared" si="1"/>
        <v>#DIV/0!</v>
      </c>
      <c r="W14" s="1127"/>
      <c r="X14" s="1127"/>
      <c r="Y14" s="1127"/>
      <c r="Z14" s="1127"/>
      <c r="AA14" s="1127"/>
      <c r="AB14" s="1127"/>
      <c r="AC14" s="1128"/>
      <c r="AD14" s="2544"/>
      <c r="AE14" s="2544"/>
      <c r="AF14" s="2544"/>
      <c r="AG14" s="2544"/>
      <c r="AH14" s="2544"/>
      <c r="AI14" s="2544"/>
      <c r="AJ14" s="2545"/>
    </row>
    <row r="15" spans="1:36" ht="15">
      <c r="A15" s="2999"/>
      <c r="B15" s="1877"/>
      <c r="C15" s="1878"/>
      <c r="D15" s="1879"/>
      <c r="E15" s="1880"/>
      <c r="F15" s="1464" t="s">
        <v>3241</v>
      </c>
      <c r="G15" s="1920"/>
      <c r="H15" s="3012"/>
      <c r="I15" s="3013"/>
      <c r="J15" s="3014"/>
      <c r="K15" s="1050"/>
      <c r="L15" s="1050"/>
      <c r="M15" s="1050"/>
      <c r="N15" s="1050"/>
      <c r="O15" s="1050"/>
      <c r="P15" s="1050"/>
      <c r="Q15" s="1050"/>
      <c r="R15" s="1123">
        <v>14</v>
      </c>
      <c r="S15" s="1124"/>
      <c r="T15" s="3054" t="e">
        <f t="shared" si="0"/>
        <v>#DIV/0!</v>
      </c>
      <c r="U15" s="1124"/>
      <c r="V15" s="3054" t="e">
        <f t="shared" si="1"/>
        <v>#DIV/0!</v>
      </c>
      <c r="W15" s="1127"/>
      <c r="X15" s="1127"/>
      <c r="Y15" s="1127"/>
      <c r="Z15" s="1127"/>
      <c r="AA15" s="1127"/>
      <c r="AB15" s="1127"/>
      <c r="AC15" s="1128"/>
      <c r="AD15" s="2544"/>
      <c r="AE15" s="2544"/>
      <c r="AF15" s="2544"/>
      <c r="AG15" s="2544"/>
      <c r="AH15" s="2544"/>
      <c r="AI15" s="2544"/>
      <c r="AJ15" s="2545"/>
    </row>
    <row r="16" spans="1:36" ht="15.75" thickBot="1">
      <c r="A16" s="2999"/>
      <c r="B16" s="3017" t="s">
        <v>1988</v>
      </c>
      <c r="C16" s="3015"/>
      <c r="D16" s="3015"/>
      <c r="E16" s="3015"/>
      <c r="F16" s="3015">
        <v>1</v>
      </c>
      <c r="G16" s="3015">
        <v>1</v>
      </c>
      <c r="H16" s="3015">
        <v>1</v>
      </c>
      <c r="I16" s="3015">
        <v>1</v>
      </c>
      <c r="J16" s="3016">
        <v>1</v>
      </c>
      <c r="K16" s="1050"/>
      <c r="L16" s="1836"/>
      <c r="M16" s="1836"/>
      <c r="N16" s="1836"/>
      <c r="O16" s="1836"/>
      <c r="P16" s="1836"/>
      <c r="Q16" s="1050"/>
      <c r="R16" s="1123">
        <v>15</v>
      </c>
      <c r="S16" s="1124"/>
      <c r="T16" s="3054" t="e">
        <f t="shared" si="0"/>
        <v>#DIV/0!</v>
      </c>
      <c r="U16" s="1124"/>
      <c r="V16" s="3054" t="e">
        <f t="shared" si="1"/>
        <v>#DIV/0!</v>
      </c>
      <c r="W16" s="1127"/>
      <c r="X16" s="1127"/>
      <c r="Y16" s="1127"/>
      <c r="Z16" s="1127"/>
      <c r="AA16" s="1127"/>
      <c r="AB16" s="1127"/>
      <c r="AC16" s="1128"/>
      <c r="AD16" s="2544"/>
      <c r="AE16" s="2544"/>
      <c r="AF16" s="2544"/>
      <c r="AG16" s="2544"/>
      <c r="AH16" s="2544"/>
      <c r="AI16" s="2544"/>
      <c r="AJ16" s="2545"/>
    </row>
    <row r="17" spans="1:37">
      <c r="A17" s="3026" t="s">
        <v>3242</v>
      </c>
      <c r="B17" s="3018" t="s">
        <v>3243</v>
      </c>
      <c r="C17" s="3027">
        <f>ROUND(IF(OR(E2="工业",E2="公共服务"),1,IF(AND(E18=0,E19=0),1,IF(AND(E18=J24,E19=G19),0.8,IF(E19=0,1+E17*(-0.2),1+E17*G17*(-0.2))))),4)</f>
        <v>1</v>
      </c>
      <c r="D17" s="3019" t="s">
        <v>3244</v>
      </c>
      <c r="E17" s="3027" t="e">
        <f>ROUND(G18/I18,2)</f>
        <v>#DIV/0!</v>
      </c>
      <c r="F17" s="3019" t="s">
        <v>3247</v>
      </c>
      <c r="G17" s="3027" t="e">
        <f>ROUND(E19/G19,2)</f>
        <v>#DIV/0!</v>
      </c>
      <c r="H17" s="3027"/>
      <c r="I17" s="3027"/>
      <c r="J17" s="3028"/>
      <c r="K17" s="1050"/>
      <c r="L17" s="1836"/>
      <c r="M17" s="1836"/>
      <c r="N17" s="1836"/>
      <c r="O17" s="1836"/>
      <c r="P17" s="1836"/>
      <c r="Q17" s="1050"/>
      <c r="R17" s="1050"/>
      <c r="S17" s="1050"/>
      <c r="T17" s="1050"/>
      <c r="U17" s="1050"/>
      <c r="V17" s="1050"/>
      <c r="W17" s="1050"/>
      <c r="X17" s="1050"/>
      <c r="Y17" s="1050"/>
      <c r="Z17" s="1051"/>
      <c r="AA17" s="1051"/>
      <c r="AB17" s="1051"/>
      <c r="AC17" s="1051"/>
      <c r="AD17" s="1051"/>
      <c r="AE17" s="1050"/>
      <c r="AF17" s="1050"/>
      <c r="AG17" s="1836"/>
      <c r="AH17" s="1836"/>
      <c r="AI17" s="1836"/>
      <c r="AJ17" s="1836"/>
    </row>
    <row r="18" spans="1:37" s="1850" customFormat="1" ht="14.25">
      <c r="A18" s="3029"/>
      <c r="B18" s="2301"/>
      <c r="C18" s="3025"/>
      <c r="D18" s="3020" t="s">
        <v>3245</v>
      </c>
      <c r="E18" s="2348"/>
      <c r="F18" s="3021" t="s">
        <v>3248</v>
      </c>
      <c r="G18" s="3025">
        <f>ROUND(1-(1/(POWER(1+G24,E18))),4)</f>
        <v>0</v>
      </c>
      <c r="H18" s="3021" t="s">
        <v>3250</v>
      </c>
      <c r="I18" s="3025">
        <f>ROUND(1-(1/(POWER(1+G24,J24))),4)</f>
        <v>0</v>
      </c>
      <c r="J18" s="3030"/>
      <c r="K18" s="1050"/>
      <c r="L18" s="1836"/>
      <c r="M18" s="1836"/>
      <c r="N18" s="1836"/>
      <c r="O18" s="1836"/>
      <c r="P18" s="1836"/>
      <c r="Q18" s="1050"/>
      <c r="R18" s="1054"/>
      <c r="S18" s="1054"/>
      <c r="T18" s="1051"/>
      <c r="U18" s="1051"/>
      <c r="V18" s="1051"/>
      <c r="W18" s="1050"/>
      <c r="X18" s="1050"/>
      <c r="Y18" s="1050"/>
      <c r="Z18" s="1055"/>
      <c r="AA18" s="1055"/>
      <c r="AB18" s="1055"/>
      <c r="AC18" s="1055"/>
      <c r="AD18" s="1055"/>
      <c r="AE18" s="1051"/>
      <c r="AF18" s="1051"/>
      <c r="AG18" s="1972"/>
      <c r="AH18" s="1972"/>
      <c r="AI18" s="1972"/>
      <c r="AJ18" s="2543"/>
    </row>
    <row r="19" spans="1:37" s="1850" customFormat="1" ht="15" thickBot="1">
      <c r="A19" s="3031"/>
      <c r="B19" s="3032"/>
      <c r="C19" s="3033"/>
      <c r="D19" s="3033" t="s">
        <v>3246</v>
      </c>
      <c r="E19" s="3034"/>
      <c r="F19" s="3035" t="s">
        <v>3249</v>
      </c>
      <c r="G19" s="3034"/>
      <c r="H19" s="3033"/>
      <c r="I19" s="3033"/>
      <c r="J19" s="3036"/>
      <c r="K19" s="1050"/>
      <c r="L19" s="1836"/>
      <c r="M19" s="1836"/>
      <c r="N19" s="1836"/>
      <c r="O19" s="1836"/>
      <c r="P19" s="1836"/>
      <c r="Q19" s="1054"/>
      <c r="R19" s="1054"/>
      <c r="S19" s="1054"/>
      <c r="T19" s="1051"/>
      <c r="U19" s="1051"/>
      <c r="V19" s="1051"/>
      <c r="W19" s="1050"/>
      <c r="X19" s="1050"/>
      <c r="Y19" s="1050"/>
      <c r="Z19" s="1055"/>
      <c r="AA19" s="1055"/>
      <c r="AB19" s="1055"/>
      <c r="AC19" s="1055"/>
      <c r="AD19" s="1055"/>
      <c r="AE19" s="1055"/>
      <c r="AF19" s="1054"/>
      <c r="AG19" s="2546"/>
      <c r="AH19" s="1972"/>
      <c r="AI19" s="560"/>
      <c r="AJ19" s="560"/>
      <c r="AK19" s="1891"/>
    </row>
    <row r="20" spans="1:37" s="1850" customFormat="1" ht="14.25">
      <c r="A20" s="3473" t="s">
        <v>3251</v>
      </c>
      <c r="B20" s="158" t="s">
        <v>1993</v>
      </c>
      <c r="C20" s="3022" t="e">
        <f>ROUND(IF(F21="与级别开发程度一致",0,(G21-E21)/C21),0)</f>
        <v>#DIV/0!</v>
      </c>
      <c r="D20" s="3037" t="s">
        <v>1997</v>
      </c>
      <c r="E20" s="3038"/>
      <c r="F20" s="3479" t="s">
        <v>1994</v>
      </c>
      <c r="G20" s="3480"/>
      <c r="H20" s="3023"/>
      <c r="I20" s="3023"/>
      <c r="J20" s="3024"/>
      <c r="K20" s="1881"/>
      <c r="L20" s="1881"/>
      <c r="M20" s="1881"/>
      <c r="N20" s="1881"/>
      <c r="O20" s="1882"/>
      <c r="P20" s="1836"/>
      <c r="Q20" s="1054"/>
      <c r="R20" s="1054"/>
      <c r="S20" s="1054"/>
      <c r="T20" s="1051"/>
      <c r="U20" s="1051"/>
      <c r="V20" s="1051"/>
      <c r="W20" s="1050"/>
      <c r="X20" s="1050"/>
      <c r="Y20" s="1050"/>
      <c r="Z20" s="1055"/>
      <c r="AA20" s="1055"/>
      <c r="AB20" s="1055"/>
      <c r="AC20" s="1055"/>
      <c r="AD20" s="1055"/>
      <c r="AE20" s="1055"/>
      <c r="AF20" s="1055"/>
      <c r="AG20" s="2543"/>
      <c r="AH20" s="2543"/>
      <c r="AI20" s="2543"/>
      <c r="AJ20" s="2543"/>
    </row>
    <row r="21" spans="1:37" s="1850" customFormat="1" ht="15" thickBot="1">
      <c r="A21" s="3474"/>
      <c r="B21" s="1994" t="s">
        <v>1996</v>
      </c>
      <c r="C21" s="1995">
        <f>IF(E3="M4科研用地",SUMPRODUCT((修正!A2:A7=E3)*(修正!B1:M1=G2)*(修正!B2:M7)),SUMPRODUCT((修正!A2:A7=E2)*(修正!B1:M1=G2)*(修正!B2:M7)))</f>
        <v>0</v>
      </c>
      <c r="D21" s="178"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3"/>
      <c r="R21" s="1054"/>
      <c r="S21" s="1054"/>
      <c r="T21" s="1051"/>
      <c r="U21" s="1051"/>
      <c r="V21" s="1051"/>
      <c r="W21" s="1050"/>
      <c r="X21" s="1050"/>
      <c r="Y21" s="1050"/>
      <c r="Z21" s="1055"/>
      <c r="AA21" s="1055"/>
      <c r="AB21" s="1055"/>
      <c r="AC21" s="1055"/>
      <c r="AD21" s="1055"/>
      <c r="AE21" s="1055"/>
      <c r="AF21" s="1055"/>
      <c r="AG21" s="2543"/>
      <c r="AH21" s="2543"/>
      <c r="AI21" s="2543"/>
      <c r="AJ21" s="2543"/>
    </row>
    <row r="22" spans="1:37" s="1850" customFormat="1" ht="15.75" thickBot="1">
      <c r="A22" s="1988" t="s">
        <v>363</v>
      </c>
      <c r="B22" s="1989" t="s">
        <v>1999</v>
      </c>
      <c r="C22" s="1990">
        <f>SUMIF(修正!C20:C51,E3,修正!E20:E51)</f>
        <v>0</v>
      </c>
      <c r="D22" s="1991"/>
      <c r="E22" s="1992"/>
      <c r="F22" s="1992"/>
      <c r="G22" s="1992"/>
      <c r="H22" s="1992"/>
      <c r="I22" s="1992"/>
      <c r="J22" s="1993"/>
      <c r="K22" s="1055"/>
      <c r="L22" s="2543"/>
      <c r="M22" s="2543"/>
      <c r="N22" s="2543"/>
      <c r="O22" s="1053"/>
      <c r="P22" s="1053"/>
      <c r="Q22" s="2543"/>
      <c r="R22" s="1054"/>
      <c r="S22" s="1054"/>
      <c r="T22" s="1051"/>
      <c r="U22" s="1051"/>
      <c r="V22" s="1051"/>
      <c r="W22" s="1050"/>
      <c r="X22" s="1050"/>
      <c r="Y22" s="1050"/>
      <c r="Z22" s="1055"/>
      <c r="AA22" s="1055"/>
      <c r="AB22" s="1055"/>
      <c r="AC22" s="1055"/>
      <c r="AD22" s="1055"/>
      <c r="AE22" s="1055"/>
      <c r="AF22" s="1055"/>
      <c r="AG22" s="2543"/>
      <c r="AH22" s="2543"/>
      <c r="AI22" s="2543"/>
      <c r="AJ22" s="2543"/>
    </row>
    <row r="23" spans="1:37" ht="26.25" thickBot="1">
      <c r="A23" s="1884" t="s">
        <v>364</v>
      </c>
      <c r="B23" s="1885" t="s">
        <v>2000</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8" t="s">
        <v>2001</v>
      </c>
      <c r="E23" s="711">
        <v>44197</v>
      </c>
      <c r="F23" s="1888" t="s">
        <v>2002</v>
      </c>
      <c r="G23" s="712">
        <f>'数据-取费表'!B2</f>
        <v>45595</v>
      </c>
      <c r="H23" s="3039" t="s">
        <v>3253</v>
      </c>
      <c r="I23" s="3040" t="str">
        <f>IF(H23="季度增幅（自定义）",SUMIF(N25:N28,E2,O25:O28),"")</f>
        <v/>
      </c>
      <c r="J23" s="3130" t="s">
        <v>3252</v>
      </c>
      <c r="K23" s="1055"/>
      <c r="L23" s="1889" t="s">
        <v>2003</v>
      </c>
      <c r="M23" s="1235">
        <f>ROUND(SUMIF(地价!B2:G2,E2,地价!B16:G16),0)</f>
        <v>0</v>
      </c>
      <c r="N23" s="1890" t="s">
        <v>2004</v>
      </c>
      <c r="O23" s="713">
        <f>ROUNDDOWN(DATEDIF(E23,G23,"M")/3,0)</f>
        <v>15</v>
      </c>
      <c r="P23" s="1051"/>
      <c r="Q23" s="2543"/>
      <c r="R23" s="1054"/>
      <c r="S23" s="1054"/>
      <c r="T23" s="1051"/>
      <c r="U23" s="1051"/>
      <c r="V23" s="1051"/>
      <c r="W23" s="1050"/>
      <c r="X23" s="1050"/>
      <c r="Y23" s="1050"/>
      <c r="Z23" s="1055"/>
      <c r="AA23" s="1055"/>
      <c r="AB23" s="1055"/>
      <c r="AC23" s="1055"/>
      <c r="AD23" s="1055"/>
      <c r="AE23" s="1051"/>
      <c r="AF23" s="1051"/>
      <c r="AG23" s="1972"/>
      <c r="AH23" s="1972"/>
      <c r="AI23" s="1972"/>
      <c r="AJ23" s="1972"/>
      <c r="AK23" s="1887"/>
    </row>
    <row r="24" spans="1:37" s="1850" customFormat="1" ht="24.75" thickBot="1">
      <c r="A24" s="1892" t="s">
        <v>365</v>
      </c>
      <c r="B24" s="1893" t="s">
        <v>2005</v>
      </c>
      <c r="C24" s="714" t="e">
        <f>ROUND(POWER(1+G24,J24-I24)*(POWER(1+G24,I24)-1)/(POWER(1+G24,J24)-1),4)</f>
        <v>#DIV/0!</v>
      </c>
      <c r="D24" s="1894" t="s">
        <v>2006</v>
      </c>
      <c r="E24" s="1242">
        <f>存贷款利率!E27/100</f>
        <v>4.3499999999999997E-2</v>
      </c>
      <c r="F24" s="1894" t="s">
        <v>1998</v>
      </c>
      <c r="G24" s="718">
        <f>SUMIF(M30:Q30,E2,M33:Q33)</f>
        <v>0</v>
      </c>
      <c r="H24" s="1894" t="s">
        <v>2007</v>
      </c>
      <c r="I24" s="719" t="e">
        <f>SUMIF('数据-取费表'!C6:C15,E2,'数据-取费表'!F6:F15)/COUNTIF('数据-取费表'!C6:C15,E2)</f>
        <v>#DIV/0!</v>
      </c>
      <c r="J24" s="720">
        <f>IF(E2="住宅",70,IF(E2="商业",40,50))</f>
        <v>50</v>
      </c>
      <c r="K24" s="1055"/>
      <c r="L24" s="1895" t="s">
        <v>2008</v>
      </c>
      <c r="M24" s="1236">
        <f>ROUND(SUMPRODUCT((地价!A4:A16=YEAR(G23)&amp;"-"&amp;ROUNDUP(MONTH(G23)/3,0))*(地价!B2:G2=E2)*(地价!B4:G16)),0)</f>
        <v>0</v>
      </c>
      <c r="N24" s="1896" t="s">
        <v>2009</v>
      </c>
      <c r="O24" s="1897" t="s">
        <v>2010</v>
      </c>
      <c r="P24" s="1898" t="s">
        <v>2011</v>
      </c>
      <c r="Q24" s="1836"/>
      <c r="R24" s="1054"/>
      <c r="S24" s="1054"/>
      <c r="T24" s="1051"/>
      <c r="U24" s="1051"/>
      <c r="V24" s="1051"/>
      <c r="W24" s="1050"/>
      <c r="X24" s="1050"/>
      <c r="Y24" s="1050"/>
      <c r="Z24" s="1055"/>
      <c r="AA24" s="1055"/>
      <c r="AB24" s="1055"/>
      <c r="AC24" s="1055"/>
      <c r="AD24" s="1055"/>
      <c r="AE24" s="1055"/>
      <c r="AF24" s="1055"/>
      <c r="AG24" s="2543"/>
      <c r="AH24" s="2543"/>
      <c r="AI24" s="2543"/>
      <c r="AJ24" s="2543"/>
    </row>
    <row r="25" spans="1:37" ht="15">
      <c r="A25" s="1899" t="s">
        <v>366</v>
      </c>
      <c r="B25" s="1900" t="s">
        <v>3332</v>
      </c>
      <c r="C25" s="460">
        <f>IF(B25="容积率修正",IF(G3&lt;10,D26,J26),C27)</f>
        <v>0</v>
      </c>
      <c r="D25" s="1901"/>
      <c r="E25" s="1901"/>
      <c r="F25" s="1901"/>
      <c r="G25" s="1901"/>
      <c r="H25" s="1901"/>
      <c r="I25" s="1901"/>
      <c r="J25" s="1902"/>
      <c r="K25" s="1055"/>
      <c r="L25" s="2543"/>
      <c r="M25" s="2543"/>
      <c r="N25" s="1903" t="s">
        <v>2012</v>
      </c>
      <c r="O25" s="1087"/>
      <c r="P25" s="1088">
        <f>SUMPRODUCT((地价!A3:A40=YEAR(G23)&amp;"-"&amp;ROUNDUP(MONTH(G23)/3,0))*(地价!AD2:AH2=N25)*(地价!AD3:AH40))</f>
        <v>0</v>
      </c>
      <c r="Q25" s="2543"/>
      <c r="R25" s="1054"/>
      <c r="S25" s="1054"/>
      <c r="T25" s="1051"/>
      <c r="U25" s="1051"/>
      <c r="V25" s="1051"/>
      <c r="W25" s="1050"/>
      <c r="X25" s="1050"/>
      <c r="Y25" s="1050"/>
      <c r="Z25" s="1055"/>
      <c r="AA25" s="1055"/>
      <c r="AB25" s="1055"/>
      <c r="AC25" s="1055"/>
      <c r="AD25" s="1055"/>
      <c r="AE25" s="1051"/>
      <c r="AF25" s="1051"/>
      <c r="AG25" s="1972"/>
      <c r="AH25" s="1972"/>
      <c r="AI25" s="1972"/>
      <c r="AJ25" s="1972"/>
    </row>
    <row r="26" spans="1:37" ht="14.25">
      <c r="A26" s="1798" t="s">
        <v>2013</v>
      </c>
      <c r="B26" s="1904" t="s">
        <v>2014</v>
      </c>
      <c r="C26" s="1904" t="s">
        <v>3254</v>
      </c>
      <c r="D26" s="1257">
        <f>IF(E26=G26,F26,IF(G3&lt;10,ROUND(F26+(H26-F26)*(G3-E26)/(G26-E26),4),"——"))</f>
        <v>0</v>
      </c>
      <c r="E26" s="702">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3255</v>
      </c>
      <c r="J26" s="373" t="str">
        <f>IF(G3&gt;=10,D115,"——")</f>
        <v>——</v>
      </c>
      <c r="K26" s="1055"/>
      <c r="L26" s="2543"/>
      <c r="M26" s="2543"/>
      <c r="N26" s="1903" t="s">
        <v>2015</v>
      </c>
      <c r="O26" s="1087"/>
      <c r="P26" s="1088">
        <f>SUMPRODUCT((地价!A3:A40=YEAR(G23)&amp;"-"&amp;ROUNDUP(MONTH(G23)/3,0))*(地价!AD2:AH2=N26)*(地价!AD3:AH40))</f>
        <v>0</v>
      </c>
      <c r="Q26" s="1836"/>
      <c r="R26" s="1054"/>
      <c r="S26" s="1054"/>
      <c r="T26" s="1051"/>
      <c r="U26" s="1051"/>
      <c r="V26" s="1051"/>
      <c r="W26" s="1050"/>
      <c r="X26" s="1050"/>
      <c r="Y26" s="1050"/>
      <c r="Z26" s="1055"/>
      <c r="AA26" s="1055"/>
      <c r="AB26" s="1055"/>
      <c r="AC26" s="1055"/>
      <c r="AD26" s="1055"/>
      <c r="AE26" s="1051"/>
      <c r="AF26" s="1051"/>
      <c r="AG26" s="1972"/>
      <c r="AH26" s="1972"/>
      <c r="AI26" s="1972"/>
      <c r="AJ26" s="1972"/>
    </row>
    <row r="27" spans="1:37" ht="15.75" thickBot="1">
      <c r="A27" s="1798" t="s">
        <v>2016</v>
      </c>
      <c r="B27" s="1905" t="s">
        <v>2017</v>
      </c>
      <c r="C27" s="785">
        <f>ROUND(IF(I3&lt;6,SUMPRODUCT((B106:B110=I3)*(C105:N105=G2)*(C106:N110)),SUMIF(C105:N105,G2,C112:N112)),4)</f>
        <v>0</v>
      </c>
      <c r="D27" s="1834"/>
      <c r="E27" s="1834"/>
      <c r="F27" s="1906"/>
      <c r="G27" s="1907"/>
      <c r="H27" s="1908"/>
      <c r="I27" s="1909"/>
      <c r="J27" s="1910"/>
      <c r="K27" s="1050"/>
      <c r="L27" s="1836"/>
      <c r="M27" s="1836"/>
      <c r="N27" s="1903" t="s">
        <v>2018</v>
      </c>
      <c r="O27" s="1087"/>
      <c r="P27" s="1088">
        <f>SUMPRODUCT((地价!A3:A40=YEAR(G23)&amp;"-"&amp;ROUNDUP(MONTH(G23)/3,0))*(地价!AD2:AH2=N27)*(地价!AD3:AH40))</f>
        <v>0</v>
      </c>
      <c r="Q27" s="1836"/>
      <c r="R27" s="1054"/>
      <c r="S27" s="1054"/>
      <c r="T27" s="1051"/>
      <c r="U27" s="1051"/>
      <c r="V27" s="1051"/>
      <c r="W27" s="1050"/>
      <c r="X27" s="1050"/>
      <c r="Y27" s="1050"/>
      <c r="Z27" s="1055"/>
      <c r="AA27" s="1055"/>
      <c r="AB27" s="1055"/>
      <c r="AC27" s="1055"/>
      <c r="AD27" s="1055"/>
      <c r="AE27" s="1051"/>
      <c r="AF27" s="1051"/>
      <c r="AG27" s="1972"/>
      <c r="AH27" s="1972"/>
      <c r="AI27" s="1972"/>
      <c r="AJ27" s="1972"/>
    </row>
    <row r="28" spans="1:37" ht="15.75" thickBot="1">
      <c r="A28" s="1892" t="s">
        <v>367</v>
      </c>
      <c r="B28" s="1885" t="s">
        <v>2019</v>
      </c>
      <c r="C28" s="710">
        <f>SUMIF(A47:A101,E2,B47:B101)</f>
        <v>0</v>
      </c>
      <c r="D28" s="1886"/>
      <c r="E28" s="1911"/>
      <c r="F28" s="1911"/>
      <c r="G28" s="1911"/>
      <c r="H28" s="1911"/>
      <c r="I28" s="1911"/>
      <c r="J28" s="1912"/>
      <c r="K28" s="1055"/>
      <c r="L28" s="2543"/>
      <c r="M28" s="2543"/>
      <c r="N28" s="1913" t="s">
        <v>2020</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2"/>
      <c r="AH28" s="1972"/>
      <c r="AI28" s="1972"/>
      <c r="AJ28" s="1972"/>
    </row>
    <row r="29" spans="1:37" ht="15.75" thickBot="1">
      <c r="A29" s="1892" t="s">
        <v>368</v>
      </c>
      <c r="B29" s="1914" t="s">
        <v>2021</v>
      </c>
      <c r="C29" s="715"/>
      <c r="D29" s="1860"/>
      <c r="E29" s="1860"/>
      <c r="F29" s="1915"/>
      <c r="G29" s="1860"/>
      <c r="H29" s="1860"/>
      <c r="I29" s="1860"/>
      <c r="J29" s="1861"/>
      <c r="K29" s="1050"/>
      <c r="L29" s="1836"/>
      <c r="M29" s="1836"/>
      <c r="N29" s="2540" t="s">
        <v>2022</v>
      </c>
      <c r="O29" s="2541"/>
      <c r="P29" s="2542">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0"/>
      <c r="L30" s="3046" t="s">
        <v>1935</v>
      </c>
      <c r="M30" s="3047" t="s">
        <v>1989</v>
      </c>
      <c r="N30" s="3047" t="s">
        <v>1990</v>
      </c>
      <c r="O30" s="3047" t="s">
        <v>1991</v>
      </c>
      <c r="P30" s="3047" t="s">
        <v>1992</v>
      </c>
      <c r="Q30" s="3050" t="s">
        <v>3259</v>
      </c>
      <c r="R30" s="1054"/>
      <c r="S30" s="1054"/>
      <c r="T30" s="1051"/>
      <c r="U30" s="1051"/>
      <c r="V30" s="1051"/>
      <c r="W30" s="1050"/>
      <c r="X30" s="1050"/>
      <c r="Y30" s="1050"/>
      <c r="Z30" s="1055"/>
      <c r="AA30" s="1055"/>
      <c r="AB30" s="1055"/>
      <c r="AC30" s="1055"/>
      <c r="AD30" s="1055"/>
      <c r="AE30" s="1050"/>
      <c r="AF30" s="1050"/>
      <c r="AG30" s="1836"/>
      <c r="AH30" s="1836"/>
      <c r="AI30" s="1836"/>
      <c r="AJ30" s="1836"/>
    </row>
    <row r="31" spans="1:37" ht="15.75" thickBot="1">
      <c r="A31" s="1916"/>
      <c r="B31" s="1920" t="s">
        <v>2024</v>
      </c>
      <c r="C31" s="716" t="e">
        <f>E34+SUM(I37:I42)</f>
        <v>#DIV/0!</v>
      </c>
      <c r="D31" s="1921"/>
      <c r="E31" s="1922"/>
      <c r="F31" s="1923"/>
      <c r="G31" s="1922"/>
      <c r="H31" s="1922"/>
      <c r="I31" s="1922"/>
      <c r="J31" s="1924"/>
      <c r="K31" s="1050"/>
      <c r="L31" s="3048" t="s">
        <v>1995</v>
      </c>
      <c r="M31" s="161">
        <v>0.25</v>
      </c>
      <c r="N31" s="161">
        <v>0.2</v>
      </c>
      <c r="O31" s="161">
        <v>0.15</v>
      </c>
      <c r="P31" s="161">
        <v>0.1</v>
      </c>
      <c r="Q31" s="3043">
        <v>0.15</v>
      </c>
      <c r="R31" s="1054"/>
      <c r="S31" s="1054"/>
      <c r="T31" s="1051"/>
      <c r="U31" s="1051"/>
      <c r="V31" s="1051"/>
      <c r="W31" s="1050"/>
      <c r="X31" s="1050"/>
      <c r="Y31" s="1050"/>
      <c r="Z31" s="1055"/>
      <c r="AA31" s="1055"/>
      <c r="AB31" s="1055"/>
      <c r="AC31" s="1055"/>
      <c r="AD31" s="1055"/>
      <c r="AE31" s="1050"/>
      <c r="AF31" s="1050"/>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0"/>
      <c r="L32" s="3049" t="s">
        <v>1998</v>
      </c>
      <c r="M32" s="2347">
        <f>ROUND($E$24*(1+M31),3)</f>
        <v>5.3999999999999999E-2</v>
      </c>
      <c r="N32" s="2347">
        <f>ROUND($E$24*(1+N31),3)</f>
        <v>5.1999999999999998E-2</v>
      </c>
      <c r="O32" s="2347">
        <f>ROUND($E$24*(1+O31),3)</f>
        <v>0.05</v>
      </c>
      <c r="P32" s="2347">
        <f>ROUND($E$24*(1+P31),3)</f>
        <v>4.8000000000000001E-2</v>
      </c>
      <c r="Q32" s="3051">
        <f>ROUND($E$24*(1+Q31),3)</f>
        <v>0.05</v>
      </c>
      <c r="R32" s="1054"/>
      <c r="S32" s="1054"/>
      <c r="T32" s="1051"/>
      <c r="U32" s="1051"/>
      <c r="V32" s="1051"/>
      <c r="W32" s="1050"/>
      <c r="X32" s="1050"/>
      <c r="Y32" s="1050"/>
      <c r="Z32" s="1055"/>
      <c r="AA32" s="1055"/>
      <c r="AB32" s="1055"/>
      <c r="AC32" s="1055"/>
      <c r="AD32" s="1055"/>
      <c r="AE32" s="1050"/>
      <c r="AF32" s="1050"/>
      <c r="AG32" s="1836"/>
      <c r="AH32" s="1836"/>
      <c r="AI32" s="1836"/>
      <c r="AJ32" s="1836"/>
    </row>
    <row r="33" spans="1:37" ht="14.25">
      <c r="A33" s="1930"/>
      <c r="B33" s="1931" t="s">
        <v>2029</v>
      </c>
      <c r="C33" s="166" t="e">
        <f>ROUND(C5*C22*C23*C24*C25*C28,0)</f>
        <v>#DIV/0!</v>
      </c>
      <c r="D33" s="1932"/>
      <c r="E33" s="721" t="e">
        <f>ROUND(C33*D33/10000,0)</f>
        <v>#DIV/0!</v>
      </c>
      <c r="F33" s="3041" t="s">
        <v>3257</v>
      </c>
      <c r="G33" s="1933"/>
      <c r="H33" s="1933"/>
      <c r="I33" s="1933"/>
      <c r="J33" s="1934"/>
      <c r="K33" s="1050"/>
      <c r="L33" s="3044" t="s">
        <v>3260</v>
      </c>
      <c r="M33" s="3045">
        <v>5.5E-2</v>
      </c>
      <c r="N33" s="3045">
        <v>5.5E-2</v>
      </c>
      <c r="O33" s="3045">
        <v>0.05</v>
      </c>
      <c r="P33" s="3045">
        <v>0.05</v>
      </c>
      <c r="Q33" s="3045">
        <v>0.05</v>
      </c>
      <c r="R33" s="1054"/>
      <c r="S33" s="1054"/>
      <c r="T33" s="1051"/>
      <c r="U33" s="1051"/>
      <c r="V33" s="1051"/>
      <c r="W33" s="1050"/>
      <c r="X33" s="1050"/>
      <c r="Y33" s="1050"/>
      <c r="Z33" s="1055"/>
      <c r="AA33" s="1055"/>
      <c r="AB33" s="1055"/>
      <c r="AC33" s="1055"/>
      <c r="AD33" s="1055"/>
      <c r="AE33" s="1051"/>
      <c r="AF33" s="1051"/>
      <c r="AG33" s="1972"/>
      <c r="AH33" s="1972"/>
      <c r="AI33" s="1972"/>
      <c r="AJ33" s="1972"/>
    </row>
    <row r="34" spans="1:37" ht="25.5" thickBot="1">
      <c r="A34" s="1935"/>
      <c r="B34" s="1936" t="s">
        <v>2030</v>
      </c>
      <c r="C34" s="178" t="e">
        <f>ROUND(IF(E2="工业",C33*M42,IF(B25="楼层修正",SUM(V2:V16)*M41*10000/D34,C33*M41)),0)</f>
        <v>#DIV/0!</v>
      </c>
      <c r="D34" s="1937"/>
      <c r="E34" s="721" t="e">
        <f>ROUND(IF(B25="楼层修正",SUM(V2:V16)*M40,C34*D34/10000),0)</f>
        <v>#DIV/0!</v>
      </c>
      <c r="F34" s="1938" t="s">
        <v>2031</v>
      </c>
      <c r="G34" s="1939"/>
      <c r="H34" s="1939"/>
      <c r="I34" s="1939"/>
      <c r="J34" s="1940"/>
      <c r="K34" s="1050"/>
      <c r="L34" s="3044" t="s">
        <v>3261</v>
      </c>
      <c r="M34" s="3045">
        <v>6.5000000000000002E-2</v>
      </c>
      <c r="N34" s="3045">
        <v>6.5000000000000002E-2</v>
      </c>
      <c r="O34" s="3045">
        <v>0.06</v>
      </c>
      <c r="P34" s="3045">
        <v>0.06</v>
      </c>
      <c r="Q34" s="3045">
        <v>0.06</v>
      </c>
      <c r="R34" s="1054"/>
      <c r="S34" s="1054"/>
      <c r="T34" s="1051"/>
      <c r="U34" s="1051"/>
      <c r="V34" s="1051"/>
      <c r="W34" s="1050"/>
      <c r="X34" s="1050"/>
      <c r="Y34" s="1050"/>
      <c r="Z34" s="1055"/>
      <c r="AA34" s="1055"/>
      <c r="AB34" s="1055"/>
      <c r="AC34" s="1055"/>
      <c r="AD34" s="1055"/>
      <c r="AE34" s="1051"/>
      <c r="AF34" s="1051"/>
      <c r="AG34" s="1972"/>
      <c r="AH34" s="1972"/>
      <c r="AI34" s="1972"/>
      <c r="AJ34" s="1972"/>
    </row>
    <row r="35" spans="1:37">
      <c r="A35" s="1941"/>
      <c r="B35" s="1942" t="s">
        <v>2032</v>
      </c>
      <c r="C35" s="3042" t="s">
        <v>3258</v>
      </c>
      <c r="D35" s="1873"/>
      <c r="E35" s="1943"/>
      <c r="F35" s="1943"/>
      <c r="G35" s="1871" t="s">
        <v>2033</v>
      </c>
      <c r="H35" s="1873"/>
      <c r="I35" s="1944"/>
      <c r="J35" s="1874"/>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2"/>
      <c r="AH35" s="1972"/>
      <c r="AI35" s="1972"/>
      <c r="AJ35" s="1972"/>
    </row>
    <row r="36" spans="1:37" ht="24.75" thickBot="1">
      <c r="A36" s="1930"/>
      <c r="B36" s="1945"/>
      <c r="C36" s="435" t="s">
        <v>2026</v>
      </c>
      <c r="D36" s="432" t="s">
        <v>2027</v>
      </c>
      <c r="E36" s="432" t="s">
        <v>2028</v>
      </c>
      <c r="F36" s="332" t="s">
        <v>2034</v>
      </c>
      <c r="G36" s="1946" t="s">
        <v>2026</v>
      </c>
      <c r="H36" s="1946" t="s">
        <v>2027</v>
      </c>
      <c r="I36" s="1946" t="s">
        <v>2028</v>
      </c>
      <c r="J36" s="234"/>
      <c r="K36" s="1956" t="s">
        <v>3262</v>
      </c>
      <c r="L36" s="3131">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0"/>
      <c r="S36" s="1050"/>
      <c r="T36" s="1050"/>
      <c r="U36" s="1050"/>
      <c r="V36" s="1050"/>
      <c r="W36" s="1050"/>
      <c r="X36" s="1050"/>
      <c r="Y36" s="1050"/>
      <c r="Z36" s="1051"/>
      <c r="AA36" s="1051"/>
      <c r="AB36" s="1051"/>
      <c r="AC36" s="1051"/>
      <c r="AD36" s="1051"/>
      <c r="AE36" s="1051"/>
      <c r="AF36" s="1051"/>
      <c r="AG36" s="1972"/>
      <c r="AH36" s="1972"/>
      <c r="AI36" s="1972"/>
      <c r="AJ36" s="1972"/>
    </row>
    <row r="37" spans="1:37" ht="24.75" thickBot="1">
      <c r="A37" s="3477"/>
      <c r="B37" s="1947" t="s">
        <v>2035</v>
      </c>
      <c r="C37" s="166" t="e">
        <f>ROUND(D5*C22*C23*C24*C28*F37,0)</f>
        <v>#DIV/0!</v>
      </c>
      <c r="D37" s="1932"/>
      <c r="E37" s="162" t="e">
        <f>ROUND(C37*D37/10000,0)</f>
        <v>#DIV/0!</v>
      </c>
      <c r="F37" s="162">
        <f>SUMIF(修正!A57:A68,G2,修正!B57:B68)</f>
        <v>0</v>
      </c>
      <c r="G37" s="162" t="e">
        <f>ROUND(IF(E2="工业",C37*$M$42,C37*$M$41),0)</f>
        <v>#DIV/0!</v>
      </c>
      <c r="H37" s="162">
        <f>D37</f>
        <v>0</v>
      </c>
      <c r="I37" s="162" t="e">
        <f>ROUND(G37*H37/10000,0)</f>
        <v>#DIV/0!</v>
      </c>
      <c r="J37" s="2745"/>
      <c r="K37" s="3052" t="s">
        <v>3263</v>
      </c>
      <c r="L37" s="1956">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0"/>
      <c r="S37" s="1050"/>
      <c r="T37" s="1050"/>
      <c r="U37" s="1050"/>
      <c r="V37" s="1050"/>
      <c r="W37" s="1050"/>
      <c r="X37" s="1050"/>
      <c r="Y37" s="1050"/>
      <c r="Z37" s="1051"/>
      <c r="AA37" s="1051"/>
      <c r="AB37" s="1051"/>
      <c r="AC37" s="1051"/>
      <c r="AD37" s="1051"/>
      <c r="AE37" s="1051"/>
      <c r="AF37" s="1051"/>
      <c r="AG37" s="1972"/>
      <c r="AH37" s="1972"/>
      <c r="AI37" s="1972"/>
      <c r="AJ37" s="1972"/>
    </row>
    <row r="38" spans="1:37">
      <c r="A38" s="3478"/>
      <c r="B38" s="1876" t="s">
        <v>2036</v>
      </c>
      <c r="C38" s="166" t="e">
        <f>ROUND(D5*C22*C23*C24*C28*F38,0)</f>
        <v>#DIV/0!</v>
      </c>
      <c r="D38" s="1932"/>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4"/>
      <c r="K38" s="1956">
        <v>5.0000000000000001E-3</v>
      </c>
      <c r="L38" s="1956"/>
      <c r="M38" s="1956"/>
      <c r="N38" s="1956"/>
      <c r="O38" s="1956"/>
      <c r="P38" s="1956"/>
      <c r="Q38" s="1956"/>
      <c r="R38" s="1050"/>
      <c r="S38" s="1050"/>
      <c r="T38" s="1050"/>
      <c r="U38" s="1050"/>
      <c r="V38" s="1050"/>
      <c r="W38" s="1050"/>
      <c r="X38" s="1050"/>
      <c r="Y38" s="1050"/>
      <c r="Z38" s="1051"/>
      <c r="AA38" s="1051"/>
      <c r="AB38" s="1051"/>
      <c r="AC38" s="1051"/>
      <c r="AD38" s="1051"/>
    </row>
    <row r="39" spans="1:37" ht="13.5" thickBot="1">
      <c r="A39" s="3478"/>
      <c r="B39" s="1876" t="s">
        <v>3256</v>
      </c>
      <c r="C39" s="166" t="e">
        <f>ROUND(D5*C22*C23*C24*C28*F39,0)</f>
        <v>#DIV/0!</v>
      </c>
      <c r="D39" s="1932"/>
      <c r="E39" s="162" t="e">
        <f t="shared" si="4"/>
        <v>#DIV/0!</v>
      </c>
      <c r="F39" s="162">
        <f>SUMIF(修正!A57:A68,G2,修正!D57:D68)</f>
        <v>0</v>
      </c>
      <c r="G39" s="162" t="e">
        <f>ROUND(IF(E2="工业",C39*$M$42,C39*$M$41),0)</f>
        <v>#DIV/0!</v>
      </c>
      <c r="H39" s="162">
        <f t="shared" si="5"/>
        <v>0</v>
      </c>
      <c r="I39" s="162" t="e">
        <f t="shared" si="6"/>
        <v>#DIV/0!</v>
      </c>
      <c r="J39" s="2744"/>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8"/>
      <c r="B40" s="1876" t="s">
        <v>2037</v>
      </c>
      <c r="C40" s="162" t="e">
        <f>ROUND(D5*C22*C23*C24*C28*F40,0)</f>
        <v>#DIV/0!</v>
      </c>
      <c r="D40" s="1932"/>
      <c r="E40" s="162" t="e">
        <f t="shared" si="4"/>
        <v>#DIV/0!</v>
      </c>
      <c r="F40" s="166">
        <f>SUMIF(修正!A57:A68,G2,修正!E57:E68)</f>
        <v>0</v>
      </c>
      <c r="G40" s="162" t="e">
        <f>ROUND(IF(E2="工业",C40*$M$42,C40*$M$41),0)</f>
        <v>#DIV/0!</v>
      </c>
      <c r="H40" s="162">
        <f t="shared" si="5"/>
        <v>0</v>
      </c>
      <c r="I40" s="162" t="e">
        <f t="shared" si="6"/>
        <v>#DIV/0!</v>
      </c>
      <c r="J40" s="933"/>
      <c r="L40" s="1949" t="s">
        <v>2038</v>
      </c>
      <c r="M40" s="1950"/>
      <c r="Z40" s="1051"/>
      <c r="AA40" s="1051"/>
      <c r="AB40" s="1051"/>
      <c r="AC40" s="1051"/>
      <c r="AD40" s="1051"/>
      <c r="AE40" s="1051"/>
      <c r="AF40" s="1051"/>
      <c r="AG40" s="1051"/>
      <c r="AH40" s="1051"/>
      <c r="AI40" s="1051"/>
      <c r="AJ40" s="1051"/>
    </row>
    <row r="41" spans="1:37" s="1050" customFormat="1">
      <c r="A41" s="1948"/>
      <c r="B41" s="1876" t="s">
        <v>2039</v>
      </c>
      <c r="C41" s="162" t="e">
        <f>ROUND(D5*C22*C23*C44*C28*F41,0)</f>
        <v>#DIV/0!</v>
      </c>
      <c r="D41" s="1932"/>
      <c r="E41" s="162" t="e">
        <f t="shared" si="4"/>
        <v>#DIV/0!</v>
      </c>
      <c r="F41" s="166">
        <f>SUMIF(修正!A57:A68,G2,修正!F57:F68)</f>
        <v>0</v>
      </c>
      <c r="G41" s="162" t="e">
        <f>ROUND(IF(E2="工业",C41*$M$42,C41*$M$41),0)</f>
        <v>#DIV/0!</v>
      </c>
      <c r="H41" s="162">
        <f t="shared" si="5"/>
        <v>0</v>
      </c>
      <c r="I41" s="162" t="e">
        <f t="shared" si="6"/>
        <v>#DIV/0!</v>
      </c>
      <c r="J41" s="933"/>
      <c r="L41" s="3053" t="s">
        <v>3264</v>
      </c>
      <c r="M41" s="1951">
        <v>0.25</v>
      </c>
      <c r="Z41" s="1051"/>
      <c r="AA41" s="1051"/>
      <c r="AB41" s="1051"/>
      <c r="AC41" s="1051"/>
      <c r="AD41" s="1051"/>
      <c r="AE41" s="1051"/>
      <c r="AF41" s="1051"/>
      <c r="AG41" s="1051"/>
      <c r="AH41" s="1051"/>
      <c r="AI41" s="1051"/>
      <c r="AJ41" s="1051"/>
    </row>
    <row r="42" spans="1:37" s="1050" customFormat="1" ht="13.5" thickBot="1">
      <c r="A42" s="1935"/>
      <c r="B42" s="1952" t="s">
        <v>2040</v>
      </c>
      <c r="C42" s="178" t="e">
        <f>ROUND(D5*C22*C23*C44*C28*F42,0)</f>
        <v>#DIV/0!</v>
      </c>
      <c r="D42" s="1937"/>
      <c r="E42" s="178" t="e">
        <f t="shared" si="4"/>
        <v>#DIV/0!</v>
      </c>
      <c r="F42" s="717">
        <f>SUMIF(修正!A57:A68,G2,修正!G57:G68)</f>
        <v>0</v>
      </c>
      <c r="G42" s="178" t="e">
        <f>ROUND(IF(E2="工业",C42*$M$42,C42*$M$41),0)</f>
        <v>#DIV/0!</v>
      </c>
      <c r="H42" s="178">
        <f t="shared" si="5"/>
        <v>0</v>
      </c>
      <c r="I42" s="178" t="e">
        <f t="shared" si="6"/>
        <v>#DIV/0!</v>
      </c>
      <c r="J42" s="1953"/>
      <c r="L42" s="1954" t="s">
        <v>1992</v>
      </c>
      <c r="M42" s="1955">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4" t="s">
        <v>2121</v>
      </c>
      <c r="C44" s="332" t="e">
        <f>ROUND(POWER(1+E44,H44-G44)*(POWER(1+E44,G44)-1)/(POWER(1+E44,H44)-1),4)</f>
        <v>#DIV/0!</v>
      </c>
      <c r="D44" s="162" t="s">
        <v>1998</v>
      </c>
      <c r="E44" s="1983">
        <f>G24</f>
        <v>0</v>
      </c>
      <c r="F44" s="162" t="s">
        <v>2007</v>
      </c>
      <c r="G44" s="174"/>
      <c r="H44" s="162">
        <v>50</v>
      </c>
      <c r="Z44" s="1051"/>
      <c r="AA44" s="1051"/>
      <c r="AB44" s="1051"/>
      <c r="AC44" s="1051"/>
      <c r="AD44" s="1051"/>
      <c r="AE44" s="1051"/>
      <c r="AF44" s="1051"/>
      <c r="AG44" s="1051"/>
      <c r="AH44" s="1051"/>
      <c r="AI44" s="1051"/>
      <c r="AJ44" s="1051"/>
    </row>
    <row r="45" spans="1:37" s="1050" customFormat="1">
      <c r="A45" s="1051"/>
      <c r="B45" s="1956"/>
      <c r="Z45" s="1051"/>
      <c r="AA45" s="1051"/>
      <c r="AB45" s="1051"/>
      <c r="AC45" s="1051"/>
      <c r="AD45" s="1051"/>
      <c r="AE45" s="1051"/>
      <c r="AF45" s="1051"/>
      <c r="AG45" s="1051"/>
      <c r="AH45" s="1051"/>
      <c r="AI45" s="1051"/>
      <c r="AJ45" s="1051"/>
    </row>
    <row r="46" spans="1:37" s="1050" customFormat="1">
      <c r="A46" s="1051"/>
      <c r="B46" s="1956"/>
      <c r="AA46" s="1051"/>
      <c r="AB46" s="1051"/>
      <c r="AC46" s="1051"/>
      <c r="AD46" s="1051"/>
      <c r="AE46" s="1051"/>
      <c r="AF46" s="1051"/>
      <c r="AG46" s="1051"/>
      <c r="AH46" s="1051"/>
      <c r="AI46" s="1051"/>
      <c r="AJ46" s="1051"/>
      <c r="AK46" s="1051"/>
    </row>
    <row r="47" spans="1:37" s="1050" customFormat="1" ht="15.75" thickBot="1">
      <c r="A47" s="1957" t="s">
        <v>2041</v>
      </c>
      <c r="B47" s="1958"/>
      <c r="C47" s="4"/>
      <c r="D47" s="4"/>
      <c r="E47" s="4"/>
      <c r="F47" s="3"/>
      <c r="G47" s="3"/>
      <c r="H47" s="3"/>
      <c r="I47" s="1675"/>
      <c r="J47" s="1675"/>
      <c r="K47" s="1675"/>
      <c r="L47" s="1675"/>
      <c r="M47" s="1675"/>
      <c r="AA47" s="1051"/>
      <c r="AB47" s="1051"/>
      <c r="AC47" s="1051"/>
      <c r="AD47" s="1051"/>
      <c r="AE47" s="1051"/>
      <c r="AF47" s="1051"/>
      <c r="AG47" s="1051"/>
      <c r="AH47" s="1051"/>
      <c r="AI47" s="1051"/>
      <c r="AJ47" s="1051"/>
      <c r="AK47" s="1051"/>
    </row>
    <row r="48" spans="1:37" s="1050" customFormat="1" ht="15">
      <c r="A48" s="1959" t="s">
        <v>2042</v>
      </c>
      <c r="B48" s="1960">
        <f>1+E50</f>
        <v>1</v>
      </c>
      <c r="C48" s="1720"/>
      <c r="D48" s="693"/>
      <c r="E48" s="694"/>
      <c r="F48" s="1961"/>
      <c r="G48" s="3"/>
      <c r="H48" s="4"/>
      <c r="I48" s="1675"/>
      <c r="J48" s="1675"/>
      <c r="K48" s="1675"/>
      <c r="L48" s="1675"/>
      <c r="M48" s="1675"/>
      <c r="AA48" s="1051"/>
      <c r="AB48" s="1051"/>
      <c r="AC48" s="1051"/>
      <c r="AD48" s="1051"/>
      <c r="AE48" s="1051"/>
      <c r="AF48" s="1051"/>
      <c r="AG48" s="1051"/>
      <c r="AH48" s="1051"/>
      <c r="AI48" s="1051"/>
      <c r="AJ48" s="1051"/>
      <c r="AK48" s="1051"/>
    </row>
    <row r="49" spans="1:37" s="1050" customFormat="1" ht="24.75">
      <c r="A49" s="1962" t="s">
        <v>2043</v>
      </c>
      <c r="B49" s="1256" t="s">
        <v>2044</v>
      </c>
      <c r="C49" s="1256" t="s">
        <v>2045</v>
      </c>
      <c r="D49" s="1256" t="s">
        <v>2046</v>
      </c>
      <c r="E49" s="695" t="s">
        <v>2047</v>
      </c>
      <c r="F49" s="1963" t="s">
        <v>2048</v>
      </c>
      <c r="G49" s="1256" t="s">
        <v>310</v>
      </c>
      <c r="H49" s="1964" t="s">
        <v>2049</v>
      </c>
      <c r="I49" s="1256" t="s">
        <v>2050</v>
      </c>
      <c r="J49" s="529" t="s">
        <v>1721</v>
      </c>
      <c r="K49" s="529" t="s">
        <v>1722</v>
      </c>
      <c r="L49" s="529" t="s">
        <v>1723</v>
      </c>
      <c r="M49" s="529" t="s">
        <v>1724</v>
      </c>
      <c r="N49" s="529" t="s">
        <v>1725</v>
      </c>
      <c r="AA49" s="1051"/>
      <c r="AB49" s="1051"/>
      <c r="AC49" s="1051"/>
      <c r="AD49" s="1051"/>
      <c r="AE49" s="1051"/>
      <c r="AF49" s="1051"/>
      <c r="AG49" s="1051"/>
      <c r="AH49" s="1051"/>
      <c r="AI49" s="1051"/>
      <c r="AJ49" s="1051"/>
      <c r="AK49" s="1051"/>
    </row>
    <row r="50" spans="1:37" s="1050" customFormat="1" ht="24.75">
      <c r="A50" s="1962" t="s">
        <v>2051</v>
      </c>
      <c r="B50" s="1965">
        <f>估价对象房地状况!C4</f>
        <v>0</v>
      </c>
      <c r="C50" s="1879"/>
      <c r="D50" s="996">
        <f t="shared" ref="D50:D58" si="7">SUMIF($J$49:$N$49,C50,J50:N50)</f>
        <v>0</v>
      </c>
      <c r="E50" s="696">
        <f>ROUND(SUM(D50:D58),4)</f>
        <v>0</v>
      </c>
      <c r="F50" s="1669" t="str">
        <f>IF(E2="商业",SUMIF(L1:L12,G2,N1:N12),"——")</f>
        <v>——</v>
      </c>
      <c r="G50" s="994"/>
      <c r="H50" s="997" t="str">
        <f t="shared" ref="H50:H58" si="8">IFERROR(ROUNDDOWN($F$50*I50/2,4),"——")</f>
        <v>——</v>
      </c>
      <c r="I50" s="3059">
        <v>0.3</v>
      </c>
      <c r="J50" s="995">
        <f t="shared" ref="J50:J58" si="9">K50+$G50</f>
        <v>0</v>
      </c>
      <c r="K50" s="995">
        <f t="shared" ref="K50:K58" si="10">$L50+$G50</f>
        <v>0</v>
      </c>
      <c r="L50" s="995">
        <v>0</v>
      </c>
      <c r="M50" s="995">
        <f t="shared" ref="M50:N58" si="11">L50-$G50</f>
        <v>0</v>
      </c>
      <c r="N50" s="995">
        <f t="shared" si="11"/>
        <v>0</v>
      </c>
      <c r="AA50" s="1051"/>
      <c r="AB50" s="1051"/>
      <c r="AC50" s="1051"/>
      <c r="AD50" s="1051"/>
      <c r="AE50" s="1051"/>
      <c r="AF50" s="1051"/>
      <c r="AG50" s="1051"/>
      <c r="AH50" s="1051"/>
      <c r="AI50" s="1051"/>
      <c r="AJ50" s="1051"/>
      <c r="AK50" s="1051"/>
    </row>
    <row r="51" spans="1:37" s="1050" customFormat="1" ht="38.25">
      <c r="A51" s="1962" t="s">
        <v>2052</v>
      </c>
      <c r="B51" s="1256" t="str">
        <f>估价对象房地状况!C18</f>
        <v>估价对象周边道路状况、公共交通通达情况、停车便捷程度，综合评价交通便捷度一般</v>
      </c>
      <c r="C51" s="1879"/>
      <c r="D51" s="996">
        <f t="shared" si="7"/>
        <v>0</v>
      </c>
      <c r="E51" s="697"/>
      <c r="F51" s="1669"/>
      <c r="G51" s="994"/>
      <c r="H51" s="997" t="str">
        <f t="shared" si="8"/>
        <v>——</v>
      </c>
      <c r="I51" s="3059">
        <v>0.22</v>
      </c>
      <c r="J51" s="995">
        <f t="shared" si="9"/>
        <v>0</v>
      </c>
      <c r="K51" s="995">
        <f t="shared" si="10"/>
        <v>0</v>
      </c>
      <c r="L51" s="995">
        <v>0</v>
      </c>
      <c r="M51" s="995">
        <f t="shared" si="11"/>
        <v>0</v>
      </c>
      <c r="N51" s="995">
        <f t="shared" si="11"/>
        <v>0</v>
      </c>
      <c r="AA51" s="1051"/>
      <c r="AB51" s="1051"/>
      <c r="AC51" s="1051"/>
      <c r="AD51" s="1051"/>
      <c r="AE51" s="1051"/>
      <c r="AF51" s="1051"/>
      <c r="AG51" s="1051"/>
      <c r="AH51" s="1051"/>
      <c r="AI51" s="1051"/>
      <c r="AJ51" s="1051"/>
      <c r="AK51" s="1051"/>
    </row>
    <row r="52" spans="1:37" s="1050" customFormat="1" ht="36">
      <c r="A52" s="3061" t="s">
        <v>3266</v>
      </c>
      <c r="B52" s="1256" t="str">
        <f>估价对象房地状况!C19</f>
        <v>较好</v>
      </c>
      <c r="C52" s="1879"/>
      <c r="D52" s="996">
        <f t="shared" si="7"/>
        <v>0</v>
      </c>
      <c r="E52" s="697"/>
      <c r="F52" s="1669"/>
      <c r="G52" s="994"/>
      <c r="H52" s="997" t="str">
        <f t="shared" si="8"/>
        <v>——</v>
      </c>
      <c r="I52" s="3059">
        <v>0.12</v>
      </c>
      <c r="J52" s="995">
        <f t="shared" si="9"/>
        <v>0</v>
      </c>
      <c r="K52" s="995">
        <f t="shared" si="10"/>
        <v>0</v>
      </c>
      <c r="L52" s="995">
        <v>0</v>
      </c>
      <c r="M52" s="995">
        <f t="shared" si="11"/>
        <v>0</v>
      </c>
      <c r="N52" s="995">
        <f t="shared" si="11"/>
        <v>0</v>
      </c>
      <c r="AA52" s="1051"/>
      <c r="AB52" s="1051"/>
      <c r="AC52" s="1051"/>
      <c r="AD52" s="1051"/>
      <c r="AE52" s="1051"/>
      <c r="AF52" s="1051"/>
      <c r="AG52" s="1051"/>
      <c r="AH52" s="1051"/>
      <c r="AI52" s="1051"/>
      <c r="AJ52" s="1051"/>
      <c r="AK52" s="1051"/>
    </row>
    <row r="53" spans="1:37" s="1050" customFormat="1" ht="36.75">
      <c r="A53" s="1962" t="s">
        <v>2053</v>
      </c>
      <c r="B53" s="1966" t="s">
        <v>2054</v>
      </c>
      <c r="C53" s="1879"/>
      <c r="D53" s="996">
        <f t="shared" si="7"/>
        <v>0</v>
      </c>
      <c r="E53" s="697"/>
      <c r="F53" s="1669"/>
      <c r="G53" s="994"/>
      <c r="H53" s="997" t="str">
        <f t="shared" si="8"/>
        <v>——</v>
      </c>
      <c r="I53" s="3059">
        <v>0.05</v>
      </c>
      <c r="J53" s="995">
        <f t="shared" si="9"/>
        <v>0</v>
      </c>
      <c r="K53" s="995">
        <f t="shared" si="10"/>
        <v>0</v>
      </c>
      <c r="L53" s="995">
        <v>0</v>
      </c>
      <c r="M53" s="995">
        <f t="shared" si="11"/>
        <v>0</v>
      </c>
      <c r="N53" s="995">
        <f t="shared" si="11"/>
        <v>0</v>
      </c>
      <c r="AA53" s="1051"/>
      <c r="AB53" s="1051"/>
      <c r="AC53" s="1051"/>
      <c r="AD53" s="1051"/>
      <c r="AE53" s="1051"/>
      <c r="AF53" s="1051"/>
      <c r="AG53" s="1051"/>
      <c r="AH53" s="1051"/>
      <c r="AI53" s="1051"/>
      <c r="AJ53" s="1051"/>
      <c r="AK53" s="1051"/>
    </row>
    <row r="54" spans="1:37" s="1050" customFormat="1" ht="24">
      <c r="A54" s="1962" t="s">
        <v>2055</v>
      </c>
      <c r="B54" s="1256" t="str">
        <f>估价对象房地状况!C24</f>
        <v>次干道</v>
      </c>
      <c r="C54" s="1879"/>
      <c r="D54" s="996">
        <f t="shared" si="7"/>
        <v>0</v>
      </c>
      <c r="E54" s="697"/>
      <c r="F54" s="1669"/>
      <c r="G54" s="994"/>
      <c r="H54" s="997" t="str">
        <f t="shared" si="8"/>
        <v>——</v>
      </c>
      <c r="I54" s="3059">
        <v>0.08</v>
      </c>
      <c r="J54" s="995">
        <f t="shared" si="9"/>
        <v>0</v>
      </c>
      <c r="K54" s="995">
        <f t="shared" si="10"/>
        <v>0</v>
      </c>
      <c r="L54" s="995">
        <v>0</v>
      </c>
      <c r="M54" s="995">
        <f t="shared" si="11"/>
        <v>0</v>
      </c>
      <c r="N54" s="995">
        <f t="shared" si="11"/>
        <v>0</v>
      </c>
      <c r="AA54" s="1051"/>
      <c r="AB54" s="1051"/>
      <c r="AC54" s="1051"/>
      <c r="AD54" s="1051"/>
      <c r="AE54" s="1051"/>
      <c r="AF54" s="1051"/>
      <c r="AG54" s="1051"/>
      <c r="AH54" s="1051"/>
      <c r="AI54" s="1051"/>
      <c r="AJ54" s="1051"/>
      <c r="AK54" s="1051"/>
    </row>
    <row r="55" spans="1:37" s="1050" customFormat="1" ht="24">
      <c r="A55" s="1962" t="s">
        <v>2056</v>
      </c>
      <c r="B55" s="1967" t="s">
        <v>2057</v>
      </c>
      <c r="C55" s="1879"/>
      <c r="D55" s="996">
        <f t="shared" si="7"/>
        <v>0</v>
      </c>
      <c r="E55" s="697"/>
      <c r="F55" s="1669"/>
      <c r="G55" s="994"/>
      <c r="H55" s="997" t="str">
        <f t="shared" si="8"/>
        <v>——</v>
      </c>
      <c r="I55" s="3059">
        <v>0.05</v>
      </c>
      <c r="J55" s="995">
        <f t="shared" si="9"/>
        <v>0</v>
      </c>
      <c r="K55" s="995">
        <f t="shared" si="10"/>
        <v>0</v>
      </c>
      <c r="L55" s="995">
        <v>0</v>
      </c>
      <c r="M55" s="995">
        <f t="shared" si="11"/>
        <v>0</v>
      </c>
      <c r="N55" s="995">
        <f t="shared" si="11"/>
        <v>0</v>
      </c>
      <c r="AA55" s="1051"/>
      <c r="AB55" s="1051"/>
      <c r="AC55" s="1051"/>
      <c r="AD55" s="1051"/>
      <c r="AE55" s="1051"/>
      <c r="AF55" s="1051"/>
      <c r="AG55" s="1051"/>
      <c r="AH55" s="1051"/>
      <c r="AI55" s="1051"/>
      <c r="AJ55" s="1051"/>
      <c r="AK55" s="1051"/>
    </row>
    <row r="56" spans="1:37" s="1050" customFormat="1" ht="25.5">
      <c r="A56" s="1968" t="s">
        <v>2058</v>
      </c>
      <c r="B56" s="1234" t="str">
        <f>估价对象房地状况!C21</f>
        <v>估价对象所在区域公共配套设施齐备情况一般</v>
      </c>
      <c r="C56" s="1879"/>
      <c r="D56" s="996">
        <f t="shared" si="7"/>
        <v>0</v>
      </c>
      <c r="E56" s="697"/>
      <c r="F56" s="1669"/>
      <c r="G56" s="994"/>
      <c r="H56" s="997" t="str">
        <f t="shared" si="8"/>
        <v>——</v>
      </c>
      <c r="I56" s="3059">
        <v>0.05</v>
      </c>
      <c r="J56" s="995">
        <f t="shared" si="9"/>
        <v>0</v>
      </c>
      <c r="K56" s="995">
        <f t="shared" si="10"/>
        <v>0</v>
      </c>
      <c r="L56" s="995">
        <v>0</v>
      </c>
      <c r="M56" s="995">
        <f t="shared" si="11"/>
        <v>0</v>
      </c>
      <c r="N56" s="995">
        <f t="shared" si="11"/>
        <v>0</v>
      </c>
      <c r="AA56" s="1051"/>
      <c r="AB56" s="1051"/>
      <c r="AC56" s="1051"/>
      <c r="AD56" s="1051"/>
      <c r="AE56" s="1051"/>
      <c r="AF56" s="1051"/>
      <c r="AG56" s="1051"/>
      <c r="AH56" s="1051"/>
      <c r="AI56" s="1051"/>
      <c r="AJ56" s="1051"/>
      <c r="AK56" s="1051"/>
    </row>
    <row r="57" spans="1:37" s="1050" customFormat="1" ht="25.5">
      <c r="A57" s="1968" t="s">
        <v>2059</v>
      </c>
      <c r="B57" s="1256" t="str">
        <f>估价对象房地状况!C22</f>
        <v>估价对象所在区域基础设施水平</v>
      </c>
      <c r="C57" s="1879"/>
      <c r="D57" s="996">
        <f t="shared" si="7"/>
        <v>0</v>
      </c>
      <c r="E57" s="697"/>
      <c r="F57" s="1669"/>
      <c r="G57" s="994"/>
      <c r="H57" s="997" t="str">
        <f t="shared" si="8"/>
        <v>——</v>
      </c>
      <c r="I57" s="3059">
        <v>0.08</v>
      </c>
      <c r="J57" s="995">
        <f t="shared" si="9"/>
        <v>0</v>
      </c>
      <c r="K57" s="995">
        <f t="shared" si="10"/>
        <v>0</v>
      </c>
      <c r="L57" s="995">
        <v>0</v>
      </c>
      <c r="M57" s="995">
        <f t="shared" si="11"/>
        <v>0</v>
      </c>
      <c r="N57" s="995">
        <f t="shared" si="11"/>
        <v>0</v>
      </c>
      <c r="AA57" s="1051"/>
      <c r="AB57" s="1051"/>
      <c r="AC57" s="1051"/>
      <c r="AD57" s="1051"/>
      <c r="AE57" s="1051"/>
      <c r="AF57" s="1051"/>
      <c r="AG57" s="1051"/>
      <c r="AH57" s="1051"/>
      <c r="AI57" s="1051"/>
      <c r="AJ57" s="1051"/>
      <c r="AK57" s="1051"/>
    </row>
    <row r="58" spans="1:37" s="1050" customFormat="1" ht="26.25" thickBot="1">
      <c r="A58" s="1969" t="s">
        <v>2060</v>
      </c>
      <c r="B58" s="1970" t="str">
        <f>估价对象房地状况!C20</f>
        <v>区域自然环境：；人文环境；综合评价环境状况一般</v>
      </c>
      <c r="C58" s="1879"/>
      <c r="D58" s="996">
        <f t="shared" si="7"/>
        <v>0</v>
      </c>
      <c r="E58" s="698"/>
      <c r="F58" s="1669"/>
      <c r="G58" s="994"/>
      <c r="H58" s="997" t="str">
        <f t="shared" si="8"/>
        <v>——</v>
      </c>
      <c r="I58" s="3060">
        <v>0.05</v>
      </c>
      <c r="J58" s="995">
        <f t="shared" si="9"/>
        <v>0</v>
      </c>
      <c r="K58" s="995">
        <f t="shared" si="10"/>
        <v>0</v>
      </c>
      <c r="L58" s="995">
        <v>0</v>
      </c>
      <c r="M58" s="995">
        <f t="shared" si="11"/>
        <v>0</v>
      </c>
      <c r="N58" s="995">
        <f t="shared" si="11"/>
        <v>0</v>
      </c>
      <c r="AA58" s="1051"/>
      <c r="AB58" s="1051"/>
      <c r="AC58" s="1051"/>
      <c r="AD58" s="1051"/>
      <c r="AE58" s="1051"/>
      <c r="AF58" s="1051"/>
      <c r="AG58" s="1051"/>
      <c r="AH58" s="1051"/>
      <c r="AI58" s="1051"/>
      <c r="AJ58" s="1051"/>
      <c r="AK58" s="1051"/>
    </row>
    <row r="59" spans="1:37" s="1050" customFormat="1" ht="15">
      <c r="A59" s="1959" t="s">
        <v>2061</v>
      </c>
      <c r="B59" s="1960">
        <f>1+E61</f>
        <v>1</v>
      </c>
      <c r="C59" s="693"/>
      <c r="D59" s="693"/>
      <c r="E59" s="694"/>
      <c r="F59" s="1961"/>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2" t="s">
        <v>2043</v>
      </c>
      <c r="B60" s="1256"/>
      <c r="C60" s="1256" t="s">
        <v>2045</v>
      </c>
      <c r="D60" s="1256" t="s">
        <v>2046</v>
      </c>
      <c r="E60" s="695" t="s">
        <v>2047</v>
      </c>
      <c r="F60" s="1963" t="s">
        <v>2062</v>
      </c>
      <c r="G60" s="1256" t="s">
        <v>310</v>
      </c>
      <c r="H60" s="1964" t="s">
        <v>2049</v>
      </c>
      <c r="I60" s="1256" t="s">
        <v>2050</v>
      </c>
      <c r="J60" s="529" t="s">
        <v>1721</v>
      </c>
      <c r="K60" s="529" t="s">
        <v>1722</v>
      </c>
      <c r="L60" s="529" t="s">
        <v>1723</v>
      </c>
      <c r="M60" s="529" t="s">
        <v>1724</v>
      </c>
      <c r="N60" s="529" t="s">
        <v>1725</v>
      </c>
      <c r="AA60" s="1051"/>
      <c r="AB60" s="1051"/>
      <c r="AC60" s="1051"/>
      <c r="AD60" s="1051"/>
      <c r="AE60" s="1051"/>
      <c r="AF60" s="1051"/>
      <c r="AG60" s="1051"/>
      <c r="AH60" s="1051"/>
      <c r="AI60" s="1051"/>
      <c r="AJ60" s="1051"/>
      <c r="AK60" s="1051"/>
    </row>
    <row r="61" spans="1:37" s="1050" customFormat="1" ht="24">
      <c r="A61" s="1962" t="s">
        <v>2063</v>
      </c>
      <c r="B61" s="1965">
        <f>估价对象房地状况!C17</f>
        <v>0</v>
      </c>
      <c r="C61" s="1879"/>
      <c r="D61" s="996">
        <f t="shared" ref="D61:D69" si="12">SUMIF($J$60:$N$60,C61,J61:N61)</f>
        <v>0</v>
      </c>
      <c r="E61" s="696">
        <f>ROUND(SUM(D61:D69),4)</f>
        <v>0</v>
      </c>
      <c r="F61" s="1669" t="str">
        <f>IF(E2="办公",SUMIF(L1:L12,G2,N1:N12),"——")</f>
        <v>——</v>
      </c>
      <c r="G61" s="994"/>
      <c r="H61" s="997" t="str">
        <f t="shared" ref="H61:H69" si="13">IFERROR(ROUNDDOWN($F$61*I61/2,4),"——")</f>
        <v>——</v>
      </c>
      <c r="I61" s="3059">
        <v>0.25</v>
      </c>
      <c r="J61" s="995">
        <f t="shared" ref="J61:J69" si="14">K61+$G61</f>
        <v>0</v>
      </c>
      <c r="K61" s="995">
        <f t="shared" ref="K61:K69" si="15">$L61+$G61</f>
        <v>0</v>
      </c>
      <c r="L61" s="995">
        <v>0</v>
      </c>
      <c r="M61" s="995">
        <f t="shared" ref="M61:N69" si="16">L61-$G61</f>
        <v>0</v>
      </c>
      <c r="N61" s="995">
        <f t="shared" si="16"/>
        <v>0</v>
      </c>
      <c r="AA61" s="1051"/>
      <c r="AB61" s="1051"/>
      <c r="AC61" s="1051"/>
      <c r="AD61" s="1051"/>
      <c r="AE61" s="1051"/>
      <c r="AF61" s="1051"/>
      <c r="AG61" s="1051"/>
      <c r="AH61" s="1051"/>
      <c r="AI61" s="1051"/>
      <c r="AJ61" s="1051"/>
      <c r="AK61" s="1051"/>
    </row>
    <row r="62" spans="1:37" s="1050" customFormat="1" ht="38.25">
      <c r="A62" s="1962" t="s">
        <v>2052</v>
      </c>
      <c r="B62" s="1256" t="str">
        <f>估价对象房地状况!C18</f>
        <v>估价对象周边道路状况、公共交通通达情况、停车便捷程度，综合评价交通便捷度一般</v>
      </c>
      <c r="C62" s="1879"/>
      <c r="D62" s="996">
        <f t="shared" si="12"/>
        <v>0</v>
      </c>
      <c r="E62" s="697"/>
      <c r="F62" s="1669"/>
      <c r="G62" s="994"/>
      <c r="H62" s="997" t="str">
        <f t="shared" si="13"/>
        <v>——</v>
      </c>
      <c r="I62" s="3059">
        <v>0.26</v>
      </c>
      <c r="J62" s="995">
        <f t="shared" si="14"/>
        <v>0</v>
      </c>
      <c r="K62" s="995">
        <f t="shared" si="15"/>
        <v>0</v>
      </c>
      <c r="L62" s="995">
        <v>0</v>
      </c>
      <c r="M62" s="995">
        <f t="shared" si="16"/>
        <v>0</v>
      </c>
      <c r="N62" s="995">
        <f t="shared" si="16"/>
        <v>0</v>
      </c>
      <c r="AA62" s="1051"/>
      <c r="AB62" s="1051"/>
      <c r="AC62" s="1051"/>
      <c r="AD62" s="1051"/>
      <c r="AE62" s="1051"/>
      <c r="AF62" s="1051"/>
      <c r="AG62" s="1051"/>
      <c r="AH62" s="1051"/>
      <c r="AI62" s="1051"/>
      <c r="AJ62" s="1051"/>
      <c r="AK62" s="1051"/>
    </row>
    <row r="63" spans="1:37" s="1050" customFormat="1" ht="36">
      <c r="A63" s="3061" t="s">
        <v>3266</v>
      </c>
      <c r="B63" s="1256" t="str">
        <f>估价对象房地状况!C19</f>
        <v>较好</v>
      </c>
      <c r="C63" s="1879"/>
      <c r="D63" s="996">
        <f t="shared" si="12"/>
        <v>0</v>
      </c>
      <c r="E63" s="697"/>
      <c r="F63" s="1669"/>
      <c r="G63" s="994"/>
      <c r="H63" s="997" t="str">
        <f t="shared" si="13"/>
        <v>——</v>
      </c>
      <c r="I63" s="3059">
        <v>0.11</v>
      </c>
      <c r="J63" s="995">
        <f t="shared" si="14"/>
        <v>0</v>
      </c>
      <c r="K63" s="995">
        <f t="shared" si="15"/>
        <v>0</v>
      </c>
      <c r="L63" s="995">
        <v>0</v>
      </c>
      <c r="M63" s="995">
        <f t="shared" si="16"/>
        <v>0</v>
      </c>
      <c r="N63" s="995">
        <f t="shared" si="16"/>
        <v>0</v>
      </c>
      <c r="AA63" s="1051"/>
      <c r="AB63" s="1051"/>
      <c r="AC63" s="1051"/>
      <c r="AD63" s="1051"/>
      <c r="AE63" s="1051"/>
      <c r="AF63" s="1051"/>
      <c r="AG63" s="1051"/>
      <c r="AH63" s="1051"/>
      <c r="AI63" s="1051"/>
      <c r="AJ63" s="1051"/>
      <c r="AK63" s="1051"/>
    </row>
    <row r="64" spans="1:37" s="1050" customFormat="1" ht="36.75">
      <c r="A64" s="1962" t="s">
        <v>2053</v>
      </c>
      <c r="B64" s="1966" t="s">
        <v>2054</v>
      </c>
      <c r="C64" s="1879"/>
      <c r="D64" s="996">
        <f t="shared" si="12"/>
        <v>0</v>
      </c>
      <c r="E64" s="697"/>
      <c r="F64" s="1669"/>
      <c r="G64" s="994"/>
      <c r="H64" s="997" t="str">
        <f t="shared" si="13"/>
        <v>——</v>
      </c>
      <c r="I64" s="3059">
        <v>0.05</v>
      </c>
      <c r="J64" s="995">
        <f t="shared" si="14"/>
        <v>0</v>
      </c>
      <c r="K64" s="995">
        <f t="shared" si="15"/>
        <v>0</v>
      </c>
      <c r="L64" s="995">
        <v>0</v>
      </c>
      <c r="M64" s="995">
        <f t="shared" si="16"/>
        <v>0</v>
      </c>
      <c r="N64" s="995">
        <f t="shared" si="16"/>
        <v>0</v>
      </c>
      <c r="AA64" s="1051"/>
      <c r="AB64" s="1051"/>
      <c r="AC64" s="1051"/>
      <c r="AD64" s="1051"/>
      <c r="AE64" s="1051"/>
      <c r="AF64" s="1051"/>
      <c r="AG64" s="1051"/>
      <c r="AH64" s="1051"/>
      <c r="AI64" s="1051"/>
      <c r="AJ64" s="1051"/>
      <c r="AK64" s="1051"/>
    </row>
    <row r="65" spans="1:37" s="1050" customFormat="1" ht="24">
      <c r="A65" s="1962" t="s">
        <v>2055</v>
      </c>
      <c r="B65" s="1256" t="str">
        <f>估价对象房地状况!C24</f>
        <v>次干道</v>
      </c>
      <c r="C65" s="1879"/>
      <c r="D65" s="996">
        <f t="shared" si="12"/>
        <v>0</v>
      </c>
      <c r="E65" s="697"/>
      <c r="F65" s="1669"/>
      <c r="G65" s="994"/>
      <c r="H65" s="997" t="str">
        <f t="shared" si="13"/>
        <v>——</v>
      </c>
      <c r="I65" s="3059">
        <v>0.05</v>
      </c>
      <c r="J65" s="995">
        <f t="shared" si="14"/>
        <v>0</v>
      </c>
      <c r="K65" s="995">
        <f t="shared" si="15"/>
        <v>0</v>
      </c>
      <c r="L65" s="995">
        <v>0</v>
      </c>
      <c r="M65" s="995">
        <f t="shared" si="16"/>
        <v>0</v>
      </c>
      <c r="N65" s="995">
        <f t="shared" si="16"/>
        <v>0</v>
      </c>
      <c r="AA65" s="1051"/>
      <c r="AB65" s="1051"/>
      <c r="AC65" s="1051"/>
      <c r="AD65" s="1051"/>
      <c r="AE65" s="1051"/>
      <c r="AF65" s="1051"/>
      <c r="AG65" s="1051"/>
      <c r="AH65" s="1051"/>
      <c r="AI65" s="1051"/>
      <c r="AJ65" s="1051"/>
      <c r="AK65" s="1051"/>
    </row>
    <row r="66" spans="1:37" s="1050" customFormat="1" ht="24">
      <c r="A66" s="1962" t="s">
        <v>2056</v>
      </c>
      <c r="B66" s="1967" t="s">
        <v>2057</v>
      </c>
      <c r="C66" s="1879"/>
      <c r="D66" s="996">
        <f t="shared" si="12"/>
        <v>0</v>
      </c>
      <c r="E66" s="697"/>
      <c r="F66" s="1669"/>
      <c r="G66" s="994"/>
      <c r="H66" s="997" t="str">
        <f t="shared" si="13"/>
        <v>——</v>
      </c>
      <c r="I66" s="3059">
        <v>0.06</v>
      </c>
      <c r="J66" s="995">
        <f t="shared" si="14"/>
        <v>0</v>
      </c>
      <c r="K66" s="995">
        <f t="shared" si="15"/>
        <v>0</v>
      </c>
      <c r="L66" s="995">
        <v>0</v>
      </c>
      <c r="M66" s="995">
        <f t="shared" si="16"/>
        <v>0</v>
      </c>
      <c r="N66" s="995">
        <f t="shared" si="16"/>
        <v>0</v>
      </c>
      <c r="AA66" s="1051"/>
      <c r="AB66" s="1051"/>
      <c r="AC66" s="1051"/>
      <c r="AD66" s="1051"/>
      <c r="AE66" s="1051"/>
      <c r="AF66" s="1051"/>
      <c r="AG66" s="1051"/>
      <c r="AH66" s="1051"/>
      <c r="AI66" s="1051"/>
      <c r="AJ66" s="1051"/>
      <c r="AK66" s="1051"/>
    </row>
    <row r="67" spans="1:37" s="1050" customFormat="1" ht="25.5">
      <c r="A67" s="1962" t="s">
        <v>2058</v>
      </c>
      <c r="B67" s="1234" t="str">
        <f>估价对象房地状况!C21</f>
        <v>估价对象所在区域公共配套设施齐备情况一般</v>
      </c>
      <c r="C67" s="1879"/>
      <c r="D67" s="996">
        <f t="shared" si="12"/>
        <v>0</v>
      </c>
      <c r="E67" s="697"/>
      <c r="F67" s="1669"/>
      <c r="G67" s="994"/>
      <c r="H67" s="997" t="str">
        <f t="shared" si="13"/>
        <v>——</v>
      </c>
      <c r="I67" s="3059">
        <v>0.06</v>
      </c>
      <c r="J67" s="995">
        <f t="shared" si="14"/>
        <v>0</v>
      </c>
      <c r="K67" s="995">
        <f t="shared" si="15"/>
        <v>0</v>
      </c>
      <c r="L67" s="995">
        <v>0</v>
      </c>
      <c r="M67" s="995">
        <f t="shared" si="16"/>
        <v>0</v>
      </c>
      <c r="N67" s="995">
        <f t="shared" si="16"/>
        <v>0</v>
      </c>
      <c r="AA67" s="1051"/>
      <c r="AB67" s="1051"/>
      <c r="AC67" s="1051"/>
      <c r="AD67" s="1051"/>
      <c r="AE67" s="1051"/>
      <c r="AF67" s="1051"/>
      <c r="AG67" s="1051"/>
      <c r="AH67" s="1051"/>
      <c r="AI67" s="1051"/>
      <c r="AJ67" s="1051"/>
      <c r="AK67" s="1051"/>
    </row>
    <row r="68" spans="1:37" s="1050" customFormat="1" ht="25.5">
      <c r="A68" s="1962" t="s">
        <v>2059</v>
      </c>
      <c r="B68" s="1234" t="str">
        <f>估价对象房地状况!C22</f>
        <v>估价对象所在区域基础设施水平</v>
      </c>
      <c r="C68" s="1879"/>
      <c r="D68" s="996">
        <f t="shared" si="12"/>
        <v>0</v>
      </c>
      <c r="E68" s="697"/>
      <c r="F68" s="1669"/>
      <c r="G68" s="994"/>
      <c r="H68" s="997" t="str">
        <f t="shared" si="13"/>
        <v>——</v>
      </c>
      <c r="I68" s="3059">
        <v>0.09</v>
      </c>
      <c r="J68" s="995">
        <f t="shared" si="14"/>
        <v>0</v>
      </c>
      <c r="K68" s="995">
        <f t="shared" si="15"/>
        <v>0</v>
      </c>
      <c r="L68" s="995">
        <v>0</v>
      </c>
      <c r="M68" s="995">
        <f t="shared" si="16"/>
        <v>0</v>
      </c>
      <c r="N68" s="995">
        <f t="shared" si="16"/>
        <v>0</v>
      </c>
      <c r="AA68" s="1051"/>
      <c r="AB68" s="1051"/>
      <c r="AC68" s="1051"/>
      <c r="AD68" s="1051"/>
      <c r="AE68" s="1051"/>
      <c r="AF68" s="1051"/>
      <c r="AG68" s="1051"/>
      <c r="AH68" s="1051"/>
      <c r="AI68" s="1051"/>
      <c r="AJ68" s="1051"/>
      <c r="AK68" s="1051"/>
    </row>
    <row r="69" spans="1:37" s="1050" customFormat="1" ht="26.25" thickBot="1">
      <c r="A69" s="1969" t="s">
        <v>2060</v>
      </c>
      <c r="B69" s="1971" t="str">
        <f>估价对象房地状况!C20</f>
        <v>区域自然环境：；人文环境；综合评价环境状况一般</v>
      </c>
      <c r="C69" s="1879"/>
      <c r="D69" s="996">
        <f t="shared" si="12"/>
        <v>0</v>
      </c>
      <c r="E69" s="698"/>
      <c r="F69" s="1669"/>
      <c r="G69" s="994"/>
      <c r="H69" s="997" t="str">
        <f t="shared" si="13"/>
        <v>——</v>
      </c>
      <c r="I69" s="3060">
        <v>7.0000000000000007E-2</v>
      </c>
      <c r="J69" s="995">
        <f t="shared" si="14"/>
        <v>0</v>
      </c>
      <c r="K69" s="995">
        <f t="shared" si="15"/>
        <v>0</v>
      </c>
      <c r="L69" s="995">
        <v>0</v>
      </c>
      <c r="M69" s="995">
        <f t="shared" si="16"/>
        <v>0</v>
      </c>
      <c r="N69" s="995">
        <f t="shared" si="16"/>
        <v>0</v>
      </c>
      <c r="AA69" s="1051"/>
      <c r="AB69" s="1051"/>
      <c r="AC69" s="1051"/>
      <c r="AD69" s="1051"/>
      <c r="AE69" s="1051"/>
      <c r="AF69" s="1051"/>
      <c r="AG69" s="1051"/>
      <c r="AH69" s="1051"/>
      <c r="AI69" s="1051"/>
      <c r="AJ69" s="1051"/>
      <c r="AK69" s="1051"/>
    </row>
    <row r="70" spans="1:37" s="1050" customFormat="1" ht="15">
      <c r="A70" s="1959" t="s">
        <v>2064</v>
      </c>
      <c r="B70" s="1960">
        <f>1+E72</f>
        <v>1</v>
      </c>
      <c r="C70" s="693"/>
      <c r="D70" s="693"/>
      <c r="E70" s="694"/>
      <c r="F70" s="1961"/>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2" t="s">
        <v>2043</v>
      </c>
      <c r="B71" s="1256"/>
      <c r="C71" s="1256" t="s">
        <v>2045</v>
      </c>
      <c r="D71" s="1256" t="s">
        <v>2046</v>
      </c>
      <c r="E71" s="695" t="s">
        <v>2047</v>
      </c>
      <c r="F71" s="1963" t="s">
        <v>2062</v>
      </c>
      <c r="G71" s="1256" t="s">
        <v>310</v>
      </c>
      <c r="H71" s="1964" t="s">
        <v>2049</v>
      </c>
      <c r="I71" s="1256" t="s">
        <v>2050</v>
      </c>
      <c r="J71" s="529" t="s">
        <v>1721</v>
      </c>
      <c r="K71" s="529" t="s">
        <v>1722</v>
      </c>
      <c r="L71" s="529" t="s">
        <v>1723</v>
      </c>
      <c r="M71" s="529" t="s">
        <v>1724</v>
      </c>
      <c r="N71" s="529" t="s">
        <v>1725</v>
      </c>
      <c r="AA71" s="1051"/>
      <c r="AB71" s="1051"/>
      <c r="AC71" s="1051"/>
      <c r="AD71" s="1051"/>
      <c r="AE71" s="1051"/>
      <c r="AF71" s="1051"/>
      <c r="AG71" s="1051"/>
      <c r="AH71" s="1051"/>
      <c r="AI71" s="1051"/>
      <c r="AJ71" s="1051"/>
      <c r="AK71" s="1051"/>
    </row>
    <row r="72" spans="1:37" s="1050" customFormat="1" ht="51">
      <c r="A72" s="1962" t="s">
        <v>2065</v>
      </c>
      <c r="B72" s="1965" t="str">
        <f>估价对象房地状况!C15</f>
        <v>估价对象周边居住用地比例、居住小区规模和社区发展完善程度，综合评价居住社区成熟度一般</v>
      </c>
      <c r="C72" s="1879"/>
      <c r="D72" s="996">
        <f t="shared" ref="D72:D80" si="17">SUMIF($J$71:$N$71,C72,J72:N72)</f>
        <v>0</v>
      </c>
      <c r="E72" s="696">
        <f>ROUND(SUM(D72:D80),4)</f>
        <v>0</v>
      </c>
      <c r="F72" s="1669" t="str">
        <f>IF(E2="住宅",SUMIF(L1:L12,G2,N1:N12),"——")</f>
        <v>——</v>
      </c>
      <c r="G72" s="994"/>
      <c r="H72" s="997" t="str">
        <f t="shared" ref="H72:H80" si="18">IFERROR(ROUNDDOWN($F$72*I72/2,4),"——")</f>
        <v>——</v>
      </c>
      <c r="I72" s="3059">
        <v>0.2</v>
      </c>
      <c r="J72" s="995">
        <f t="shared" ref="J72:J80" si="19">K72+$G72</f>
        <v>0</v>
      </c>
      <c r="K72" s="995">
        <f t="shared" ref="K72:K80" si="20">$L72+$G72</f>
        <v>0</v>
      </c>
      <c r="L72" s="995">
        <v>0</v>
      </c>
      <c r="M72" s="995">
        <f t="shared" ref="M72:N80" si="21">L72-$G72</f>
        <v>0</v>
      </c>
      <c r="N72" s="995">
        <f t="shared" si="21"/>
        <v>0</v>
      </c>
      <c r="AA72" s="1051"/>
      <c r="AB72" s="1051"/>
      <c r="AC72" s="1051"/>
      <c r="AD72" s="1051"/>
      <c r="AE72" s="1051"/>
      <c r="AF72" s="1051"/>
      <c r="AG72" s="1051"/>
      <c r="AH72" s="1051"/>
      <c r="AI72" s="1051"/>
      <c r="AJ72" s="1051"/>
      <c r="AK72" s="1051"/>
    </row>
    <row r="73" spans="1:37" s="1050" customFormat="1" ht="38.25">
      <c r="A73" s="1962" t="s">
        <v>2052</v>
      </c>
      <c r="B73" s="1256" t="str">
        <f>估价对象房地状况!C18</f>
        <v>估价对象周边道路状况、公共交通通达情况、停车便捷程度，综合评价交通便捷度一般</v>
      </c>
      <c r="C73" s="1879"/>
      <c r="D73" s="996">
        <f t="shared" si="17"/>
        <v>0</v>
      </c>
      <c r="E73" s="699"/>
      <c r="F73" s="1669"/>
      <c r="G73" s="994"/>
      <c r="H73" s="997" t="str">
        <f t="shared" si="18"/>
        <v>——</v>
      </c>
      <c r="I73" s="3059">
        <v>0.26</v>
      </c>
      <c r="J73" s="995">
        <f t="shared" si="19"/>
        <v>0</v>
      </c>
      <c r="K73" s="995">
        <f t="shared" si="20"/>
        <v>0</v>
      </c>
      <c r="L73" s="995">
        <v>0</v>
      </c>
      <c r="M73" s="995">
        <f t="shared" si="21"/>
        <v>0</v>
      </c>
      <c r="N73" s="995">
        <f t="shared" si="21"/>
        <v>0</v>
      </c>
      <c r="AA73" s="1051"/>
      <c r="AB73" s="1051"/>
      <c r="AC73" s="1051"/>
      <c r="AD73" s="1051"/>
      <c r="AE73" s="1051"/>
      <c r="AF73" s="1051"/>
      <c r="AG73" s="1051"/>
      <c r="AH73" s="1051"/>
      <c r="AI73" s="1051"/>
      <c r="AJ73" s="1051"/>
      <c r="AK73" s="1051"/>
    </row>
    <row r="74" spans="1:37" s="1836" customFormat="1" ht="36">
      <c r="A74" s="3061" t="s">
        <v>3266</v>
      </c>
      <c r="B74" s="1256" t="str">
        <f>估价对象房地状况!C19</f>
        <v>较好</v>
      </c>
      <c r="C74" s="1879"/>
      <c r="D74" s="996">
        <f t="shared" si="17"/>
        <v>0</v>
      </c>
      <c r="E74" s="699"/>
      <c r="F74" s="1669"/>
      <c r="G74" s="994"/>
      <c r="H74" s="997" t="str">
        <f t="shared" si="18"/>
        <v>——</v>
      </c>
      <c r="I74" s="3059">
        <v>0.1</v>
      </c>
      <c r="J74" s="995">
        <f t="shared" si="19"/>
        <v>0</v>
      </c>
      <c r="K74" s="995">
        <f t="shared" si="20"/>
        <v>0</v>
      </c>
      <c r="L74" s="995">
        <v>0</v>
      </c>
      <c r="M74" s="995">
        <f t="shared" si="21"/>
        <v>0</v>
      </c>
      <c r="N74" s="995">
        <f t="shared" si="21"/>
        <v>0</v>
      </c>
      <c r="O74" s="1050"/>
      <c r="P74" s="1050"/>
      <c r="Q74" s="1050"/>
      <c r="AA74" s="1972"/>
      <c r="AB74" s="1051"/>
      <c r="AC74" s="1051"/>
      <c r="AD74" s="1051"/>
      <c r="AE74" s="1051"/>
      <c r="AF74" s="1051"/>
      <c r="AG74" s="1051"/>
      <c r="AH74" s="1972"/>
      <c r="AI74" s="1972"/>
      <c r="AJ74" s="1972"/>
      <c r="AK74" s="1972"/>
    </row>
    <row r="75" spans="1:37" ht="14.25">
      <c r="A75" s="1962" t="s">
        <v>2066</v>
      </c>
      <c r="B75" s="1256" t="str">
        <f>估价对象房地状况!C24</f>
        <v>次干道</v>
      </c>
      <c r="C75" s="1879"/>
      <c r="D75" s="996">
        <f t="shared" si="17"/>
        <v>0</v>
      </c>
      <c r="E75" s="699"/>
      <c r="F75" s="1669"/>
      <c r="G75" s="994"/>
      <c r="H75" s="997" t="str">
        <f t="shared" si="18"/>
        <v>——</v>
      </c>
      <c r="I75" s="3059">
        <v>0.05</v>
      </c>
      <c r="J75" s="995">
        <f t="shared" si="19"/>
        <v>0</v>
      </c>
      <c r="K75" s="995">
        <f t="shared" si="20"/>
        <v>0</v>
      </c>
      <c r="L75" s="995">
        <v>0</v>
      </c>
      <c r="M75" s="995">
        <f t="shared" si="21"/>
        <v>0</v>
      </c>
      <c r="N75" s="995">
        <f t="shared" si="21"/>
        <v>0</v>
      </c>
      <c r="O75" s="1050"/>
      <c r="P75" s="1050"/>
      <c r="Q75" s="1836"/>
      <c r="Z75" s="1837"/>
      <c r="AA75" s="1887"/>
      <c r="AG75" s="1052"/>
      <c r="AK75" s="1887"/>
    </row>
    <row r="76" spans="1:37" ht="25.5">
      <c r="A76" s="1962" t="s">
        <v>2058</v>
      </c>
      <c r="B76" s="1234" t="str">
        <f>估价对象房地状况!C21</f>
        <v>估价对象所在区域公共配套设施齐备情况一般</v>
      </c>
      <c r="C76" s="1879"/>
      <c r="D76" s="996">
        <f t="shared" si="17"/>
        <v>0</v>
      </c>
      <c r="E76" s="699"/>
      <c r="F76" s="1669"/>
      <c r="G76" s="994"/>
      <c r="H76" s="997" t="str">
        <f t="shared" si="18"/>
        <v>——</v>
      </c>
      <c r="I76" s="3059">
        <v>0.08</v>
      </c>
      <c r="J76" s="995">
        <f t="shared" si="19"/>
        <v>0</v>
      </c>
      <c r="K76" s="995">
        <f t="shared" si="20"/>
        <v>0</v>
      </c>
      <c r="L76" s="995">
        <v>0</v>
      </c>
      <c r="M76" s="995">
        <f t="shared" si="21"/>
        <v>0</v>
      </c>
      <c r="N76" s="995">
        <f t="shared" si="21"/>
        <v>0</v>
      </c>
      <c r="O76" s="1050"/>
      <c r="P76" s="1050"/>
      <c r="Z76" s="1837"/>
      <c r="AA76" s="1887"/>
      <c r="AG76" s="1052"/>
      <c r="AK76" s="1887"/>
    </row>
    <row r="77" spans="1:37" ht="25.5">
      <c r="A77" s="1962" t="s">
        <v>2059</v>
      </c>
      <c r="B77" s="1234" t="str">
        <f>估价对象房地状况!C22</f>
        <v>估价对象所在区域基础设施水平</v>
      </c>
      <c r="C77" s="1879"/>
      <c r="D77" s="996">
        <f t="shared" si="17"/>
        <v>0</v>
      </c>
      <c r="E77" s="699"/>
      <c r="F77" s="1669"/>
      <c r="G77" s="994"/>
      <c r="H77" s="997" t="str">
        <f t="shared" si="18"/>
        <v>——</v>
      </c>
      <c r="I77" s="3059">
        <v>0.09</v>
      </c>
      <c r="J77" s="995">
        <f t="shared" si="19"/>
        <v>0</v>
      </c>
      <c r="K77" s="995">
        <f t="shared" si="20"/>
        <v>0</v>
      </c>
      <c r="L77" s="995">
        <v>0</v>
      </c>
      <c r="M77" s="995">
        <f t="shared" si="21"/>
        <v>0</v>
      </c>
      <c r="N77" s="995">
        <f t="shared" si="21"/>
        <v>0</v>
      </c>
      <c r="O77" s="1050"/>
      <c r="P77" s="1050"/>
      <c r="Z77" s="1837"/>
      <c r="AA77" s="1887"/>
      <c r="AG77" s="1052"/>
      <c r="AK77" s="1887"/>
    </row>
    <row r="78" spans="1:37" ht="24">
      <c r="A78" s="1962" t="s">
        <v>2056</v>
      </c>
      <c r="B78" s="1967" t="s">
        <v>2057</v>
      </c>
      <c r="C78" s="1879"/>
      <c r="D78" s="996">
        <f t="shared" si="17"/>
        <v>0</v>
      </c>
      <c r="E78" s="699"/>
      <c r="F78" s="1669"/>
      <c r="G78" s="994"/>
      <c r="H78" s="997" t="str">
        <f t="shared" si="18"/>
        <v>——</v>
      </c>
      <c r="I78" s="3059">
        <v>0.05</v>
      </c>
      <c r="J78" s="995">
        <f t="shared" si="19"/>
        <v>0</v>
      </c>
      <c r="K78" s="995">
        <f t="shared" si="20"/>
        <v>0</v>
      </c>
      <c r="L78" s="995">
        <v>0</v>
      </c>
      <c r="M78" s="995">
        <f t="shared" si="21"/>
        <v>0</v>
      </c>
      <c r="N78" s="995">
        <f t="shared" si="21"/>
        <v>0</v>
      </c>
      <c r="O78" s="1836"/>
      <c r="P78" s="1836"/>
      <c r="Z78" s="1837"/>
      <c r="AA78" s="1887"/>
      <c r="AG78" s="1052"/>
      <c r="AK78" s="1887"/>
    </row>
    <row r="79" spans="1:37" ht="25.5">
      <c r="A79" s="1962" t="s">
        <v>2060</v>
      </c>
      <c r="B79" s="1965" t="str">
        <f>估价对象房地状况!C20</f>
        <v>区域自然环境：；人文环境；综合评价环境状况一般</v>
      </c>
      <c r="C79" s="1879"/>
      <c r="D79" s="996">
        <f t="shared" si="17"/>
        <v>0</v>
      </c>
      <c r="E79" s="699"/>
      <c r="F79" s="1669"/>
      <c r="G79" s="994"/>
      <c r="H79" s="997" t="str">
        <f t="shared" si="18"/>
        <v>——</v>
      </c>
      <c r="I79" s="3059">
        <v>0.12</v>
      </c>
      <c r="J79" s="995">
        <f t="shared" si="19"/>
        <v>0</v>
      </c>
      <c r="K79" s="995">
        <f t="shared" si="20"/>
        <v>0</v>
      </c>
      <c r="L79" s="995">
        <v>0</v>
      </c>
      <c r="M79" s="995">
        <f t="shared" si="21"/>
        <v>0</v>
      </c>
      <c r="N79" s="995">
        <f t="shared" si="21"/>
        <v>0</v>
      </c>
      <c r="Z79" s="1837"/>
      <c r="AA79" s="1887"/>
      <c r="AG79" s="1052"/>
      <c r="AK79" s="1887"/>
    </row>
    <row r="80" spans="1:37" ht="24.75" thickBot="1">
      <c r="A80" s="1969" t="s">
        <v>2067</v>
      </c>
      <c r="B80" s="1973"/>
      <c r="C80" s="1879"/>
      <c r="D80" s="996">
        <f t="shared" si="17"/>
        <v>0</v>
      </c>
      <c r="E80" s="700"/>
      <c r="F80" s="1669"/>
      <c r="G80" s="994"/>
      <c r="H80" s="997" t="str">
        <f t="shared" si="18"/>
        <v>——</v>
      </c>
      <c r="I80" s="3060">
        <v>0.05</v>
      </c>
      <c r="J80" s="995">
        <f t="shared" si="19"/>
        <v>0</v>
      </c>
      <c r="K80" s="995">
        <f t="shared" si="20"/>
        <v>0</v>
      </c>
      <c r="L80" s="995">
        <v>0</v>
      </c>
      <c r="M80" s="995">
        <f t="shared" si="21"/>
        <v>0</v>
      </c>
      <c r="N80" s="995">
        <f t="shared" si="21"/>
        <v>0</v>
      </c>
      <c r="Z80" s="1837"/>
      <c r="AA80" s="1887"/>
      <c r="AG80" s="1052"/>
      <c r="AK80" s="1887"/>
    </row>
    <row r="81" spans="1:37" ht="15">
      <c r="A81" s="1959" t="s">
        <v>2068</v>
      </c>
      <c r="B81" s="1960">
        <f>1+E83</f>
        <v>1</v>
      </c>
      <c r="C81" s="693"/>
      <c r="D81" s="693"/>
      <c r="E81" s="694"/>
      <c r="F81" s="1961"/>
      <c r="G81" s="3"/>
      <c r="H81" s="3"/>
      <c r="I81" s="3"/>
      <c r="J81" s="4"/>
      <c r="K81" s="4"/>
      <c r="L81" s="4"/>
      <c r="M81" s="4"/>
      <c r="N81" s="4"/>
      <c r="Z81" s="1837"/>
      <c r="AA81" s="1887"/>
      <c r="AG81" s="1052"/>
      <c r="AK81" s="1887"/>
    </row>
    <row r="82" spans="1:37" ht="24.75">
      <c r="A82" s="1962" t="s">
        <v>2043</v>
      </c>
      <c r="B82" s="1256"/>
      <c r="C82" s="1256" t="s">
        <v>2045</v>
      </c>
      <c r="D82" s="1256" t="s">
        <v>2046</v>
      </c>
      <c r="E82" s="695" t="s">
        <v>2047</v>
      </c>
      <c r="F82" s="1963" t="s">
        <v>2062</v>
      </c>
      <c r="G82" s="1256" t="s">
        <v>310</v>
      </c>
      <c r="H82" s="1964" t="s">
        <v>2049</v>
      </c>
      <c r="I82" s="1256" t="s">
        <v>2050</v>
      </c>
      <c r="J82" s="529" t="s">
        <v>1721</v>
      </c>
      <c r="K82" s="529" t="s">
        <v>1722</v>
      </c>
      <c r="L82" s="529" t="s">
        <v>1723</v>
      </c>
      <c r="M82" s="529" t="s">
        <v>1724</v>
      </c>
      <c r="N82" s="529" t="s">
        <v>1725</v>
      </c>
      <c r="Z82" s="1837"/>
      <c r="AA82" s="1887"/>
      <c r="AG82" s="1052"/>
      <c r="AK82" s="1887"/>
    </row>
    <row r="83" spans="1:37" ht="38.25">
      <c r="A83" s="1962" t="s">
        <v>2069</v>
      </c>
      <c r="B83" s="1256" t="str">
        <f>估价对象房地状况!G15</f>
        <v>估价对象位于XX开发区，园区建设成熟度XX，产业集聚程度XX</v>
      </c>
      <c r="C83" s="1879"/>
      <c r="D83" s="996">
        <f t="shared" ref="D83:D90" si="22">SUMIF($J$82:$N$82,C83,J83:N83)</f>
        <v>0</v>
      </c>
      <c r="E83" s="696">
        <f>ROUND(SUM(D83:D90),4)</f>
        <v>0</v>
      </c>
      <c r="F83" s="1669" t="str">
        <f>IF(E2="工业",SUMIF(L1:L12,G2,N1:N12),"——")</f>
        <v>——</v>
      </c>
      <c r="G83" s="994"/>
      <c r="H83" s="997" t="str">
        <f t="shared" ref="H83:H90" si="23">IFERROR(ROUNDDOWN($F$83*I83/2,4),"——")</f>
        <v>——</v>
      </c>
      <c r="I83" s="3059">
        <v>0.26</v>
      </c>
      <c r="J83" s="995">
        <f t="shared" ref="J83:J90" si="24">K83+$G83</f>
        <v>0</v>
      </c>
      <c r="K83" s="995">
        <f t="shared" ref="K83:K90" si="25">$L83+$G83</f>
        <v>0</v>
      </c>
      <c r="L83" s="995">
        <v>0</v>
      </c>
      <c r="M83" s="995">
        <f t="shared" ref="M83:N90" si="26">L83-$G83</f>
        <v>0</v>
      </c>
      <c r="N83" s="995">
        <f t="shared" si="26"/>
        <v>0</v>
      </c>
      <c r="Z83" s="1837"/>
      <c r="AA83" s="1887"/>
      <c r="AG83" s="1052"/>
      <c r="AK83" s="1887"/>
    </row>
    <row r="84" spans="1:37" ht="38.25">
      <c r="A84" s="1962" t="s">
        <v>2052</v>
      </c>
      <c r="B84" s="1256" t="str">
        <f>估价对象房地状况!G16</f>
        <v>估价对象周边道路状况、公共交通通达情况、停车便捷程度，综合评价交通便捷度较好</v>
      </c>
      <c r="C84" s="1879"/>
      <c r="D84" s="996">
        <f t="shared" si="22"/>
        <v>0</v>
      </c>
      <c r="E84" s="699"/>
      <c r="F84" s="1669"/>
      <c r="G84" s="994"/>
      <c r="H84" s="997" t="str">
        <f t="shared" si="23"/>
        <v>——</v>
      </c>
      <c r="I84" s="3059">
        <v>0.3</v>
      </c>
      <c r="J84" s="995">
        <f t="shared" si="24"/>
        <v>0</v>
      </c>
      <c r="K84" s="995">
        <f t="shared" si="25"/>
        <v>0</v>
      </c>
      <c r="L84" s="995">
        <v>0</v>
      </c>
      <c r="M84" s="995">
        <f t="shared" si="26"/>
        <v>0</v>
      </c>
      <c r="N84" s="995">
        <f t="shared" si="26"/>
        <v>0</v>
      </c>
      <c r="Z84" s="1837"/>
      <c r="AA84" s="1887"/>
      <c r="AG84" s="1052"/>
      <c r="AK84" s="1887"/>
    </row>
    <row r="85" spans="1:37" ht="36">
      <c r="A85" s="3061" t="s">
        <v>3267</v>
      </c>
      <c r="B85" s="1256">
        <f>估价对象房地状况!G17</f>
        <v>0</v>
      </c>
      <c r="C85" s="1879"/>
      <c r="D85" s="996">
        <f t="shared" si="22"/>
        <v>0</v>
      </c>
      <c r="E85" s="699"/>
      <c r="F85" s="1669"/>
      <c r="G85" s="994"/>
      <c r="H85" s="997" t="str">
        <f t="shared" si="23"/>
        <v>——</v>
      </c>
      <c r="I85" s="3059">
        <v>0.1</v>
      </c>
      <c r="J85" s="995">
        <f t="shared" si="24"/>
        <v>0</v>
      </c>
      <c r="K85" s="995">
        <f t="shared" si="25"/>
        <v>0</v>
      </c>
      <c r="L85" s="995">
        <v>0</v>
      </c>
      <c r="M85" s="995">
        <f t="shared" si="26"/>
        <v>0</v>
      </c>
      <c r="N85" s="995">
        <f t="shared" si="26"/>
        <v>0</v>
      </c>
      <c r="Z85" s="1837"/>
      <c r="AA85" s="1887"/>
      <c r="AG85" s="1052"/>
      <c r="AK85" s="1887"/>
    </row>
    <row r="86" spans="1:37" ht="14.25">
      <c r="A86" s="1962" t="s">
        <v>2066</v>
      </c>
      <c r="B86" s="1256">
        <f>估价对象房地状况!G22</f>
        <v>0</v>
      </c>
      <c r="C86" s="1879"/>
      <c r="D86" s="996">
        <f t="shared" si="22"/>
        <v>0</v>
      </c>
      <c r="E86" s="699"/>
      <c r="F86" s="1669"/>
      <c r="G86" s="994"/>
      <c r="H86" s="997" t="str">
        <f t="shared" si="23"/>
        <v>——</v>
      </c>
      <c r="I86" s="3059">
        <v>0.05</v>
      </c>
      <c r="J86" s="995">
        <f t="shared" si="24"/>
        <v>0</v>
      </c>
      <c r="K86" s="995">
        <f t="shared" si="25"/>
        <v>0</v>
      </c>
      <c r="L86" s="995">
        <v>0</v>
      </c>
      <c r="M86" s="995">
        <f t="shared" si="26"/>
        <v>0</v>
      </c>
      <c r="N86" s="995">
        <f t="shared" si="26"/>
        <v>0</v>
      </c>
      <c r="Z86" s="1837"/>
      <c r="AA86" s="1887"/>
      <c r="AG86" s="1052"/>
      <c r="AK86" s="1887"/>
    </row>
    <row r="87" spans="1:37" ht="25.5">
      <c r="A87" s="1962" t="s">
        <v>2058</v>
      </c>
      <c r="B87" s="1234" t="str">
        <f>估价对象房地状况!G19</f>
        <v>估价对象所在区域公共配套设施齐备情况</v>
      </c>
      <c r="C87" s="1879"/>
      <c r="D87" s="996">
        <f t="shared" si="22"/>
        <v>0</v>
      </c>
      <c r="E87" s="699"/>
      <c r="F87" s="1669"/>
      <c r="G87" s="994"/>
      <c r="H87" s="997" t="str">
        <f t="shared" si="23"/>
        <v>——</v>
      </c>
      <c r="I87" s="3059">
        <v>0.06</v>
      </c>
      <c r="J87" s="995">
        <f t="shared" si="24"/>
        <v>0</v>
      </c>
      <c r="K87" s="995">
        <f t="shared" si="25"/>
        <v>0</v>
      </c>
      <c r="L87" s="995">
        <v>0</v>
      </c>
      <c r="M87" s="995">
        <f t="shared" si="26"/>
        <v>0</v>
      </c>
      <c r="N87" s="995">
        <f t="shared" si="26"/>
        <v>0</v>
      </c>
    </row>
    <row r="88" spans="1:37" ht="25.5">
      <c r="A88" s="1962" t="s">
        <v>2059</v>
      </c>
      <c r="B88" s="1234" t="str">
        <f>估价对象房地状况!G20</f>
        <v>估价对象所在区域基础设施水平</v>
      </c>
      <c r="C88" s="1879"/>
      <c r="D88" s="996">
        <f t="shared" si="22"/>
        <v>0</v>
      </c>
      <c r="E88" s="699"/>
      <c r="F88" s="1669"/>
      <c r="G88" s="994"/>
      <c r="H88" s="997" t="str">
        <f t="shared" si="23"/>
        <v>——</v>
      </c>
      <c r="I88" s="3059">
        <v>0.12</v>
      </c>
      <c r="J88" s="995">
        <f t="shared" si="24"/>
        <v>0</v>
      </c>
      <c r="K88" s="995">
        <f t="shared" si="25"/>
        <v>0</v>
      </c>
      <c r="L88" s="995">
        <v>0</v>
      </c>
      <c r="M88" s="995">
        <f t="shared" si="26"/>
        <v>0</v>
      </c>
      <c r="N88" s="995">
        <f t="shared" si="26"/>
        <v>0</v>
      </c>
    </row>
    <row r="89" spans="1:37" ht="24">
      <c r="A89" s="1962" t="s">
        <v>2056</v>
      </c>
      <c r="B89" s="1967" t="s">
        <v>2070</v>
      </c>
      <c r="C89" s="1879"/>
      <c r="D89" s="996">
        <f t="shared" si="22"/>
        <v>0</v>
      </c>
      <c r="E89" s="699"/>
      <c r="F89" s="1669"/>
      <c r="G89" s="994"/>
      <c r="H89" s="997" t="str">
        <f t="shared" si="23"/>
        <v>——</v>
      </c>
      <c r="I89" s="3059">
        <v>0.06</v>
      </c>
      <c r="J89" s="995">
        <f t="shared" si="24"/>
        <v>0</v>
      </c>
      <c r="K89" s="995">
        <f t="shared" si="25"/>
        <v>0</v>
      </c>
      <c r="L89" s="995">
        <v>0</v>
      </c>
      <c r="M89" s="995">
        <f t="shared" si="26"/>
        <v>0</v>
      </c>
      <c r="N89" s="995">
        <f t="shared" si="26"/>
        <v>0</v>
      </c>
    </row>
    <row r="90" spans="1:37" ht="39" thickBot="1">
      <c r="A90" s="1969" t="s">
        <v>2071</v>
      </c>
      <c r="B90" s="1974" t="str">
        <f>估价对象房地状况!G18</f>
        <v>该园区内是否有污染型企业，绿化情况，卫生条件，整体环境状况判断</v>
      </c>
      <c r="C90" s="1879"/>
      <c r="D90" s="996">
        <f t="shared" si="22"/>
        <v>0</v>
      </c>
      <c r="E90" s="700"/>
      <c r="F90" s="1669"/>
      <c r="G90" s="994"/>
      <c r="H90" s="997" t="str">
        <f t="shared" si="23"/>
        <v>——</v>
      </c>
      <c r="I90" s="3060">
        <v>0.05</v>
      </c>
      <c r="J90" s="995">
        <f t="shared" si="24"/>
        <v>0</v>
      </c>
      <c r="K90" s="995">
        <f t="shared" si="25"/>
        <v>0</v>
      </c>
      <c r="L90" s="995">
        <v>0</v>
      </c>
      <c r="M90" s="995">
        <f t="shared" si="26"/>
        <v>0</v>
      </c>
      <c r="N90" s="995">
        <f t="shared" si="26"/>
        <v>0</v>
      </c>
    </row>
    <row r="91" spans="1:37" ht="15">
      <c r="A91" s="3069" t="s">
        <v>2609</v>
      </c>
      <c r="B91" s="3070">
        <f>1+E93</f>
        <v>1</v>
      </c>
      <c r="C91" s="3063"/>
      <c r="D91" s="3064"/>
      <c r="E91" s="1669"/>
      <c r="F91" s="1669"/>
      <c r="G91" s="3065"/>
      <c r="H91" s="3066"/>
      <c r="I91" s="3067"/>
      <c r="J91" s="3068"/>
      <c r="K91" s="3068"/>
      <c r="L91" s="3068"/>
      <c r="M91" s="3068"/>
      <c r="N91" s="3068"/>
    </row>
    <row r="92" spans="1:37" ht="24.75">
      <c r="A92" s="3071" t="s">
        <v>3268</v>
      </c>
      <c r="B92" s="2301"/>
      <c r="C92" s="2301" t="s">
        <v>3277</v>
      </c>
      <c r="D92" s="2301" t="s">
        <v>3278</v>
      </c>
      <c r="E92" s="3043" t="s">
        <v>3279</v>
      </c>
      <c r="F92" s="3073" t="s">
        <v>3280</v>
      </c>
      <c r="G92" s="2301" t="s">
        <v>3281</v>
      </c>
      <c r="H92" s="3080" t="s">
        <v>3284</v>
      </c>
      <c r="I92" s="2301" t="s">
        <v>3285</v>
      </c>
      <c r="J92" s="2142" t="s">
        <v>3286</v>
      </c>
      <c r="K92" s="2142" t="s">
        <v>3287</v>
      </c>
      <c r="L92" s="2142" t="s">
        <v>3288</v>
      </c>
      <c r="M92" s="2142" t="s">
        <v>3289</v>
      </c>
      <c r="N92" s="2142" t="s">
        <v>3290</v>
      </c>
    </row>
    <row r="93" spans="1:37" ht="24">
      <c r="A93" s="3061" t="s">
        <v>3269</v>
      </c>
      <c r="B93" s="1215"/>
      <c r="C93" s="1879"/>
      <c r="D93" s="2301">
        <f>SUMIF($J$92:$N$92,C93,J93:N93)</f>
        <v>0</v>
      </c>
      <c r="E93" s="3074">
        <f>ROUND(SUM(D93:D101),4)</f>
        <v>0</v>
      </c>
      <c r="F93" s="1669" t="str">
        <f>IF(E2="公共服务",SUMIF(L1:L12,G2,N1:N12),"——")</f>
        <v>——</v>
      </c>
      <c r="G93" s="3065"/>
      <c r="H93" s="3109"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38.25">
      <c r="A94" s="3071" t="s">
        <v>3270</v>
      </c>
      <c r="B94" s="3062" t="str">
        <f>估价对象房地状况!C18</f>
        <v>估价对象周边道路状况、公共交通通达情况、停车便捷程度，综合评价交通便捷度一般</v>
      </c>
      <c r="C94" s="1879"/>
      <c r="D94" s="2301">
        <f t="shared" ref="D94:D101" si="30">SUMIF($J$60:$N$60,C94,J94:N94)</f>
        <v>0</v>
      </c>
      <c r="E94" s="3075"/>
      <c r="F94" s="1669"/>
      <c r="G94" s="3065"/>
      <c r="H94" s="3109" t="str">
        <f>IFERROR(ROUNDDOWN($F$93*I94/2,4),"——")</f>
        <v>——</v>
      </c>
      <c r="I94" s="3059">
        <v>0.26</v>
      </c>
      <c r="J94" s="1904">
        <f t="shared" si="27"/>
        <v>0</v>
      </c>
      <c r="K94" s="1904">
        <f t="shared" si="28"/>
        <v>0</v>
      </c>
      <c r="L94" s="1904">
        <v>0</v>
      </c>
      <c r="M94" s="1904">
        <f t="shared" si="29"/>
        <v>0</v>
      </c>
      <c r="N94" s="1904">
        <f t="shared" si="29"/>
        <v>0</v>
      </c>
    </row>
    <row r="95" spans="1:37" ht="36">
      <c r="A95" s="3061" t="s">
        <v>3266</v>
      </c>
      <c r="B95" s="3062" t="str">
        <f>估价对象房地状况!C19</f>
        <v>较好</v>
      </c>
      <c r="C95" s="1879"/>
      <c r="D95" s="2301">
        <f t="shared" si="30"/>
        <v>0</v>
      </c>
      <c r="E95" s="3075"/>
      <c r="F95" s="1669"/>
      <c r="G95" s="3065"/>
      <c r="H95" s="3109"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3271</v>
      </c>
      <c r="B96" s="3077" t="s">
        <v>3282</v>
      </c>
      <c r="C96" s="1879"/>
      <c r="D96" s="2301">
        <f t="shared" si="30"/>
        <v>0</v>
      </c>
      <c r="E96" s="3075"/>
      <c r="F96" s="1669"/>
      <c r="G96" s="3065"/>
      <c r="H96" s="3109" t="str">
        <f t="shared" si="31"/>
        <v>——</v>
      </c>
      <c r="I96" s="3059">
        <v>0.05</v>
      </c>
      <c r="J96" s="1904">
        <f t="shared" si="27"/>
        <v>0</v>
      </c>
      <c r="K96" s="1904">
        <f t="shared" si="28"/>
        <v>0</v>
      </c>
      <c r="L96" s="1904">
        <v>0</v>
      </c>
      <c r="M96" s="1904">
        <f t="shared" si="29"/>
        <v>0</v>
      </c>
      <c r="N96" s="1904">
        <f t="shared" si="29"/>
        <v>0</v>
      </c>
    </row>
    <row r="97" spans="1:14" ht="24">
      <c r="A97" s="3071" t="s">
        <v>3272</v>
      </c>
      <c r="B97" s="3062" t="str">
        <f>估价对象房地状况!C24</f>
        <v>次干道</v>
      </c>
      <c r="C97" s="1879"/>
      <c r="D97" s="2301">
        <f t="shared" si="30"/>
        <v>0</v>
      </c>
      <c r="E97" s="3075"/>
      <c r="F97" s="1669"/>
      <c r="G97" s="3065"/>
      <c r="H97" s="3109" t="str">
        <f t="shared" si="31"/>
        <v>——</v>
      </c>
      <c r="I97" s="3059">
        <v>0.05</v>
      </c>
      <c r="J97" s="1904">
        <f t="shared" si="27"/>
        <v>0</v>
      </c>
      <c r="K97" s="1904">
        <f t="shared" si="28"/>
        <v>0</v>
      </c>
      <c r="L97" s="1904">
        <v>0</v>
      </c>
      <c r="M97" s="1904">
        <f t="shared" si="29"/>
        <v>0</v>
      </c>
      <c r="N97" s="1904">
        <f t="shared" si="29"/>
        <v>0</v>
      </c>
    </row>
    <row r="98" spans="1:14" ht="24">
      <c r="A98" s="3071" t="s">
        <v>3273</v>
      </c>
      <c r="B98" s="3078" t="s">
        <v>3283</v>
      </c>
      <c r="C98" s="1879"/>
      <c r="D98" s="2301">
        <f t="shared" si="30"/>
        <v>0</v>
      </c>
      <c r="E98" s="3075"/>
      <c r="F98" s="1669"/>
      <c r="G98" s="3065"/>
      <c r="H98" s="3109" t="str">
        <f t="shared" si="31"/>
        <v>——</v>
      </c>
      <c r="I98" s="3059">
        <v>0.06</v>
      </c>
      <c r="J98" s="1904">
        <f t="shared" si="27"/>
        <v>0</v>
      </c>
      <c r="K98" s="1904">
        <f t="shared" si="28"/>
        <v>0</v>
      </c>
      <c r="L98" s="1904">
        <v>0</v>
      </c>
      <c r="M98" s="1904">
        <f t="shared" si="29"/>
        <v>0</v>
      </c>
      <c r="N98" s="1904">
        <f t="shared" si="29"/>
        <v>0</v>
      </c>
    </row>
    <row r="99" spans="1:14" ht="25.5">
      <c r="A99" s="3071" t="s">
        <v>3274</v>
      </c>
      <c r="B99" s="3062" t="str">
        <f>估价对象房地状况!C21</f>
        <v>估价对象所在区域公共配套设施齐备情况一般</v>
      </c>
      <c r="C99" s="1879"/>
      <c r="D99" s="2301">
        <f t="shared" si="30"/>
        <v>0</v>
      </c>
      <c r="E99" s="3075"/>
      <c r="F99" s="1669"/>
      <c r="G99" s="3065"/>
      <c r="H99" s="3109" t="str">
        <f t="shared" si="31"/>
        <v>——</v>
      </c>
      <c r="I99" s="3059">
        <v>0.06</v>
      </c>
      <c r="J99" s="1904">
        <f t="shared" si="27"/>
        <v>0</v>
      </c>
      <c r="K99" s="1904">
        <f t="shared" si="28"/>
        <v>0</v>
      </c>
      <c r="L99" s="1904">
        <v>0</v>
      </c>
      <c r="M99" s="1904">
        <f t="shared" si="29"/>
        <v>0</v>
      </c>
      <c r="N99" s="1904">
        <f t="shared" si="29"/>
        <v>0</v>
      </c>
    </row>
    <row r="100" spans="1:14" ht="25.5">
      <c r="A100" s="3071" t="s">
        <v>3275</v>
      </c>
      <c r="B100" s="3062" t="str">
        <f>估价对象房地状况!C22</f>
        <v>估价对象所在区域基础设施水平</v>
      </c>
      <c r="C100" s="1879"/>
      <c r="D100" s="2301">
        <f t="shared" si="30"/>
        <v>0</v>
      </c>
      <c r="E100" s="3075"/>
      <c r="F100" s="1669"/>
      <c r="G100" s="3065"/>
      <c r="H100" s="3109" t="str">
        <f t="shared" si="31"/>
        <v>——</v>
      </c>
      <c r="I100" s="3059">
        <v>0.09</v>
      </c>
      <c r="J100" s="1904">
        <f t="shared" si="27"/>
        <v>0</v>
      </c>
      <c r="K100" s="1904">
        <f t="shared" si="28"/>
        <v>0</v>
      </c>
      <c r="L100" s="1904">
        <v>0</v>
      </c>
      <c r="M100" s="1904">
        <f t="shared" si="29"/>
        <v>0</v>
      </c>
      <c r="N100" s="1904">
        <f t="shared" si="29"/>
        <v>0</v>
      </c>
    </row>
    <row r="101" spans="1:14" ht="26.25" thickBot="1">
      <c r="A101" s="3072" t="s">
        <v>3276</v>
      </c>
      <c r="B101" s="3079" t="str">
        <f>估价对象房地状况!C20</f>
        <v>区域自然环境：；人文环境；综合评价环境状况一般</v>
      </c>
      <c r="C101" s="1879"/>
      <c r="D101" s="2301">
        <f t="shared" si="30"/>
        <v>0</v>
      </c>
      <c r="E101" s="3076"/>
      <c r="F101" s="1669"/>
      <c r="G101" s="3065"/>
      <c r="H101" s="3109" t="str">
        <f t="shared" si="31"/>
        <v>——</v>
      </c>
      <c r="I101" s="3060">
        <v>7.0000000000000007E-2</v>
      </c>
      <c r="J101" s="1904">
        <f t="shared" si="27"/>
        <v>0</v>
      </c>
      <c r="K101" s="1904">
        <f t="shared" si="28"/>
        <v>0</v>
      </c>
      <c r="L101" s="1904">
        <v>0</v>
      </c>
      <c r="M101" s="1904">
        <f t="shared" si="29"/>
        <v>0</v>
      </c>
      <c r="N101" s="1904">
        <f t="shared" si="29"/>
        <v>0</v>
      </c>
    </row>
    <row r="103" spans="1:14">
      <c r="A103" s="3475" t="s">
        <v>3291</v>
      </c>
      <c r="B103" s="3475"/>
      <c r="C103" s="3475"/>
      <c r="D103" s="3475"/>
      <c r="E103" s="3475"/>
      <c r="F103" s="3475"/>
      <c r="G103" s="3475"/>
      <c r="H103" s="3475"/>
      <c r="I103" s="3475"/>
      <c r="J103" s="3475"/>
      <c r="K103" s="1661"/>
      <c r="L103" s="1661"/>
      <c r="M103" s="1661"/>
      <c r="N103" s="1661"/>
    </row>
    <row r="104" spans="1:14">
      <c r="A104" s="3476" t="s">
        <v>3292</v>
      </c>
      <c r="B104" s="3476" t="s">
        <v>3293</v>
      </c>
      <c r="C104" s="3081" t="s">
        <v>3294</v>
      </c>
      <c r="D104" s="3082"/>
      <c r="E104" s="3082"/>
      <c r="F104" s="3082"/>
      <c r="G104" s="3082"/>
      <c r="H104" s="3082"/>
      <c r="I104" s="3082"/>
      <c r="J104" s="3083"/>
      <c r="K104" s="3084"/>
      <c r="L104" s="3084"/>
      <c r="M104" s="3084"/>
      <c r="N104" s="3084"/>
    </row>
    <row r="105" spans="1:14">
      <c r="A105" s="3476"/>
      <c r="B105" s="3476"/>
      <c r="C105" s="3085" t="s">
        <v>3295</v>
      </c>
      <c r="D105" s="3085" t="s">
        <v>3296</v>
      </c>
      <c r="E105" s="3085" t="s">
        <v>3297</v>
      </c>
      <c r="F105" s="3085" t="s">
        <v>3298</v>
      </c>
      <c r="G105" s="3085" t="s">
        <v>3299</v>
      </c>
      <c r="H105" s="3085" t="s">
        <v>3300</v>
      </c>
      <c r="I105" s="3085" t="s">
        <v>3301</v>
      </c>
      <c r="J105" s="3085" t="s">
        <v>3302</v>
      </c>
      <c r="K105" s="3085" t="s">
        <v>3303</v>
      </c>
      <c r="L105" s="3085" t="s">
        <v>3304</v>
      </c>
      <c r="M105" s="3085" t="s">
        <v>3305</v>
      </c>
      <c r="N105" s="3085" t="s">
        <v>3306</v>
      </c>
    </row>
    <row r="106" spans="1:14">
      <c r="A106" s="3462" t="s">
        <v>3307</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463"/>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463"/>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463"/>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463"/>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463"/>
      <c r="B111" s="3085" t="s">
        <v>3265</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464"/>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465" t="s">
        <v>3308</v>
      </c>
      <c r="B113" s="3465"/>
      <c r="C113" s="3465"/>
      <c r="D113" s="3465"/>
      <c r="E113" s="3465"/>
      <c r="F113" s="3465"/>
      <c r="G113" s="3465"/>
      <c r="H113" s="3465"/>
      <c r="I113" s="3465"/>
      <c r="J113" s="3465"/>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3309</v>
      </c>
      <c r="B116" s="3105">
        <f>G3</f>
        <v>0</v>
      </c>
      <c r="C116" s="3090" t="s">
        <v>3310</v>
      </c>
      <c r="D116" s="3091">
        <f>SUMPRODUCT((A118:A122=F116)*(B117:M117=H116)*B118:M122)</f>
        <v>0</v>
      </c>
      <c r="E116" s="161" t="s">
        <v>3311</v>
      </c>
      <c r="F116" s="3092">
        <f>E2</f>
        <v>0</v>
      </c>
      <c r="G116" s="161" t="s">
        <v>3312</v>
      </c>
      <c r="H116" s="3092">
        <f>G2</f>
        <v>0</v>
      </c>
      <c r="I116" s="161"/>
      <c r="J116" s="3093"/>
      <c r="K116" s="3093"/>
      <c r="L116" s="3093"/>
      <c r="M116" s="3093"/>
      <c r="N116" s="3088"/>
    </row>
    <row r="117" spans="1:14">
      <c r="A117" s="3094"/>
      <c r="B117" s="3095" t="s">
        <v>3313</v>
      </c>
      <c r="C117" s="3095" t="s">
        <v>3314</v>
      </c>
      <c r="D117" s="3095" t="s">
        <v>3315</v>
      </c>
      <c r="E117" s="3096" t="s">
        <v>3316</v>
      </c>
      <c r="F117" s="3096" t="s">
        <v>3317</v>
      </c>
      <c r="G117" s="3096" t="s">
        <v>3318</v>
      </c>
      <c r="H117" s="3097" t="s">
        <v>3319</v>
      </c>
      <c r="I117" s="3097" t="s">
        <v>3320</v>
      </c>
      <c r="J117" s="3098" t="s">
        <v>3321</v>
      </c>
      <c r="K117" s="3098" t="s">
        <v>3322</v>
      </c>
      <c r="L117" s="3098" t="s">
        <v>3323</v>
      </c>
      <c r="M117" s="3099" t="s">
        <v>3324</v>
      </c>
      <c r="N117" s="3088"/>
    </row>
    <row r="118" spans="1:14">
      <c r="A118" s="3048" t="s">
        <v>3325</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3326</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3327</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3328</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2609</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2591</v>
      </c>
      <c r="B1" s="2802" t="s">
        <v>2592</v>
      </c>
      <c r="C1" s="2802" t="s">
        <v>2593</v>
      </c>
      <c r="D1" s="2802" t="s">
        <v>2594</v>
      </c>
      <c r="E1" s="2802" t="s">
        <v>2595</v>
      </c>
      <c r="F1" s="2802" t="s">
        <v>2596</v>
      </c>
      <c r="G1" s="2802" t="s">
        <v>2597</v>
      </c>
      <c r="H1" s="2802" t="s">
        <v>2598</v>
      </c>
      <c r="I1" s="2802" t="s">
        <v>2599</v>
      </c>
      <c r="J1" s="2802" t="s">
        <v>2600</v>
      </c>
      <c r="K1" s="2802" t="s">
        <v>2601</v>
      </c>
      <c r="L1" s="2802" t="s">
        <v>2602</v>
      </c>
      <c r="M1" s="2803" t="s">
        <v>2603</v>
      </c>
    </row>
    <row r="2" spans="1:13" ht="19.5" customHeight="1">
      <c r="A2" s="2805" t="s">
        <v>2604</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2605</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2606</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2607</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2608</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2609</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2610</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2611</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2612</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2613</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2614</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2615</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2616</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2617</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2618</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2619</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2620</v>
      </c>
      <c r="B18" s="2827"/>
      <c r="C18" s="2828"/>
      <c r="D18" s="2828"/>
      <c r="E18" s="2827"/>
      <c r="F18" s="2828"/>
      <c r="G18" s="2828"/>
    </row>
    <row r="19" spans="1:13" ht="19.5" customHeight="1" thickBot="1">
      <c r="A19" s="2825" t="s">
        <v>2621</v>
      </c>
      <c r="B19" s="2830" t="s">
        <v>2622</v>
      </c>
      <c r="C19" s="2830" t="s">
        <v>2623</v>
      </c>
      <c r="D19" s="2831"/>
      <c r="E19" s="2825" t="s">
        <v>2624</v>
      </c>
      <c r="F19" s="2832"/>
      <c r="G19" s="2832"/>
    </row>
    <row r="20" spans="1:13" ht="19.5" customHeight="1">
      <c r="A20" s="3490" t="s">
        <v>2604</v>
      </c>
      <c r="B20" s="3485" t="s">
        <v>2625</v>
      </c>
      <c r="C20" s="2833" t="s">
        <v>2436</v>
      </c>
      <c r="D20" s="2834"/>
      <c r="E20" s="2835">
        <v>1</v>
      </c>
      <c r="F20" s="2836" t="s">
        <v>2437</v>
      </c>
      <c r="G20" s="2836"/>
    </row>
    <row r="21" spans="1:13" ht="19.5" customHeight="1">
      <c r="A21" s="3491"/>
      <c r="B21" s="3484"/>
      <c r="C21" s="2837" t="s">
        <v>2438</v>
      </c>
      <c r="D21" s="2838"/>
      <c r="E21" s="2839">
        <v>1</v>
      </c>
      <c r="F21" s="2836" t="s">
        <v>2439</v>
      </c>
      <c r="G21" s="2836"/>
    </row>
    <row r="22" spans="1:13" ht="19.5" customHeight="1">
      <c r="A22" s="3491"/>
      <c r="B22" s="3484"/>
      <c r="C22" s="2837" t="s">
        <v>2440</v>
      </c>
      <c r="D22" s="2838"/>
      <c r="E22" s="2839">
        <v>0.9</v>
      </c>
      <c r="F22" s="2836" t="s">
        <v>2441</v>
      </c>
      <c r="G22" s="2836"/>
    </row>
    <row r="23" spans="1:13" ht="19.5" customHeight="1">
      <c r="A23" s="3491"/>
      <c r="B23" s="3484"/>
      <c r="C23" s="2837" t="s">
        <v>2442</v>
      </c>
      <c r="D23" s="2838"/>
      <c r="E23" s="2839">
        <v>0.9</v>
      </c>
      <c r="F23" s="2836" t="s">
        <v>2443</v>
      </c>
      <c r="G23" s="2836"/>
    </row>
    <row r="24" spans="1:13" ht="19.5" customHeight="1">
      <c r="A24" s="3491"/>
      <c r="B24" s="3484"/>
      <c r="C24" s="2837" t="s">
        <v>2444</v>
      </c>
      <c r="D24" s="2838"/>
      <c r="E24" s="2839">
        <v>0.8</v>
      </c>
      <c r="F24" s="2836" t="s">
        <v>2445</v>
      </c>
      <c r="G24" s="2836"/>
    </row>
    <row r="25" spans="1:13" ht="19.5" customHeight="1" thickBot="1">
      <c r="A25" s="3492"/>
      <c r="B25" s="3486"/>
      <c r="C25" s="2840" t="s">
        <v>2446</v>
      </c>
      <c r="D25" s="2841"/>
      <c r="E25" s="2842">
        <v>0.8</v>
      </c>
      <c r="F25" s="2836" t="s">
        <v>2447</v>
      </c>
      <c r="G25" s="2836"/>
    </row>
    <row r="26" spans="1:13" ht="19.5" customHeight="1" thickBot="1">
      <c r="A26" s="2843" t="s">
        <v>2626</v>
      </c>
      <c r="B26" s="2844" t="s">
        <v>2625</v>
      </c>
      <c r="C26" s="2845" t="s">
        <v>2627</v>
      </c>
      <c r="D26" s="2846"/>
      <c r="E26" s="2847">
        <v>1</v>
      </c>
      <c r="F26" s="2836" t="s">
        <v>2448</v>
      </c>
      <c r="G26" s="2836"/>
    </row>
    <row r="27" spans="1:13" ht="19.5" customHeight="1">
      <c r="A27" s="3487" t="s">
        <v>2628</v>
      </c>
      <c r="B27" s="3485" t="s">
        <v>2609</v>
      </c>
      <c r="C27" s="2833" t="s">
        <v>2449</v>
      </c>
      <c r="D27" s="2834"/>
      <c r="E27" s="2835">
        <v>1</v>
      </c>
      <c r="F27" s="2836" t="s">
        <v>2450</v>
      </c>
      <c r="G27" s="2836"/>
    </row>
    <row r="28" spans="1:13" ht="19.5" customHeight="1">
      <c r="A28" s="3488"/>
      <c r="B28" s="3484"/>
      <c r="C28" s="2837" t="s">
        <v>2451</v>
      </c>
      <c r="D28" s="2838"/>
      <c r="E28" s="2839">
        <v>1</v>
      </c>
      <c r="F28" s="2836" t="s">
        <v>2452</v>
      </c>
      <c r="G28" s="2836"/>
    </row>
    <row r="29" spans="1:13" ht="19.5" customHeight="1">
      <c r="A29" s="3488"/>
      <c r="B29" s="3484"/>
      <c r="C29" s="2837" t="s">
        <v>2453</v>
      </c>
      <c r="D29" s="2838"/>
      <c r="E29" s="2839">
        <v>0.8</v>
      </c>
      <c r="F29" s="2836" t="s">
        <v>2454</v>
      </c>
      <c r="G29" s="2836"/>
    </row>
    <row r="30" spans="1:13" ht="19.5" customHeight="1">
      <c r="A30" s="3488"/>
      <c r="B30" s="3484"/>
      <c r="C30" s="2837" t="s">
        <v>2455</v>
      </c>
      <c r="D30" s="2838"/>
      <c r="E30" s="2839">
        <v>0.8</v>
      </c>
      <c r="F30" s="2836" t="s">
        <v>2456</v>
      </c>
      <c r="G30" s="2836"/>
    </row>
    <row r="31" spans="1:13" ht="19.5" customHeight="1">
      <c r="A31" s="3488"/>
      <c r="B31" s="3484"/>
      <c r="C31" s="2837" t="s">
        <v>2457</v>
      </c>
      <c r="D31" s="2838"/>
      <c r="E31" s="2839">
        <v>0.8</v>
      </c>
      <c r="F31" s="2836" t="s">
        <v>2458</v>
      </c>
      <c r="G31" s="2836"/>
    </row>
    <row r="32" spans="1:13" ht="19.5" customHeight="1">
      <c r="A32" s="3488"/>
      <c r="B32" s="3484"/>
      <c r="C32" s="2837" t="s">
        <v>2459</v>
      </c>
      <c r="D32" s="2838"/>
      <c r="E32" s="2839">
        <v>0.7</v>
      </c>
      <c r="F32" s="2836" t="s">
        <v>2460</v>
      </c>
      <c r="G32" s="2836"/>
    </row>
    <row r="33" spans="1:7" ht="19.5" customHeight="1">
      <c r="A33" s="3488"/>
      <c r="B33" s="3484"/>
      <c r="C33" s="2837" t="s">
        <v>2461</v>
      </c>
      <c r="D33" s="2838"/>
      <c r="E33" s="2839">
        <v>0.8</v>
      </c>
      <c r="F33" s="2836" t="s">
        <v>2462</v>
      </c>
      <c r="G33" s="2836"/>
    </row>
    <row r="34" spans="1:7" ht="19.5" customHeight="1">
      <c r="A34" s="3488"/>
      <c r="B34" s="3484"/>
      <c r="C34" s="2837" t="s">
        <v>2463</v>
      </c>
      <c r="D34" s="2838"/>
      <c r="E34" s="2839">
        <v>0.6</v>
      </c>
      <c r="F34" s="2836" t="s">
        <v>2464</v>
      </c>
      <c r="G34" s="2836"/>
    </row>
    <row r="35" spans="1:7" ht="19.5" customHeight="1">
      <c r="A35" s="3488"/>
      <c r="B35" s="3484"/>
      <c r="C35" s="2837" t="s">
        <v>2465</v>
      </c>
      <c r="D35" s="2838"/>
      <c r="E35" s="2839">
        <v>0.2</v>
      </c>
      <c r="F35" s="2836" t="s">
        <v>2466</v>
      </c>
      <c r="G35" s="2836"/>
    </row>
    <row r="36" spans="1:7" ht="19.5" customHeight="1">
      <c r="A36" s="3488"/>
      <c r="B36" s="3484"/>
      <c r="C36" s="2837" t="s">
        <v>2467</v>
      </c>
      <c r="D36" s="2838"/>
      <c r="E36" s="2839">
        <v>0.2</v>
      </c>
      <c r="F36" s="2836" t="s">
        <v>2468</v>
      </c>
      <c r="G36" s="2836"/>
    </row>
    <row r="37" spans="1:7" ht="19.5" customHeight="1">
      <c r="A37" s="3488"/>
      <c r="B37" s="3482" t="s">
        <v>2629</v>
      </c>
      <c r="C37" s="2837" t="s">
        <v>2469</v>
      </c>
      <c r="D37" s="2838"/>
      <c r="E37" s="2839">
        <v>0.6</v>
      </c>
      <c r="F37" s="2836" t="s">
        <v>2470</v>
      </c>
      <c r="G37" s="2836"/>
    </row>
    <row r="38" spans="1:7" ht="19.5" customHeight="1">
      <c r="A38" s="3488"/>
      <c r="B38" s="3484"/>
      <c r="C38" s="2837" t="s">
        <v>2471</v>
      </c>
      <c r="D38" s="2838"/>
      <c r="E38" s="2839">
        <v>0.6</v>
      </c>
      <c r="F38" s="2836" t="s">
        <v>2472</v>
      </c>
      <c r="G38" s="2836"/>
    </row>
    <row r="39" spans="1:7" ht="19.5" customHeight="1" thickBot="1">
      <c r="A39" s="3489"/>
      <c r="B39" s="3486"/>
      <c r="C39" s="2840" t="s">
        <v>2473</v>
      </c>
      <c r="D39" s="2841"/>
      <c r="E39" s="2842">
        <v>0.6</v>
      </c>
      <c r="F39" s="2836" t="s">
        <v>2474</v>
      </c>
      <c r="G39" s="2836"/>
    </row>
    <row r="40" spans="1:7" ht="19.5" customHeight="1" thickBot="1">
      <c r="A40" s="2843" t="s">
        <v>2606</v>
      </c>
      <c r="B40" s="2844" t="s">
        <v>2606</v>
      </c>
      <c r="C40" s="2845" t="s">
        <v>2630</v>
      </c>
      <c r="D40" s="2846"/>
      <c r="E40" s="2847">
        <v>1</v>
      </c>
      <c r="F40" s="2836" t="s">
        <v>2475</v>
      </c>
      <c r="G40" s="2836"/>
    </row>
    <row r="41" spans="1:7" ht="19.5" customHeight="1">
      <c r="A41" s="3490" t="s">
        <v>2607</v>
      </c>
      <c r="B41" s="3485" t="s">
        <v>2631</v>
      </c>
      <c r="C41" s="2833" t="s">
        <v>2476</v>
      </c>
      <c r="D41" s="2834"/>
      <c r="E41" s="2835">
        <v>1</v>
      </c>
      <c r="F41" s="2836" t="s">
        <v>2477</v>
      </c>
      <c r="G41" s="2836"/>
    </row>
    <row r="42" spans="1:7" ht="19.5" customHeight="1">
      <c r="A42" s="3491"/>
      <c r="B42" s="3484"/>
      <c r="C42" s="2837" t="s">
        <v>2478</v>
      </c>
      <c r="D42" s="2838"/>
      <c r="E42" s="2839">
        <v>1</v>
      </c>
      <c r="F42" s="2836" t="s">
        <v>2479</v>
      </c>
      <c r="G42" s="2836"/>
    </row>
    <row r="43" spans="1:7" ht="19.5" customHeight="1">
      <c r="A43" s="3491"/>
      <c r="B43" s="3483"/>
      <c r="C43" s="2837" t="s">
        <v>2480</v>
      </c>
      <c r="D43" s="2838"/>
      <c r="E43" s="2839">
        <v>1.5</v>
      </c>
      <c r="F43" s="2836" t="s">
        <v>2481</v>
      </c>
      <c r="G43" s="2836"/>
    </row>
    <row r="44" spans="1:7" ht="19.5" customHeight="1">
      <c r="A44" s="3491"/>
      <c r="B44" s="2848" t="s">
        <v>2632</v>
      </c>
      <c r="C44" s="2837" t="s">
        <v>2633</v>
      </c>
      <c r="D44" s="2838"/>
      <c r="E44" s="2839">
        <v>2</v>
      </c>
      <c r="F44" s="2836" t="s">
        <v>2482</v>
      </c>
      <c r="G44" s="2836"/>
    </row>
    <row r="45" spans="1:7" ht="19.5" customHeight="1">
      <c r="A45" s="3491"/>
      <c r="B45" s="3482" t="s">
        <v>2634</v>
      </c>
      <c r="C45" s="2837" t="s">
        <v>2483</v>
      </c>
      <c r="D45" s="2838"/>
      <c r="E45" s="2839">
        <v>1</v>
      </c>
      <c r="F45" s="2836" t="s">
        <v>2484</v>
      </c>
      <c r="G45" s="2836"/>
    </row>
    <row r="46" spans="1:7" ht="19.5" customHeight="1">
      <c r="A46" s="3491"/>
      <c r="B46" s="3484"/>
      <c r="C46" s="2837" t="s">
        <v>2485</v>
      </c>
      <c r="D46" s="2838"/>
      <c r="E46" s="2839">
        <v>1</v>
      </c>
      <c r="F46" s="2836" t="s">
        <v>2486</v>
      </c>
      <c r="G46" s="2836"/>
    </row>
    <row r="47" spans="1:7" ht="19.5" customHeight="1">
      <c r="A47" s="3491"/>
      <c r="B47" s="3484"/>
      <c r="C47" s="2837" t="s">
        <v>2487</v>
      </c>
      <c r="D47" s="2838"/>
      <c r="E47" s="2839">
        <v>1</v>
      </c>
      <c r="F47" s="2836" t="s">
        <v>2488</v>
      </c>
      <c r="G47" s="2836"/>
    </row>
    <row r="48" spans="1:7" ht="19.5" customHeight="1">
      <c r="A48" s="3491"/>
      <c r="B48" s="3484"/>
      <c r="C48" s="2837" t="s">
        <v>2489</v>
      </c>
      <c r="D48" s="2838"/>
      <c r="E48" s="2839">
        <v>1</v>
      </c>
      <c r="F48" s="2836" t="s">
        <v>2490</v>
      </c>
      <c r="G48" s="2836"/>
    </row>
    <row r="49" spans="1:7" ht="19.5" customHeight="1">
      <c r="A49" s="3491"/>
      <c r="B49" s="3484"/>
      <c r="C49" s="2837" t="s">
        <v>2491</v>
      </c>
      <c r="D49" s="2838"/>
      <c r="E49" s="2839">
        <v>1</v>
      </c>
      <c r="F49" s="2836" t="s">
        <v>2492</v>
      </c>
      <c r="G49" s="2836"/>
    </row>
    <row r="50" spans="1:7" ht="19.5" customHeight="1">
      <c r="A50" s="3491"/>
      <c r="B50" s="3484"/>
      <c r="C50" s="2837" t="s">
        <v>2493</v>
      </c>
      <c r="D50" s="2838"/>
      <c r="E50" s="2839">
        <v>1</v>
      </c>
      <c r="F50" s="2836" t="s">
        <v>2494</v>
      </c>
      <c r="G50" s="2836"/>
    </row>
    <row r="51" spans="1:7" ht="19.5" customHeight="1" thickBot="1">
      <c r="A51" s="3492"/>
      <c r="B51" s="3486"/>
      <c r="C51" s="2840" t="s">
        <v>2495</v>
      </c>
      <c r="D51" s="2841"/>
      <c r="E51" s="2842">
        <v>1</v>
      </c>
      <c r="F51" s="2836" t="s">
        <v>2496</v>
      </c>
      <c r="G51" s="2836"/>
    </row>
    <row r="52" spans="1:7" ht="19.5" customHeight="1">
      <c r="A52" s="2849"/>
      <c r="B52" s="2849"/>
      <c r="C52" s="2849"/>
      <c r="D52" s="2849"/>
      <c r="E52" s="2849"/>
      <c r="F52" s="2849"/>
      <c r="G52" s="2849"/>
    </row>
    <row r="54" spans="1:7" ht="19.5" customHeight="1">
      <c r="A54" s="2850"/>
      <c r="B54" s="2822" t="s">
        <v>2635</v>
      </c>
      <c r="C54" s="2822" t="s">
        <v>2635</v>
      </c>
      <c r="D54" s="2822" t="s">
        <v>2635</v>
      </c>
      <c r="E54" s="2825" t="s">
        <v>2635</v>
      </c>
      <c r="F54" s="2825" t="s">
        <v>2636</v>
      </c>
      <c r="G54" s="2825" t="s">
        <v>2637</v>
      </c>
    </row>
    <row r="55" spans="1:7" ht="19.5" customHeight="1">
      <c r="A55" s="2851"/>
      <c r="B55" s="2825" t="s">
        <v>2604</v>
      </c>
      <c r="C55" s="2825" t="s">
        <v>2604</v>
      </c>
      <c r="D55" s="2825" t="s">
        <v>2604</v>
      </c>
      <c r="E55" s="2822" t="s">
        <v>2605</v>
      </c>
      <c r="F55" s="2822" t="s">
        <v>2607</v>
      </c>
      <c r="G55" s="2822" t="s">
        <v>2638</v>
      </c>
    </row>
    <row r="56" spans="1:7" ht="19.5" customHeight="1">
      <c r="A56" s="2852"/>
      <c r="B56" s="2822">
        <v>1</v>
      </c>
      <c r="C56" s="2822">
        <v>2</v>
      </c>
      <c r="D56" s="2822">
        <v>3</v>
      </c>
      <c r="E56" s="2853" t="s">
        <v>2639</v>
      </c>
      <c r="F56" s="2853" t="s">
        <v>2639</v>
      </c>
      <c r="G56" s="2853" t="s">
        <v>2639</v>
      </c>
    </row>
    <row r="57" spans="1:7" ht="19.5" customHeight="1">
      <c r="A57" s="2854" t="s">
        <v>2592</v>
      </c>
      <c r="B57" s="2822">
        <v>0.7</v>
      </c>
      <c r="C57" s="2822">
        <v>0.4</v>
      </c>
      <c r="D57" s="2822">
        <v>0.3</v>
      </c>
      <c r="E57" s="2853">
        <v>0.3</v>
      </c>
      <c r="F57" s="2822">
        <v>0.3</v>
      </c>
      <c r="G57" s="2822">
        <v>0.2</v>
      </c>
    </row>
    <row r="58" spans="1:7" ht="19.5" customHeight="1">
      <c r="A58" s="2854" t="s">
        <v>2593</v>
      </c>
      <c r="B58" s="2822">
        <v>0.7</v>
      </c>
      <c r="C58" s="2822">
        <v>0.4</v>
      </c>
      <c r="D58" s="2822">
        <v>0.3</v>
      </c>
      <c r="E58" s="2822">
        <v>0.3</v>
      </c>
      <c r="F58" s="2822">
        <v>0.3</v>
      </c>
      <c r="G58" s="2822">
        <v>0.2</v>
      </c>
    </row>
    <row r="59" spans="1:7" ht="19.5" customHeight="1">
      <c r="A59" s="2854" t="s">
        <v>2594</v>
      </c>
      <c r="B59" s="2822">
        <v>0.6</v>
      </c>
      <c r="C59" s="2822">
        <v>0.3</v>
      </c>
      <c r="D59" s="2822">
        <v>0.25</v>
      </c>
      <c r="E59" s="2822">
        <v>0.25</v>
      </c>
      <c r="F59" s="2822">
        <v>0.25</v>
      </c>
      <c r="G59" s="2822">
        <v>0.15</v>
      </c>
    </row>
    <row r="60" spans="1:7" ht="19.5" customHeight="1">
      <c r="A60" s="2854" t="s">
        <v>2595</v>
      </c>
      <c r="B60" s="2822">
        <v>0.6</v>
      </c>
      <c r="C60" s="2822">
        <v>0.3</v>
      </c>
      <c r="D60" s="2822">
        <v>0.25</v>
      </c>
      <c r="E60" s="2822">
        <v>0.25</v>
      </c>
      <c r="F60" s="2822">
        <v>0.25</v>
      </c>
      <c r="G60" s="2822">
        <v>0.15</v>
      </c>
    </row>
    <row r="61" spans="1:7" ht="19.5" customHeight="1">
      <c r="A61" s="2854" t="s">
        <v>2596</v>
      </c>
      <c r="B61" s="2822">
        <v>0.6</v>
      </c>
      <c r="C61" s="2822">
        <v>0.3</v>
      </c>
      <c r="D61" s="2822">
        <v>0.25</v>
      </c>
      <c r="E61" s="2822">
        <v>0.25</v>
      </c>
      <c r="F61" s="2822">
        <v>0.25</v>
      </c>
      <c r="G61" s="2822">
        <v>0.15</v>
      </c>
    </row>
    <row r="62" spans="1:7" ht="19.5" customHeight="1">
      <c r="A62" s="2854" t="s">
        <v>2597</v>
      </c>
      <c r="B62" s="2822">
        <v>0.6</v>
      </c>
      <c r="C62" s="2822">
        <v>0.3</v>
      </c>
      <c r="D62" s="2822">
        <v>0.25</v>
      </c>
      <c r="E62" s="2822">
        <v>0.25</v>
      </c>
      <c r="F62" s="2822">
        <v>0.25</v>
      </c>
      <c r="G62" s="2822">
        <v>0.15</v>
      </c>
    </row>
    <row r="63" spans="1:7" ht="19.5" customHeight="1">
      <c r="A63" s="2854" t="s">
        <v>2598</v>
      </c>
      <c r="B63" s="2822">
        <v>0.6</v>
      </c>
      <c r="C63" s="2822">
        <v>0.3</v>
      </c>
      <c r="D63" s="2822">
        <v>0.25</v>
      </c>
      <c r="E63" s="2822">
        <v>0.25</v>
      </c>
      <c r="F63" s="2822">
        <v>0.25</v>
      </c>
      <c r="G63" s="2822">
        <v>0.15</v>
      </c>
    </row>
    <row r="64" spans="1:7" ht="19.5" customHeight="1">
      <c r="A64" s="2854" t="s">
        <v>2599</v>
      </c>
      <c r="B64" s="2822">
        <v>0.5</v>
      </c>
      <c r="C64" s="2822">
        <v>0.2</v>
      </c>
      <c r="D64" s="2822">
        <v>0.2</v>
      </c>
      <c r="E64" s="2822">
        <v>0.2</v>
      </c>
      <c r="F64" s="2822">
        <v>0.2</v>
      </c>
      <c r="G64" s="2822">
        <v>0.1</v>
      </c>
    </row>
    <row r="65" spans="1:7" ht="19.5" customHeight="1">
      <c r="A65" s="2854" t="s">
        <v>2600</v>
      </c>
      <c r="B65" s="2822">
        <v>0.5</v>
      </c>
      <c r="C65" s="2822">
        <v>0.2</v>
      </c>
      <c r="D65" s="2822">
        <v>0.2</v>
      </c>
      <c r="E65" s="2822">
        <v>0.2</v>
      </c>
      <c r="F65" s="2822">
        <v>0.2</v>
      </c>
      <c r="G65" s="2822">
        <v>0.1</v>
      </c>
    </row>
    <row r="66" spans="1:7" ht="19.5" customHeight="1">
      <c r="A66" s="2854" t="s">
        <v>2601</v>
      </c>
      <c r="B66" s="2822">
        <v>0.5</v>
      </c>
      <c r="C66" s="2822">
        <v>0.2</v>
      </c>
      <c r="D66" s="2822">
        <v>0.2</v>
      </c>
      <c r="E66" s="2822">
        <v>0.2</v>
      </c>
      <c r="F66" s="2822">
        <v>0.2</v>
      </c>
      <c r="G66" s="2822">
        <v>0.1</v>
      </c>
    </row>
    <row r="67" spans="1:7" ht="19.5" customHeight="1">
      <c r="A67" s="2854" t="s">
        <v>2602</v>
      </c>
      <c r="B67" s="2822">
        <v>0.5</v>
      </c>
      <c r="C67" s="2822">
        <v>0.2</v>
      </c>
      <c r="D67" s="2822">
        <v>0.2</v>
      </c>
      <c r="E67" s="2822">
        <v>0.2</v>
      </c>
      <c r="F67" s="2822">
        <v>0.2</v>
      </c>
      <c r="G67" s="2822">
        <v>0.1</v>
      </c>
    </row>
    <row r="68" spans="1:7" ht="19.5" customHeight="1">
      <c r="A68" s="2854" t="s">
        <v>2603</v>
      </c>
      <c r="B68" s="2822">
        <v>0.5</v>
      </c>
      <c r="C68" s="2822">
        <v>0.2</v>
      </c>
      <c r="D68" s="2822">
        <v>0.2</v>
      </c>
      <c r="E68" s="2822">
        <v>0.2</v>
      </c>
      <c r="F68" s="2822">
        <v>0.2</v>
      </c>
      <c r="G68" s="2822">
        <v>0.1</v>
      </c>
    </row>
    <row r="70" spans="1:7" ht="19.5" customHeight="1">
      <c r="A70" s="2836"/>
      <c r="B70" s="2855"/>
      <c r="C70" s="2855"/>
      <c r="D70" s="2855" t="s">
        <v>2640</v>
      </c>
      <c r="E70" s="2855"/>
      <c r="F70" s="2855"/>
    </row>
    <row r="71" spans="1:7" ht="19.5" customHeight="1">
      <c r="A71" s="2848" t="s">
        <v>2641</v>
      </c>
      <c r="B71" s="2848" t="s">
        <v>2642</v>
      </c>
      <c r="C71" s="2848" t="s">
        <v>2643</v>
      </c>
      <c r="D71" s="2848" t="s">
        <v>2644</v>
      </c>
      <c r="E71" s="2848" t="s">
        <v>2645</v>
      </c>
      <c r="F71" s="2848" t="s">
        <v>2646</v>
      </c>
    </row>
    <row r="72" spans="1:7" ht="13.5">
      <c r="A72" s="2848"/>
      <c r="B72" s="2848"/>
      <c r="C72" s="2848" t="s">
        <v>2647</v>
      </c>
      <c r="D72" s="2848"/>
      <c r="E72" s="2848" t="s">
        <v>2618</v>
      </c>
      <c r="F72" s="2848" t="s">
        <v>2618</v>
      </c>
    </row>
    <row r="73" spans="1:7" ht="13.5">
      <c r="A73" s="2848">
        <v>1</v>
      </c>
      <c r="B73" s="3482" t="s">
        <v>2648</v>
      </c>
      <c r="C73" s="2822" t="s">
        <v>2649</v>
      </c>
      <c r="D73" s="2822" t="s">
        <v>2650</v>
      </c>
      <c r="E73" s="2848">
        <v>0.2</v>
      </c>
      <c r="F73" s="2848">
        <v>25</v>
      </c>
    </row>
    <row r="74" spans="1:7" ht="24">
      <c r="A74" s="2848">
        <v>2</v>
      </c>
      <c r="B74" s="3484"/>
      <c r="C74" s="2822" t="s">
        <v>2651</v>
      </c>
      <c r="D74" s="2822" t="s">
        <v>2652</v>
      </c>
      <c r="E74" s="2848">
        <v>0.2</v>
      </c>
      <c r="F74" s="2848">
        <v>25</v>
      </c>
    </row>
    <row r="75" spans="1:7" ht="24">
      <c r="A75" s="2848">
        <v>3</v>
      </c>
      <c r="B75" s="3484"/>
      <c r="C75" s="2822" t="s">
        <v>2653</v>
      </c>
      <c r="D75" s="2822" t="s">
        <v>2654</v>
      </c>
      <c r="E75" s="2848">
        <v>0.2</v>
      </c>
      <c r="F75" s="2848">
        <v>25</v>
      </c>
    </row>
    <row r="76" spans="1:7" ht="13.5">
      <c r="A76" s="2848">
        <v>4</v>
      </c>
      <c r="B76" s="3484"/>
      <c r="C76" s="2822" t="s">
        <v>2655</v>
      </c>
      <c r="D76" s="2822" t="s">
        <v>2656</v>
      </c>
      <c r="E76" s="2848">
        <v>0.15</v>
      </c>
      <c r="F76" s="2848">
        <v>20</v>
      </c>
    </row>
    <row r="77" spans="1:7" ht="24">
      <c r="A77" s="2848">
        <v>5</v>
      </c>
      <c r="B77" s="3484"/>
      <c r="C77" s="2822" t="s">
        <v>2657</v>
      </c>
      <c r="D77" s="2822" t="s">
        <v>2658</v>
      </c>
      <c r="E77" s="2848">
        <v>0.15</v>
      </c>
      <c r="F77" s="2848">
        <v>20</v>
      </c>
    </row>
    <row r="78" spans="1:7" ht="24">
      <c r="A78" s="2848">
        <v>6</v>
      </c>
      <c r="B78" s="3484"/>
      <c r="C78" s="2822" t="s">
        <v>2659</v>
      </c>
      <c r="D78" s="2822" t="s">
        <v>2660</v>
      </c>
      <c r="E78" s="2848">
        <v>0.15</v>
      </c>
      <c r="F78" s="2848">
        <v>20</v>
      </c>
    </row>
    <row r="79" spans="1:7" ht="24">
      <c r="A79" s="2848">
        <v>7</v>
      </c>
      <c r="B79" s="3484"/>
      <c r="C79" s="2822" t="s">
        <v>2661</v>
      </c>
      <c r="D79" s="2822" t="s">
        <v>2662</v>
      </c>
      <c r="E79" s="2848">
        <v>0.15</v>
      </c>
      <c r="F79" s="2848">
        <v>20</v>
      </c>
    </row>
    <row r="80" spans="1:7" ht="24">
      <c r="A80" s="2848">
        <v>8</v>
      </c>
      <c r="B80" s="3484"/>
      <c r="C80" s="2822" t="s">
        <v>2663</v>
      </c>
      <c r="D80" s="2822" t="s">
        <v>2664</v>
      </c>
      <c r="E80" s="2848">
        <v>0.1</v>
      </c>
      <c r="F80" s="2848">
        <v>15</v>
      </c>
    </row>
    <row r="81" spans="1:6" ht="24">
      <c r="A81" s="2848">
        <v>9</v>
      </c>
      <c r="B81" s="3484"/>
      <c r="C81" s="2822" t="s">
        <v>2665</v>
      </c>
      <c r="D81" s="2822" t="s">
        <v>2666</v>
      </c>
      <c r="E81" s="2848">
        <v>0.1</v>
      </c>
      <c r="F81" s="2848">
        <v>15</v>
      </c>
    </row>
    <row r="82" spans="1:6" ht="24">
      <c r="A82" s="2848">
        <v>10</v>
      </c>
      <c r="B82" s="3484"/>
      <c r="C82" s="2822" t="s">
        <v>2667</v>
      </c>
      <c r="D82" s="2822" t="s">
        <v>2668</v>
      </c>
      <c r="E82" s="2848">
        <v>0.1</v>
      </c>
      <c r="F82" s="2848">
        <v>15</v>
      </c>
    </row>
    <row r="83" spans="1:6" ht="24">
      <c r="A83" s="2848">
        <v>11</v>
      </c>
      <c r="B83" s="3484"/>
      <c r="C83" s="2822" t="s">
        <v>2669</v>
      </c>
      <c r="D83" s="2822" t="s">
        <v>2670</v>
      </c>
      <c r="E83" s="2848">
        <v>0.1</v>
      </c>
      <c r="F83" s="2848">
        <v>15</v>
      </c>
    </row>
    <row r="84" spans="1:6" ht="24">
      <c r="A84" s="2848">
        <v>12</v>
      </c>
      <c r="B84" s="3484"/>
      <c r="C84" s="2822" t="s">
        <v>2671</v>
      </c>
      <c r="D84" s="2822" t="s">
        <v>2672</v>
      </c>
      <c r="E84" s="2848">
        <v>0.1</v>
      </c>
      <c r="F84" s="2848">
        <v>15</v>
      </c>
    </row>
    <row r="85" spans="1:6" ht="13.5">
      <c r="A85" s="2848">
        <v>13</v>
      </c>
      <c r="B85" s="3484"/>
      <c r="C85" s="2822" t="s">
        <v>2673</v>
      </c>
      <c r="D85" s="2822" t="s">
        <v>2674</v>
      </c>
      <c r="E85" s="2848">
        <v>0.1</v>
      </c>
      <c r="F85" s="2848">
        <v>15</v>
      </c>
    </row>
    <row r="86" spans="1:6" ht="13.5">
      <c r="A86" s="2848">
        <v>14</v>
      </c>
      <c r="B86" s="3484"/>
      <c r="C86" s="2822" t="s">
        <v>2675</v>
      </c>
      <c r="D86" s="2822" t="s">
        <v>2676</v>
      </c>
      <c r="E86" s="2848">
        <v>0.1</v>
      </c>
      <c r="F86" s="2848">
        <v>15</v>
      </c>
    </row>
    <row r="87" spans="1:6" ht="13.5">
      <c r="A87" s="2848">
        <v>15</v>
      </c>
      <c r="B87" s="3484"/>
      <c r="C87" s="2822" t="s">
        <v>2677</v>
      </c>
      <c r="D87" s="2822" t="s">
        <v>2678</v>
      </c>
      <c r="E87" s="2848">
        <v>0.1</v>
      </c>
      <c r="F87" s="2848">
        <v>15</v>
      </c>
    </row>
    <row r="88" spans="1:6" ht="24">
      <c r="A88" s="2848">
        <v>16</v>
      </c>
      <c r="B88" s="3484"/>
      <c r="C88" s="2822" t="s">
        <v>2679</v>
      </c>
      <c r="D88" s="2822" t="s">
        <v>2680</v>
      </c>
      <c r="E88" s="2848">
        <v>0.1</v>
      </c>
      <c r="F88" s="2848">
        <v>15</v>
      </c>
    </row>
    <row r="89" spans="1:6" ht="24">
      <c r="A89" s="2848">
        <v>17</v>
      </c>
      <c r="B89" s="3483"/>
      <c r="C89" s="2822" t="s">
        <v>2681</v>
      </c>
      <c r="D89" s="2822" t="s">
        <v>2682</v>
      </c>
      <c r="E89" s="2848">
        <v>0.1</v>
      </c>
      <c r="F89" s="2848">
        <v>15</v>
      </c>
    </row>
    <row r="90" spans="1:6" ht="13.5">
      <c r="A90" s="2848">
        <v>18</v>
      </c>
      <c r="B90" s="3482" t="s">
        <v>2683</v>
      </c>
      <c r="C90" s="2822" t="s">
        <v>2684</v>
      </c>
      <c r="D90" s="2822" t="s">
        <v>2685</v>
      </c>
      <c r="E90" s="2848">
        <v>0.2</v>
      </c>
      <c r="F90" s="2848">
        <v>25</v>
      </c>
    </row>
    <row r="91" spans="1:6" ht="24">
      <c r="A91" s="2848">
        <v>19</v>
      </c>
      <c r="B91" s="3484"/>
      <c r="C91" s="2822" t="s">
        <v>2686</v>
      </c>
      <c r="D91" s="2822" t="s">
        <v>2687</v>
      </c>
      <c r="E91" s="2848">
        <v>0.2</v>
      </c>
      <c r="F91" s="2848">
        <v>25</v>
      </c>
    </row>
    <row r="92" spans="1:6" ht="13.5">
      <c r="A92" s="2848">
        <v>20</v>
      </c>
      <c r="B92" s="3484"/>
      <c r="C92" s="2822" t="s">
        <v>2688</v>
      </c>
      <c r="D92" s="2822" t="s">
        <v>2689</v>
      </c>
      <c r="E92" s="2848">
        <v>0.15</v>
      </c>
      <c r="F92" s="2848">
        <v>20</v>
      </c>
    </row>
    <row r="93" spans="1:6" ht="13.5">
      <c r="A93" s="2848">
        <v>21</v>
      </c>
      <c r="B93" s="3484"/>
      <c r="C93" s="2822" t="s">
        <v>2690</v>
      </c>
      <c r="D93" s="2822" t="s">
        <v>2691</v>
      </c>
      <c r="E93" s="2848">
        <v>0.15</v>
      </c>
      <c r="F93" s="2848">
        <v>20</v>
      </c>
    </row>
    <row r="94" spans="1:6" ht="13.5">
      <c r="A94" s="2848">
        <v>22</v>
      </c>
      <c r="B94" s="3484"/>
      <c r="C94" s="2822" t="s">
        <v>2692</v>
      </c>
      <c r="D94" s="2822" t="s">
        <v>2693</v>
      </c>
      <c r="E94" s="2848">
        <v>0.15</v>
      </c>
      <c r="F94" s="2848">
        <v>20</v>
      </c>
    </row>
    <row r="95" spans="1:6" ht="36">
      <c r="A95" s="2848">
        <v>23</v>
      </c>
      <c r="B95" s="3484"/>
      <c r="C95" s="2822" t="s">
        <v>2694</v>
      </c>
      <c r="D95" s="2822" t="s">
        <v>2695</v>
      </c>
      <c r="E95" s="2848">
        <v>0.15</v>
      </c>
      <c r="F95" s="2848">
        <v>20</v>
      </c>
    </row>
    <row r="96" spans="1:6" ht="13.5">
      <c r="A96" s="2848">
        <v>24</v>
      </c>
      <c r="B96" s="3484"/>
      <c r="C96" s="2822" t="s">
        <v>2696</v>
      </c>
      <c r="D96" s="2822" t="s">
        <v>2697</v>
      </c>
      <c r="E96" s="2848">
        <v>0.1</v>
      </c>
      <c r="F96" s="2848">
        <v>15</v>
      </c>
    </row>
    <row r="97" spans="1:6" ht="13.5">
      <c r="A97" s="2848">
        <v>25</v>
      </c>
      <c r="B97" s="3484"/>
      <c r="C97" s="2822" t="s">
        <v>2698</v>
      </c>
      <c r="D97" s="2822" t="s">
        <v>2699</v>
      </c>
      <c r="E97" s="2848">
        <v>0.1</v>
      </c>
      <c r="F97" s="2848">
        <v>15</v>
      </c>
    </row>
    <row r="98" spans="1:6" ht="24">
      <c r="A98" s="2848">
        <v>26</v>
      </c>
      <c r="B98" s="3484"/>
      <c r="C98" s="2822" t="s">
        <v>2700</v>
      </c>
      <c r="D98" s="2822" t="s">
        <v>2701</v>
      </c>
      <c r="E98" s="2848">
        <v>0.1</v>
      </c>
      <c r="F98" s="2848">
        <v>15</v>
      </c>
    </row>
    <row r="99" spans="1:6" ht="24">
      <c r="A99" s="2848">
        <v>27</v>
      </c>
      <c r="B99" s="3484"/>
      <c r="C99" s="2822" t="s">
        <v>2702</v>
      </c>
      <c r="D99" s="2822" t="s">
        <v>2703</v>
      </c>
      <c r="E99" s="2848">
        <v>0.1</v>
      </c>
      <c r="F99" s="2848">
        <v>15</v>
      </c>
    </row>
    <row r="100" spans="1:6" ht="13.5">
      <c r="A100" s="2848">
        <v>28</v>
      </c>
      <c r="B100" s="3484"/>
      <c r="C100" s="2822" t="s">
        <v>2704</v>
      </c>
      <c r="D100" s="2822" t="s">
        <v>2705</v>
      </c>
      <c r="E100" s="2848">
        <v>0.1</v>
      </c>
      <c r="F100" s="2848">
        <v>15</v>
      </c>
    </row>
    <row r="101" spans="1:6" ht="13.5">
      <c r="A101" s="2848">
        <v>29</v>
      </c>
      <c r="B101" s="3484"/>
      <c r="C101" s="2822" t="s">
        <v>2706</v>
      </c>
      <c r="D101" s="2822" t="s">
        <v>2707</v>
      </c>
      <c r="E101" s="2848">
        <v>0.1</v>
      </c>
      <c r="F101" s="2848">
        <v>15</v>
      </c>
    </row>
    <row r="102" spans="1:6" ht="13.5">
      <c r="A102" s="2848">
        <v>30</v>
      </c>
      <c r="B102" s="3484"/>
      <c r="C102" s="2822" t="s">
        <v>2708</v>
      </c>
      <c r="D102" s="2822" t="s">
        <v>2709</v>
      </c>
      <c r="E102" s="2848">
        <v>0.1</v>
      </c>
      <c r="F102" s="2848">
        <v>15</v>
      </c>
    </row>
    <row r="103" spans="1:6" ht="24">
      <c r="A103" s="2848">
        <v>31</v>
      </c>
      <c r="B103" s="3484"/>
      <c r="C103" s="2822" t="s">
        <v>2710</v>
      </c>
      <c r="D103" s="2822" t="s">
        <v>2711</v>
      </c>
      <c r="E103" s="2848">
        <v>0.1</v>
      </c>
      <c r="F103" s="2848">
        <v>15</v>
      </c>
    </row>
    <row r="104" spans="1:6" ht="24">
      <c r="A104" s="2848">
        <v>32</v>
      </c>
      <c r="B104" s="3484"/>
      <c r="C104" s="2822" t="s">
        <v>2712</v>
      </c>
      <c r="D104" s="2822" t="s">
        <v>2713</v>
      </c>
      <c r="E104" s="2848">
        <v>0.1</v>
      </c>
      <c r="F104" s="2848">
        <v>15</v>
      </c>
    </row>
    <row r="105" spans="1:6" ht="24">
      <c r="A105" s="2848">
        <v>33</v>
      </c>
      <c r="B105" s="3484"/>
      <c r="C105" s="2822" t="s">
        <v>2714</v>
      </c>
      <c r="D105" s="2822" t="s">
        <v>2715</v>
      </c>
      <c r="E105" s="2848">
        <v>0.1</v>
      </c>
      <c r="F105" s="2848">
        <v>15</v>
      </c>
    </row>
    <row r="106" spans="1:6" ht="24">
      <c r="A106" s="2848">
        <v>34</v>
      </c>
      <c r="B106" s="3483"/>
      <c r="C106" s="2822" t="s">
        <v>2716</v>
      </c>
      <c r="D106" s="2822" t="s">
        <v>2717</v>
      </c>
      <c r="E106" s="2848">
        <v>0.1</v>
      </c>
      <c r="F106" s="2848">
        <v>15</v>
      </c>
    </row>
    <row r="107" spans="1:6" ht="24">
      <c r="A107" s="2848">
        <v>35</v>
      </c>
      <c r="B107" s="3482" t="s">
        <v>2718</v>
      </c>
      <c r="C107" s="2848" t="s">
        <v>2719</v>
      </c>
      <c r="D107" s="2822" t="s">
        <v>2720</v>
      </c>
      <c r="E107" s="2848">
        <v>0.15</v>
      </c>
      <c r="F107" s="2848">
        <v>20</v>
      </c>
    </row>
    <row r="108" spans="1:6" ht="13.5">
      <c r="A108" s="2848">
        <v>36</v>
      </c>
      <c r="B108" s="3484"/>
      <c r="C108" s="2848" t="s">
        <v>2721</v>
      </c>
      <c r="D108" s="2822" t="s">
        <v>2722</v>
      </c>
      <c r="E108" s="2848">
        <v>0.15</v>
      </c>
      <c r="F108" s="2848">
        <v>20</v>
      </c>
    </row>
    <row r="109" spans="1:6" ht="13.5">
      <c r="A109" s="2848">
        <v>37</v>
      </c>
      <c r="B109" s="3484"/>
      <c r="C109" s="2848" t="s">
        <v>2723</v>
      </c>
      <c r="D109" s="2822" t="s">
        <v>2724</v>
      </c>
      <c r="E109" s="2848">
        <v>0.15</v>
      </c>
      <c r="F109" s="2848">
        <v>20</v>
      </c>
    </row>
    <row r="110" spans="1:6" ht="13.5">
      <c r="A110" s="2848">
        <v>38</v>
      </c>
      <c r="B110" s="3484"/>
      <c r="C110" s="2848" t="s">
        <v>2725</v>
      </c>
      <c r="D110" s="2822" t="s">
        <v>2726</v>
      </c>
      <c r="E110" s="2848">
        <v>0.1</v>
      </c>
      <c r="F110" s="2848">
        <v>15</v>
      </c>
    </row>
    <row r="111" spans="1:6" ht="24">
      <c r="A111" s="2848">
        <v>39</v>
      </c>
      <c r="B111" s="3484"/>
      <c r="C111" s="2848" t="s">
        <v>2727</v>
      </c>
      <c r="D111" s="2822" t="s">
        <v>2728</v>
      </c>
      <c r="E111" s="2848">
        <v>0.1</v>
      </c>
      <c r="F111" s="2848">
        <v>15</v>
      </c>
    </row>
    <row r="112" spans="1:6" ht="24">
      <c r="A112" s="2848">
        <v>40</v>
      </c>
      <c r="B112" s="3483"/>
      <c r="C112" s="2848" t="s">
        <v>2729</v>
      </c>
      <c r="D112" s="2822" t="s">
        <v>2730</v>
      </c>
      <c r="E112" s="2848">
        <v>0.1</v>
      </c>
      <c r="F112" s="2848">
        <v>15</v>
      </c>
    </row>
    <row r="113" spans="1:6" ht="13.5">
      <c r="A113" s="2848">
        <v>41</v>
      </c>
      <c r="B113" s="3481" t="s">
        <v>2731</v>
      </c>
      <c r="C113" s="2848" t="s">
        <v>2732</v>
      </c>
      <c r="D113" s="2822" t="s">
        <v>2733</v>
      </c>
      <c r="E113" s="2848">
        <v>0.1</v>
      </c>
      <c r="F113" s="2848">
        <v>15</v>
      </c>
    </row>
    <row r="114" spans="1:6" ht="13.5">
      <c r="A114" s="2848">
        <v>42</v>
      </c>
      <c r="B114" s="3481"/>
      <c r="C114" s="2848" t="s">
        <v>2734</v>
      </c>
      <c r="D114" s="2822" t="s">
        <v>2735</v>
      </c>
      <c r="E114" s="2848">
        <v>0.1</v>
      </c>
      <c r="F114" s="2848">
        <v>15</v>
      </c>
    </row>
    <row r="115" spans="1:6" ht="24">
      <c r="A115" s="2848">
        <v>43</v>
      </c>
      <c r="B115" s="3481"/>
      <c r="C115" s="2848" t="s">
        <v>2736</v>
      </c>
      <c r="D115" s="2822" t="s">
        <v>2737</v>
      </c>
      <c r="E115" s="2848">
        <v>0.1</v>
      </c>
      <c r="F115" s="2848">
        <v>15</v>
      </c>
    </row>
    <row r="116" spans="1:6" ht="13.5">
      <c r="A116" s="2848">
        <v>44</v>
      </c>
      <c r="B116" s="3482" t="s">
        <v>2738</v>
      </c>
      <c r="C116" s="2848" t="s">
        <v>2739</v>
      </c>
      <c r="D116" s="2822" t="s">
        <v>2740</v>
      </c>
      <c r="E116" s="2848">
        <v>0.1</v>
      </c>
      <c r="F116" s="2848">
        <v>15</v>
      </c>
    </row>
    <row r="117" spans="1:6" ht="24">
      <c r="A117" s="2848">
        <v>45</v>
      </c>
      <c r="B117" s="3483"/>
      <c r="C117" s="2822" t="s">
        <v>2741</v>
      </c>
      <c r="D117" s="2822" t="s">
        <v>2742</v>
      </c>
      <c r="E117" s="2848">
        <v>0.1</v>
      </c>
      <c r="F117" s="2848">
        <v>15</v>
      </c>
    </row>
    <row r="118" spans="1:6" ht="24">
      <c r="A118" s="2848">
        <v>46</v>
      </c>
      <c r="B118" s="3482" t="s">
        <v>2743</v>
      </c>
      <c r="C118" s="2848" t="s">
        <v>2744</v>
      </c>
      <c r="D118" s="2822" t="s">
        <v>2745</v>
      </c>
      <c r="E118" s="2848">
        <v>0.1</v>
      </c>
      <c r="F118" s="2848">
        <v>15</v>
      </c>
    </row>
    <row r="119" spans="1:6" ht="24">
      <c r="A119" s="2848">
        <v>47</v>
      </c>
      <c r="B119" s="3483"/>
      <c r="C119" s="2848" t="s">
        <v>2746</v>
      </c>
      <c r="D119" s="2822" t="s">
        <v>2747</v>
      </c>
      <c r="E119" s="2848">
        <v>0.1</v>
      </c>
      <c r="F119" s="2848">
        <v>15</v>
      </c>
    </row>
    <row r="120" spans="1:6" ht="13.5">
      <c r="A120" s="2848">
        <v>48</v>
      </c>
      <c r="B120" s="3482" t="s">
        <v>2748</v>
      </c>
      <c r="C120" s="2848" t="s">
        <v>2749</v>
      </c>
      <c r="D120" s="2822" t="s">
        <v>2750</v>
      </c>
      <c r="E120" s="2848">
        <v>0.1</v>
      </c>
      <c r="F120" s="2848">
        <v>15</v>
      </c>
    </row>
    <row r="121" spans="1:6" ht="13.5">
      <c r="A121" s="2848">
        <v>49</v>
      </c>
      <c r="B121" s="3483"/>
      <c r="C121" s="2848" t="s">
        <v>2751</v>
      </c>
      <c r="D121" s="2822" t="s">
        <v>2752</v>
      </c>
      <c r="E121" s="2848">
        <v>0.1</v>
      </c>
      <c r="F121" s="2848">
        <v>15</v>
      </c>
    </row>
    <row r="122" spans="1:6" ht="24">
      <c r="A122" s="2848">
        <v>50</v>
      </c>
      <c r="B122" s="3481" t="s">
        <v>2753</v>
      </c>
      <c r="C122" s="2848" t="s">
        <v>2754</v>
      </c>
      <c r="D122" s="2822" t="s">
        <v>2755</v>
      </c>
      <c r="E122" s="2848">
        <v>0.1</v>
      </c>
      <c r="F122" s="2848">
        <v>15</v>
      </c>
    </row>
    <row r="123" spans="1:6" ht="24">
      <c r="A123" s="2848">
        <v>51</v>
      </c>
      <c r="B123" s="3481"/>
      <c r="C123" s="2848" t="s">
        <v>2756</v>
      </c>
      <c r="D123" s="2822" t="s">
        <v>2757</v>
      </c>
      <c r="E123" s="2848">
        <v>0.1</v>
      </c>
      <c r="F123" s="2848">
        <v>15</v>
      </c>
    </row>
    <row r="124" spans="1:6" ht="24">
      <c r="A124" s="2848">
        <v>52</v>
      </c>
      <c r="B124" s="3481" t="s">
        <v>2758</v>
      </c>
      <c r="C124" s="2848" t="s">
        <v>2759</v>
      </c>
      <c r="D124" s="2822" t="s">
        <v>2760</v>
      </c>
      <c r="E124" s="2848">
        <v>0.1</v>
      </c>
      <c r="F124" s="2848">
        <v>15</v>
      </c>
    </row>
    <row r="125" spans="1:6" ht="24">
      <c r="A125" s="2848">
        <v>53</v>
      </c>
      <c r="B125" s="3481"/>
      <c r="C125" s="2848" t="s">
        <v>2761</v>
      </c>
      <c r="D125" s="2822" t="s">
        <v>2762</v>
      </c>
      <c r="E125" s="2848">
        <v>0.1</v>
      </c>
      <c r="F125" s="2848">
        <v>15</v>
      </c>
    </row>
    <row r="126" spans="1:6" ht="13.5">
      <c r="A126" s="2848">
        <v>54</v>
      </c>
      <c r="B126" s="2848" t="s">
        <v>2763</v>
      </c>
      <c r="C126" s="2848" t="s">
        <v>2764</v>
      </c>
      <c r="D126" s="2822" t="s">
        <v>2765</v>
      </c>
      <c r="E126" s="2848">
        <v>0.1</v>
      </c>
      <c r="F126" s="2848">
        <v>15</v>
      </c>
    </row>
    <row r="127" spans="1:6" ht="13.5">
      <c r="A127" s="2848">
        <v>55</v>
      </c>
      <c r="B127" s="3481" t="s">
        <v>2766</v>
      </c>
      <c r="C127" s="2848" t="s">
        <v>2767</v>
      </c>
      <c r="D127" s="2822" t="s">
        <v>2768</v>
      </c>
      <c r="E127" s="2848">
        <v>0.1</v>
      </c>
      <c r="F127" s="2848">
        <v>15</v>
      </c>
    </row>
    <row r="128" spans="1:6" ht="13.5">
      <c r="A128" s="2848">
        <v>56</v>
      </c>
      <c r="B128" s="3481"/>
      <c r="C128" s="2848" t="s">
        <v>2769</v>
      </c>
      <c r="D128" s="2822" t="s">
        <v>2770</v>
      </c>
      <c r="E128" s="2848">
        <v>0.1</v>
      </c>
      <c r="F128" s="2848">
        <v>15</v>
      </c>
    </row>
    <row r="129" spans="1:6" ht="24">
      <c r="A129" s="2848">
        <v>57</v>
      </c>
      <c r="B129" s="3481"/>
      <c r="C129" s="2848" t="s">
        <v>2771</v>
      </c>
      <c r="D129" s="2822" t="s">
        <v>2772</v>
      </c>
      <c r="E129" s="2848">
        <v>0.1</v>
      </c>
      <c r="F129" s="2848">
        <v>15</v>
      </c>
    </row>
    <row r="130" spans="1:6" ht="24">
      <c r="A130" s="2848">
        <v>58</v>
      </c>
      <c r="B130" s="3481" t="s">
        <v>2773</v>
      </c>
      <c r="C130" s="2848" t="s">
        <v>2774</v>
      </c>
      <c r="D130" s="2822" t="s">
        <v>2775</v>
      </c>
      <c r="E130" s="2848">
        <v>0.1</v>
      </c>
      <c r="F130" s="2848">
        <v>15</v>
      </c>
    </row>
    <row r="131" spans="1:6" ht="13.5">
      <c r="A131" s="2848">
        <v>59</v>
      </c>
      <c r="B131" s="3481"/>
      <c r="C131" s="2848" t="s">
        <v>2776</v>
      </c>
      <c r="D131" s="2822" t="s">
        <v>2777</v>
      </c>
      <c r="E131" s="2848">
        <v>0.1</v>
      </c>
      <c r="F131" s="2848">
        <v>15</v>
      </c>
    </row>
    <row r="132" spans="1:6" ht="13.5">
      <c r="A132" s="2848">
        <v>60</v>
      </c>
      <c r="B132" s="3482" t="s">
        <v>2778</v>
      </c>
      <c r="C132" s="2848" t="s">
        <v>2779</v>
      </c>
      <c r="D132" s="2822" t="s">
        <v>2780</v>
      </c>
      <c r="E132" s="2848">
        <v>0.1</v>
      </c>
      <c r="F132" s="2848">
        <v>15</v>
      </c>
    </row>
    <row r="133" spans="1:6" ht="13.5">
      <c r="A133" s="2848">
        <v>61</v>
      </c>
      <c r="B133" s="3483"/>
      <c r="C133" s="2848" t="s">
        <v>2781</v>
      </c>
      <c r="D133" s="2822" t="s">
        <v>2782</v>
      </c>
      <c r="E133" s="2848">
        <v>0.1</v>
      </c>
      <c r="F133" s="2848">
        <v>15</v>
      </c>
    </row>
    <row r="134" spans="1:6" ht="24">
      <c r="A134" s="2848">
        <v>62</v>
      </c>
      <c r="B134" s="2848" t="s">
        <v>2783</v>
      </c>
      <c r="C134" s="2848" t="s">
        <v>2784</v>
      </c>
      <c r="D134" s="2822" t="s">
        <v>2785</v>
      </c>
      <c r="E134" s="2848">
        <v>0.1</v>
      </c>
      <c r="F134" s="2848">
        <v>15</v>
      </c>
    </row>
    <row r="135" spans="1:6" ht="13.5">
      <c r="A135" s="2848">
        <v>63</v>
      </c>
      <c r="B135" s="3481" t="s">
        <v>2786</v>
      </c>
      <c r="C135" s="2848" t="s">
        <v>2787</v>
      </c>
      <c r="D135" s="2822" t="s">
        <v>2788</v>
      </c>
      <c r="E135" s="2848">
        <v>0.1</v>
      </c>
      <c r="F135" s="2848">
        <v>15</v>
      </c>
    </row>
    <row r="136" spans="1:6" ht="13.5">
      <c r="A136" s="2848">
        <v>64</v>
      </c>
      <c r="B136" s="3481"/>
      <c r="C136" s="2848" t="s">
        <v>2789</v>
      </c>
      <c r="D136" s="2822" t="s">
        <v>2790</v>
      </c>
      <c r="E136" s="2848">
        <v>0.1</v>
      </c>
      <c r="F136" s="2848">
        <v>15</v>
      </c>
    </row>
    <row r="137" spans="1:6" ht="13.5">
      <c r="A137" s="2848">
        <v>65</v>
      </c>
      <c r="B137" s="2848" t="s">
        <v>2791</v>
      </c>
      <c r="C137" s="2848" t="s">
        <v>2792</v>
      </c>
      <c r="D137" s="2822" t="s">
        <v>2793</v>
      </c>
      <c r="E137" s="2848">
        <v>0.1</v>
      </c>
      <c r="F137" s="2848">
        <v>15</v>
      </c>
    </row>
    <row r="138" spans="1:6" ht="13.5">
      <c r="A138" s="2848"/>
      <c r="B138" s="2848"/>
      <c r="C138" s="2848"/>
      <c r="D138" s="2848"/>
      <c r="E138" s="2848" t="s">
        <v>2794</v>
      </c>
      <c r="F138" s="2848"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2795</v>
      </c>
      <c r="B1" s="2856"/>
      <c r="C1" s="2856"/>
      <c r="D1" s="2856"/>
      <c r="E1" s="2856"/>
      <c r="F1" s="2856"/>
      <c r="G1" s="2856"/>
      <c r="H1" s="2856"/>
      <c r="I1" s="2856"/>
      <c r="J1" s="2856"/>
      <c r="K1" s="2856"/>
      <c r="L1" s="2856"/>
      <c r="M1" s="2856"/>
      <c r="N1" s="701"/>
    </row>
    <row r="2" spans="1:20">
      <c r="A2" s="2857" t="s">
        <v>2796</v>
      </c>
      <c r="B2" s="2858" t="s">
        <v>2592</v>
      </c>
      <c r="C2" s="2858" t="s">
        <v>2593</v>
      </c>
      <c r="D2" s="2858" t="s">
        <v>2594</v>
      </c>
      <c r="E2" s="2858" t="s">
        <v>2595</v>
      </c>
      <c r="F2" s="2858" t="s">
        <v>2596</v>
      </c>
      <c r="G2" s="2858" t="s">
        <v>2597</v>
      </c>
      <c r="H2" s="2859" t="s">
        <v>2598</v>
      </c>
      <c r="I2" s="2859" t="s">
        <v>2599</v>
      </c>
      <c r="J2" s="2860" t="s">
        <v>2600</v>
      </c>
      <c r="K2" s="2860" t="s">
        <v>2601</v>
      </c>
      <c r="L2" s="2860" t="s">
        <v>2602</v>
      </c>
      <c r="M2" s="2861" t="s">
        <v>2603</v>
      </c>
      <c r="Q2" s="2871" t="s">
        <v>2801</v>
      </c>
      <c r="R2" s="2871" t="s">
        <v>2802</v>
      </c>
      <c r="S2" s="2871" t="s">
        <v>2803</v>
      </c>
      <c r="T2" s="2871" t="s">
        <v>2804</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2797</v>
      </c>
      <c r="B93" s="2856"/>
      <c r="C93" s="2856"/>
      <c r="D93" s="2856"/>
      <c r="E93" s="2856"/>
      <c r="F93" s="2856"/>
      <c r="G93" s="2856"/>
      <c r="H93" s="2856"/>
      <c r="I93" s="2856"/>
      <c r="J93" s="2856"/>
      <c r="K93" s="2856"/>
      <c r="L93" s="2856"/>
      <c r="M93" s="2856"/>
    </row>
    <row r="94" spans="1:20">
      <c r="A94" s="2857" t="s">
        <v>2796</v>
      </c>
      <c r="B94" s="2858" t="s">
        <v>2592</v>
      </c>
      <c r="C94" s="2858" t="s">
        <v>2593</v>
      </c>
      <c r="D94" s="2858" t="s">
        <v>2594</v>
      </c>
      <c r="E94" s="2858" t="s">
        <v>2595</v>
      </c>
      <c r="F94" s="2858" t="s">
        <v>2596</v>
      </c>
      <c r="G94" s="2858" t="s">
        <v>2597</v>
      </c>
      <c r="H94" s="2859" t="s">
        <v>2598</v>
      </c>
      <c r="I94" s="2859" t="s">
        <v>2599</v>
      </c>
      <c r="J94" s="2860" t="s">
        <v>2600</v>
      </c>
      <c r="K94" s="2860" t="s">
        <v>2601</v>
      </c>
      <c r="L94" s="2860" t="s">
        <v>2602</v>
      </c>
      <c r="M94" s="2861" t="s">
        <v>2603</v>
      </c>
      <c r="N94">
        <f>SUMPRODUCT((A95:A184=ROUNDDOWN(基准地价修正!G3,1))*(B94:M94=基准地价修正!G2)*(B95:M184))</f>
        <v>0</v>
      </c>
      <c r="Q94" s="2871" t="s">
        <v>2801</v>
      </c>
      <c r="R94" s="2871" t="s">
        <v>2802</v>
      </c>
      <c r="S94" s="2871" t="s">
        <v>2803</v>
      </c>
      <c r="T94" s="2871" t="s">
        <v>2804</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1"/>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1"/>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2798</v>
      </c>
      <c r="B185" s="2856"/>
      <c r="C185" s="2856"/>
      <c r="D185" s="2856"/>
      <c r="E185" s="2856"/>
      <c r="F185" s="2856"/>
      <c r="G185" s="2856"/>
      <c r="H185" s="2856"/>
      <c r="I185" s="2856"/>
      <c r="J185" s="2856"/>
      <c r="K185" s="2856"/>
      <c r="L185" s="2856"/>
      <c r="M185" s="2856"/>
    </row>
    <row r="186" spans="1:20">
      <c r="A186" s="2857" t="s">
        <v>2796</v>
      </c>
      <c r="B186" s="2858" t="s">
        <v>2592</v>
      </c>
      <c r="C186" s="2858" t="s">
        <v>2593</v>
      </c>
      <c r="D186" s="2858" t="s">
        <v>2594</v>
      </c>
      <c r="E186" s="2858" t="s">
        <v>2595</v>
      </c>
      <c r="F186" s="2858" t="s">
        <v>2596</v>
      </c>
      <c r="G186" s="2858" t="s">
        <v>2597</v>
      </c>
      <c r="H186" s="2859" t="s">
        <v>2598</v>
      </c>
      <c r="I186" s="2859" t="s">
        <v>2599</v>
      </c>
      <c r="J186" s="2860" t="s">
        <v>2600</v>
      </c>
      <c r="K186" s="2860" t="s">
        <v>2601</v>
      </c>
      <c r="L186" s="2860" t="s">
        <v>2602</v>
      </c>
      <c r="M186" s="2861" t="s">
        <v>2603</v>
      </c>
      <c r="Q186" s="2871" t="s">
        <v>2801</v>
      </c>
      <c r="R186" s="2871" t="s">
        <v>2802</v>
      </c>
      <c r="S186" s="2871" t="s">
        <v>2803</v>
      </c>
      <c r="T186" s="2871" t="s">
        <v>2804</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2799</v>
      </c>
      <c r="B277" s="2856"/>
      <c r="C277" s="2856"/>
      <c r="D277" s="2856"/>
      <c r="E277" s="2856"/>
      <c r="F277" s="2856"/>
      <c r="G277" s="2856"/>
      <c r="H277" s="2856"/>
      <c r="I277" s="2856"/>
      <c r="J277" s="2856"/>
      <c r="K277" s="2856"/>
      <c r="L277" s="2856"/>
      <c r="M277" s="2856"/>
    </row>
    <row r="278" spans="1:21">
      <c r="A278" s="2857" t="s">
        <v>2796</v>
      </c>
      <c r="B278" s="2858" t="s">
        <v>2592</v>
      </c>
      <c r="C278" s="2858" t="s">
        <v>2593</v>
      </c>
      <c r="D278" s="2858" t="s">
        <v>2594</v>
      </c>
      <c r="E278" s="2858" t="s">
        <v>2595</v>
      </c>
      <c r="F278" s="2858" t="s">
        <v>2596</v>
      </c>
      <c r="G278" s="2858" t="s">
        <v>2597</v>
      </c>
      <c r="H278" s="2859" t="s">
        <v>2598</v>
      </c>
      <c r="I278" s="2859" t="s">
        <v>2599</v>
      </c>
      <c r="J278" s="2860" t="s">
        <v>2600</v>
      </c>
      <c r="K278" s="2860" t="s">
        <v>2601</v>
      </c>
      <c r="L278" s="2860" t="s">
        <v>2602</v>
      </c>
      <c r="M278" s="2861" t="s">
        <v>2603</v>
      </c>
      <c r="Q278" s="2871" t="s">
        <v>2801</v>
      </c>
      <c r="R278" s="2871" t="s">
        <v>2802</v>
      </c>
      <c r="S278" s="2871" t="s">
        <v>2805</v>
      </c>
      <c r="T278" s="2871" t="s">
        <v>2806</v>
      </c>
      <c r="U278" s="2871" t="s">
        <v>2804</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2800</v>
      </c>
      <c r="B369" s="2869"/>
      <c r="C369" s="2869"/>
      <c r="D369" s="2869"/>
      <c r="E369" s="2869"/>
      <c r="F369" s="2869"/>
      <c r="G369" s="2869"/>
      <c r="H369" s="2869"/>
      <c r="I369" s="2869"/>
      <c r="J369" s="2869"/>
      <c r="K369" s="2869"/>
      <c r="L369" s="2869"/>
      <c r="M369" s="2869"/>
    </row>
    <row r="370" spans="1:20">
      <c r="A370" s="2857" t="s">
        <v>2796</v>
      </c>
      <c r="B370" s="2858" t="s">
        <v>2592</v>
      </c>
      <c r="C370" s="2858" t="s">
        <v>2593</v>
      </c>
      <c r="D370" s="2858" t="s">
        <v>2594</v>
      </c>
      <c r="E370" s="2858" t="s">
        <v>2595</v>
      </c>
      <c r="F370" s="2858" t="s">
        <v>2596</v>
      </c>
      <c r="G370" s="2858" t="s">
        <v>2597</v>
      </c>
      <c r="H370" s="2859" t="s">
        <v>2598</v>
      </c>
      <c r="I370" s="2859" t="s">
        <v>2599</v>
      </c>
      <c r="J370" s="2860" t="s">
        <v>2600</v>
      </c>
      <c r="K370" s="2860" t="s">
        <v>2601</v>
      </c>
      <c r="L370" s="2860" t="s">
        <v>2602</v>
      </c>
      <c r="M370" s="2861" t="s">
        <v>2603</v>
      </c>
      <c r="N370">
        <f>SUMPRODUCT((A371:A460=ROUNDDOWN(基准地价修正!G3,1))*(B370:M370=基准地价修正!G2)*(B371:M460))</f>
        <v>0</v>
      </c>
      <c r="Q370" s="2871" t="s">
        <v>2801</v>
      </c>
      <c r="R370" s="2871" t="s">
        <v>2802</v>
      </c>
      <c r="S370" s="2871" t="s">
        <v>2803</v>
      </c>
      <c r="T370" s="2871" t="s">
        <v>2804</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52534</v>
      </c>
      <c r="C2" s="2" t="s">
        <v>106</v>
      </c>
      <c r="D2" s="190"/>
      <c r="E2" s="190"/>
      <c r="F2" s="190"/>
      <c r="G2" s="190"/>
    </row>
    <row r="3" spans="1:7" s="191" customFormat="1" ht="18" customHeight="1" thickBot="1">
      <c r="A3" s="194" t="s">
        <v>58</v>
      </c>
      <c r="B3" s="195">
        <f ca="1">ROUND(B2*10000/'数据-汇总表'!E3,0)</f>
        <v>8113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971</v>
      </c>
      <c r="D9" s="789">
        <f>'数据-汇总表'!E5</f>
        <v>64756.12</v>
      </c>
      <c r="E9" s="216">
        <f>'数据-取费表'!B27</f>
        <v>150</v>
      </c>
      <c r="F9" s="212"/>
      <c r="G9" s="217"/>
    </row>
    <row r="10" spans="1:7" s="205" customFormat="1" ht="13.5" customHeight="1">
      <c r="A10" s="727" t="s">
        <v>356</v>
      </c>
      <c r="B10" s="215" t="s">
        <v>67</v>
      </c>
      <c r="C10" s="216">
        <f>ROUND(D10*E10/10000,0)</f>
        <v>0</v>
      </c>
      <c r="D10" s="789">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1295</v>
      </c>
      <c r="D19" s="203">
        <f>'数据-汇总表'!E3</f>
        <v>64756.12</v>
      </c>
      <c r="E19" s="202">
        <f>'数据-取费表'!B31</f>
        <v>200</v>
      </c>
      <c r="F19" s="222"/>
      <c r="G19" s="1" t="s">
        <v>436</v>
      </c>
    </row>
    <row r="20" spans="1:7" s="205" customFormat="1" ht="13.5" customHeight="1">
      <c r="A20" s="725" t="s">
        <v>419</v>
      </c>
      <c r="B20" s="201" t="s">
        <v>77</v>
      </c>
      <c r="C20" s="223">
        <f>ROUND((C5+C19)*F20,0)</f>
        <v>438</v>
      </c>
      <c r="D20" s="223"/>
      <c r="E20" s="223"/>
      <c r="F20" s="224">
        <f>'数据-取费表'!B37</f>
        <v>0.02</v>
      </c>
      <c r="G20" s="998" t="s">
        <v>430</v>
      </c>
    </row>
    <row r="21" spans="1:7" s="205" customFormat="1" ht="13.5" customHeight="1">
      <c r="A21" s="725" t="s">
        <v>421</v>
      </c>
      <c r="B21" s="201" t="s">
        <v>78</v>
      </c>
      <c r="C21" s="226">
        <f>F21</f>
        <v>0.03</v>
      </c>
      <c r="D21" s="227" t="s">
        <v>99</v>
      </c>
      <c r="E21" s="223"/>
      <c r="F21" s="224">
        <f>'数据-取费表'!B38</f>
        <v>0.03</v>
      </c>
      <c r="G21" s="225" t="s">
        <v>79</v>
      </c>
    </row>
    <row r="22" spans="1:7" s="205" customFormat="1" ht="13.5" customHeight="1">
      <c r="A22" s="725" t="s">
        <v>341</v>
      </c>
      <c r="B22" s="201" t="s">
        <v>80</v>
      </c>
      <c r="C22" s="1035">
        <f ca="1">ROUND(SUM(C23:C25),0)</f>
        <v>952</v>
      </c>
      <c r="D22" s="226">
        <f ca="1">C26</f>
        <v>5.9999999999999995E-4</v>
      </c>
      <c r="E22" s="227" t="s">
        <v>99</v>
      </c>
      <c r="F22" s="228">
        <f ca="1">'数据-取费表'!B40</f>
        <v>3.1E-2</v>
      </c>
      <c r="G22" s="998" t="str">
        <f>IF('数据-取费表'!B22&lt;=1,"单利计息","复利计息")</f>
        <v>复利计息</v>
      </c>
    </row>
    <row r="23" spans="1:7" s="205" customFormat="1" ht="13.5" customHeight="1">
      <c r="A23" s="728" t="s">
        <v>349</v>
      </c>
      <c r="B23" s="206" t="s">
        <v>423</v>
      </c>
      <c r="C23" s="1036">
        <f ca="1">ROUND(IF('数据-取费表'!B22&lt;=1,C5*F22*'数据-取费表'!B23,C5*(POWER((1+F22),'数据-取费表'!B23)-1)),0)</f>
        <v>887</v>
      </c>
      <c r="D23" s="229"/>
      <c r="E23" s="229"/>
      <c r="F23" s="230"/>
      <c r="G23" s="231" t="s">
        <v>81</v>
      </c>
    </row>
    <row r="24" spans="1:7" s="205" customFormat="1" ht="13.5" customHeight="1">
      <c r="A24" s="728" t="s">
        <v>347</v>
      </c>
      <c r="B24" s="206" t="s">
        <v>418</v>
      </c>
      <c r="C24" s="1036">
        <f ca="1">ROUND(IF('数据-取费表'!B22&lt;=1,C19*F22*('数据-取费表'!B19/2+'数据-取费表'!B21),C19*(POWER((1+F22),('数据-取费表'!B19/2+'数据-取费表'!B21))-1)),0)</f>
        <v>56</v>
      </c>
      <c r="D24" s="229"/>
      <c r="E24" s="229"/>
      <c r="F24" s="230"/>
      <c r="G24" s="231" t="s">
        <v>82</v>
      </c>
    </row>
    <row r="25" spans="1:7" s="205" customFormat="1" ht="24">
      <c r="A25" s="728" t="s">
        <v>348</v>
      </c>
      <c r="B25" s="206" t="s">
        <v>420</v>
      </c>
      <c r="C25" s="1036">
        <f ca="1">ROUND(IF('数据-取费表'!B22&lt;=1,C20*F22*'数据-取费表'!B23/2,C20*(POWER((1+F22),'数据-取费表'!B23/2)-1)),0)</f>
        <v>9</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1850</v>
      </c>
      <c r="D27" s="226">
        <f>C29</f>
        <v>2.5000000000000001E-3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1850</v>
      </c>
      <c r="D28" s="226"/>
      <c r="E28" s="227"/>
      <c r="F28" s="237"/>
      <c r="G28" s="238"/>
    </row>
    <row r="29" spans="1:7" s="205" customFormat="1" ht="13.5" customHeight="1">
      <c r="A29" s="728" t="s">
        <v>347</v>
      </c>
      <c r="B29" s="239" t="s">
        <v>425</v>
      </c>
      <c r="C29" s="229">
        <f>ROUND(C21*F27*'数据-取费表'!B21/'数据-取费表'!B20,4)</f>
        <v>2.5000000000000001E-3</v>
      </c>
      <c r="D29" s="226"/>
      <c r="E29" s="227"/>
      <c r="F29" s="237"/>
      <c r="G29" s="238"/>
    </row>
    <row r="30" spans="1:7" s="205" customFormat="1" ht="13.5" customHeight="1">
      <c r="A30" s="725"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27495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19125</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16739</v>
      </c>
      <c r="D34" s="208"/>
      <c r="E34" s="211"/>
      <c r="F34" s="248">
        <f>IF('数据-取费表'!B24=0,1,'数据-取费表'!N16)</f>
        <v>0.55000000000000004</v>
      </c>
      <c r="G34" s="210" t="s">
        <v>89</v>
      </c>
    </row>
    <row r="35" spans="1:7" ht="13.5" customHeight="1">
      <c r="A35" s="728" t="s">
        <v>351</v>
      </c>
      <c r="B35" s="206" t="s">
        <v>33</v>
      </c>
      <c r="C35" s="211">
        <f>ROUND(C34*F35,0)</f>
        <v>502</v>
      </c>
      <c r="D35" s="211"/>
      <c r="E35" s="211"/>
      <c r="F35" s="250">
        <f>'数据-取费表'!B33</f>
        <v>0.03</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837</v>
      </c>
      <c r="D36" s="211"/>
      <c r="E36" s="211"/>
      <c r="F36" s="250">
        <f>'数据-取费表'!B34</f>
        <v>0.05</v>
      </c>
      <c r="G36" s="251" t="s">
        <v>35</v>
      </c>
    </row>
    <row r="37" spans="1:7" s="249" customFormat="1" ht="13.5" customHeight="1">
      <c r="A37" s="728" t="s">
        <v>353</v>
      </c>
      <c r="B37" s="206" t="s">
        <v>91</v>
      </c>
      <c r="C37" s="240">
        <f>ROUND(E37*D37*F34/10000,0)</f>
        <v>712</v>
      </c>
      <c r="D37" s="208">
        <f>'数据-汇总表'!E3</f>
        <v>64756.12</v>
      </c>
      <c r="E37" s="240">
        <f>'数据-取费表'!B35</f>
        <v>200</v>
      </c>
      <c r="F37" s="250"/>
      <c r="G37" s="252" t="s">
        <v>92</v>
      </c>
    </row>
    <row r="38" spans="1:7" ht="13.5" customHeight="1">
      <c r="A38" s="728" t="s">
        <v>354</v>
      </c>
      <c r="B38" s="206" t="s">
        <v>36</v>
      </c>
      <c r="C38" s="211">
        <f>ROUND(C34*F38,0)</f>
        <v>335</v>
      </c>
      <c r="D38" s="211"/>
      <c r="E38" s="211"/>
      <c r="F38" s="250">
        <f>'数据-取费表'!B36</f>
        <v>0.02</v>
      </c>
      <c r="G38" s="210" t="s">
        <v>90</v>
      </c>
    </row>
    <row r="39" spans="1:7" s="205" customFormat="1" ht="13.5" customHeight="1">
      <c r="A39" s="725" t="s">
        <v>338</v>
      </c>
      <c r="B39" s="201" t="s">
        <v>77</v>
      </c>
      <c r="C39" s="223">
        <f>ROUND(C33*F20,0)</f>
        <v>383</v>
      </c>
      <c r="D39" s="223"/>
      <c r="E39" s="223"/>
      <c r="F39" s="224"/>
      <c r="G39" s="998" t="s">
        <v>433</v>
      </c>
    </row>
    <row r="40" spans="1:7" s="205" customFormat="1" ht="13.5" customHeight="1">
      <c r="A40" s="725" t="s">
        <v>339</v>
      </c>
      <c r="B40" s="201" t="s">
        <v>78</v>
      </c>
      <c r="C40" s="253">
        <f>F21</f>
        <v>0.03</v>
      </c>
      <c r="D40" s="227" t="s">
        <v>102</v>
      </c>
      <c r="E40" s="223"/>
      <c r="F40" s="224"/>
      <c r="G40" s="225" t="s">
        <v>93</v>
      </c>
    </row>
    <row r="41" spans="1:7" s="205" customFormat="1" ht="13.5" customHeight="1">
      <c r="A41" s="725" t="s">
        <v>340</v>
      </c>
      <c r="B41" s="201" t="s">
        <v>80</v>
      </c>
      <c r="C41" s="223">
        <f ca="1">ROUND(SUM(C42:C43),0)</f>
        <v>415</v>
      </c>
      <c r="D41" s="226">
        <f ca="1">C44</f>
        <v>5.9999999999999995E-4</v>
      </c>
      <c r="E41" s="227" t="s">
        <v>102</v>
      </c>
      <c r="F41" s="228"/>
      <c r="G41" s="998" t="str">
        <f>IF('数据-取费表'!B22&lt;=1,"单利计息","复利计息")</f>
        <v>复利计息</v>
      </c>
    </row>
    <row r="42" spans="1:7" ht="13.5" customHeight="1">
      <c r="A42" s="728" t="s">
        <v>349</v>
      </c>
      <c r="B42" s="206" t="s">
        <v>423</v>
      </c>
      <c r="C42" s="229">
        <f ca="1">ROUND(IF('数据-取费表'!B22&lt;=1,C33*F22*'数据-取费表'!B21/2,C33*(POWER((1+F22),'数据-取费表'!B21/2)-1)),0)</f>
        <v>407</v>
      </c>
      <c r="D42" s="229"/>
      <c r="E42" s="229"/>
      <c r="F42" s="230"/>
      <c r="G42" s="3398" t="s">
        <v>94</v>
      </c>
    </row>
    <row r="43" spans="1:7" ht="13.5" customHeight="1">
      <c r="A43" s="728" t="s">
        <v>347</v>
      </c>
      <c r="B43" s="206" t="s">
        <v>426</v>
      </c>
      <c r="C43" s="229">
        <f ca="1">ROUND(IF('数据-取费表'!B22&lt;=1,C39*F22*'数据-取费表'!B21/2,C39*(POWER((1+F22),'数据-取费表'!B21/2)-1)),0)</f>
        <v>8</v>
      </c>
      <c r="D43" s="229"/>
      <c r="E43" s="229"/>
      <c r="F43" s="230"/>
      <c r="G43" s="3399"/>
    </row>
    <row r="44" spans="1:7" ht="13.5" customHeight="1">
      <c r="A44" s="728" t="s">
        <v>348</v>
      </c>
      <c r="B44" s="206" t="s">
        <v>428</v>
      </c>
      <c r="C44" s="229">
        <f ca="1">ROUND(IF('数据-取费表'!B22&lt;=1,C40*F22*'数据-取费表'!B21/2,C40*(POWER((1+F22),'数据-取费表'!B21/2)-1)),4)</f>
        <v>5.9999999999999995E-4</v>
      </c>
      <c r="D44" s="229"/>
      <c r="E44" s="229"/>
      <c r="F44" s="230"/>
      <c r="G44" s="3400"/>
    </row>
    <row r="45" spans="1:7" s="205" customFormat="1" ht="13.5" customHeight="1">
      <c r="A45" s="725" t="s">
        <v>341</v>
      </c>
      <c r="B45" s="235" t="s">
        <v>85</v>
      </c>
      <c r="C45" s="236">
        <f>C46</f>
        <v>2926</v>
      </c>
      <c r="D45" s="226">
        <f>C47</f>
        <v>4.4999999999999997E-3</v>
      </c>
      <c r="E45" s="227" t="s">
        <v>102</v>
      </c>
      <c r="F45" s="237"/>
      <c r="G45" s="238" t="s">
        <v>434</v>
      </c>
    </row>
    <row r="46" spans="1:7" s="205" customFormat="1" ht="13.5" customHeight="1">
      <c r="A46" s="728" t="s">
        <v>349</v>
      </c>
      <c r="B46" s="239" t="s">
        <v>427</v>
      </c>
      <c r="C46" s="240">
        <f>ROUND((C33+C39)*F27,0)</f>
        <v>2926</v>
      </c>
      <c r="D46" s="254"/>
      <c r="E46" s="227"/>
      <c r="F46" s="237"/>
      <c r="G46" s="238"/>
    </row>
    <row r="47" spans="1:7" s="205" customFormat="1" ht="13.5" customHeight="1">
      <c r="A47" s="728" t="s">
        <v>347</v>
      </c>
      <c r="B47" s="239" t="s">
        <v>429</v>
      </c>
      <c r="C47" s="229">
        <f>ROUND(C40*F27,4)</f>
        <v>4.4999999999999997E-3</v>
      </c>
      <c r="D47" s="254"/>
      <c r="E47" s="227"/>
      <c r="F47" s="237"/>
      <c r="G47" s="238"/>
    </row>
    <row r="48" spans="1:7" s="205" customFormat="1" ht="13.5" customHeight="1">
      <c r="A48" s="725" t="s">
        <v>342</v>
      </c>
      <c r="B48" s="201" t="s">
        <v>95</v>
      </c>
      <c r="C48" s="253">
        <f>F30</f>
        <v>5.5000000000000007E-2</v>
      </c>
      <c r="D48" s="227" t="s">
        <v>103</v>
      </c>
      <c r="E48" s="223"/>
      <c r="F48" s="228"/>
      <c r="G48" s="225" t="s">
        <v>96</v>
      </c>
    </row>
    <row r="49" spans="1:7" ht="16.5" customHeight="1">
      <c r="A49" s="725" t="s">
        <v>343</v>
      </c>
      <c r="B49" s="201" t="s">
        <v>104</v>
      </c>
      <c r="C49" s="223">
        <f ca="1">ROUND((C33+C39+C41+C45)/(1-C40-D41-D45-C48/(1+'数据-取费表'!B42)),0)</f>
        <v>25039</v>
      </c>
      <c r="D49" s="223"/>
      <c r="E49" s="223"/>
      <c r="F49" s="255"/>
      <c r="G49" s="225" t="s">
        <v>435</v>
      </c>
    </row>
    <row r="50" spans="1:7" s="249" customFormat="1" ht="24">
      <c r="A50" s="725" t="s">
        <v>344</v>
      </c>
      <c r="B50" s="201" t="s">
        <v>97</v>
      </c>
      <c r="C50" s="223"/>
      <c r="D50" s="223"/>
      <c r="E50" s="223"/>
      <c r="F50" s="255">
        <f>IF('数据-取费表'!B24=0,'数据-取费表'!N16,1)</f>
        <v>1</v>
      </c>
      <c r="G50" s="238" t="s">
        <v>98</v>
      </c>
    </row>
    <row r="51" spans="1:7" ht="16.5" customHeight="1">
      <c r="A51" s="725" t="s">
        <v>345</v>
      </c>
      <c r="B51" s="201" t="s">
        <v>105</v>
      </c>
      <c r="C51" s="223">
        <f ca="1">ROUND(C49*F50,0)</f>
        <v>25039</v>
      </c>
      <c r="D51" s="223"/>
      <c r="E51" s="223"/>
      <c r="F51" s="255"/>
      <c r="G51" s="225" t="s">
        <v>37</v>
      </c>
    </row>
    <row r="52" spans="1:7" s="199" customFormat="1" ht="16.5" thickBot="1">
      <c r="A52" s="256" t="s">
        <v>38</v>
      </c>
      <c r="B52" s="257"/>
      <c r="C52" s="258">
        <f ca="1">C31+C51</f>
        <v>52534</v>
      </c>
      <c r="D52" s="257"/>
      <c r="E52" s="257"/>
      <c r="F52" s="257"/>
      <c r="G52" s="259"/>
    </row>
    <row r="55" spans="1:7" ht="15">
      <c r="B55" s="261" t="s">
        <v>39</v>
      </c>
      <c r="C55" s="262"/>
    </row>
    <row r="56" spans="1:7">
      <c r="B56" s="264" t="s">
        <v>40</v>
      </c>
      <c r="C56" s="265">
        <f ca="1">ROUND(C51/C52,3)</f>
        <v>0.47699999999999998</v>
      </c>
    </row>
    <row r="57" spans="1:7">
      <c r="B57" s="264" t="s">
        <v>41</v>
      </c>
      <c r="C57" s="266">
        <f ca="1">1-C56</f>
        <v>0.52300000000000002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Normal="100" workbookViewId="0">
      <pane xSplit="2" ySplit="4" topLeftCell="C296" activePane="bottomRight" state="frozen"/>
      <selection pane="topRight" activeCell="C1" sqref="C1"/>
      <selection pane="bottomLeft" activeCell="A5" sqref="A5"/>
      <selection pane="bottomRight" activeCell="G323" sqref="G323"/>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495" t="s">
        <v>2836</v>
      </c>
      <c r="B1" s="3495"/>
      <c r="C1" s="3495"/>
      <c r="D1" s="3495"/>
      <c r="E1" s="3495"/>
      <c r="F1" s="3495"/>
      <c r="G1" s="3496"/>
      <c r="I1" s="2929" t="s">
        <v>2837</v>
      </c>
      <c r="J1" s="2930" t="s">
        <v>2838</v>
      </c>
      <c r="K1" s="2930" t="s">
        <v>2839</v>
      </c>
      <c r="L1" s="2930" t="s">
        <v>2840</v>
      </c>
      <c r="M1" s="2930" t="s">
        <v>2841</v>
      </c>
      <c r="N1" s="2930" t="s">
        <v>2842</v>
      </c>
      <c r="O1" s="2930" t="s">
        <v>2843</v>
      </c>
      <c r="P1" s="2930" t="s">
        <v>2844</v>
      </c>
      <c r="Q1" s="2930" t="s">
        <v>2845</v>
      </c>
      <c r="R1" s="2930" t="s">
        <v>2846</v>
      </c>
      <c r="S1" s="2930" t="s">
        <v>2847</v>
      </c>
      <c r="T1" s="2931" t="s">
        <v>2848</v>
      </c>
    </row>
    <row r="2" spans="1:20" ht="12" thickBot="1">
      <c r="A2" s="2932" t="s">
        <v>2849</v>
      </c>
      <c r="B2" s="2932"/>
      <c r="C2" s="2932"/>
      <c r="D2" s="2932"/>
      <c r="E2" s="2932"/>
      <c r="F2" s="2932"/>
      <c r="G2" s="2933" t="s">
        <v>2850</v>
      </c>
      <c r="I2" s="2934" t="s">
        <v>2851</v>
      </c>
      <c r="J2" s="2934" t="s">
        <v>2852</v>
      </c>
      <c r="K2" s="2934" t="s">
        <v>2853</v>
      </c>
      <c r="L2" s="2934" t="s">
        <v>2854</v>
      </c>
      <c r="M2" s="2934" t="s">
        <v>2855</v>
      </c>
      <c r="N2" s="2934" t="s">
        <v>2856</v>
      </c>
      <c r="O2" s="2934" t="s">
        <v>2857</v>
      </c>
      <c r="P2" s="2934" t="s">
        <v>2858</v>
      </c>
      <c r="Q2" s="2934" t="s">
        <v>2859</v>
      </c>
      <c r="R2" s="2934" t="s">
        <v>2860</v>
      </c>
      <c r="S2" s="2934" t="s">
        <v>2861</v>
      </c>
      <c r="T2" s="2934" t="s">
        <v>2862</v>
      </c>
    </row>
    <row r="3" spans="1:20" s="2940" customFormat="1">
      <c r="A3" s="3493" t="s">
        <v>2863</v>
      </c>
      <c r="B3" s="2935"/>
      <c r="C3" s="2936" t="s">
        <v>2808</v>
      </c>
      <c r="D3" s="2936" t="s">
        <v>2864</v>
      </c>
      <c r="E3" s="2936" t="s">
        <v>2810</v>
      </c>
      <c r="F3" s="2936" t="s">
        <v>2865</v>
      </c>
      <c r="G3" s="2936" t="s">
        <v>2628</v>
      </c>
      <c r="H3" s="2937"/>
      <c r="I3" s="2938" t="s">
        <v>2866</v>
      </c>
      <c r="J3" s="2939" t="s">
        <v>128</v>
      </c>
      <c r="K3" s="2939" t="s">
        <v>129</v>
      </c>
      <c r="L3" s="2938" t="s">
        <v>130</v>
      </c>
      <c r="M3" s="2938" t="s">
        <v>131</v>
      </c>
      <c r="N3" s="2938" t="s">
        <v>132</v>
      </c>
      <c r="O3" s="2938" t="s">
        <v>133</v>
      </c>
      <c r="P3" s="2938" t="s">
        <v>134</v>
      </c>
      <c r="Q3" s="2938" t="s">
        <v>135</v>
      </c>
      <c r="R3" s="2938" t="s">
        <v>136</v>
      </c>
      <c r="S3" s="2938" t="s">
        <v>2867</v>
      </c>
      <c r="T3" s="2938" t="s">
        <v>2868</v>
      </c>
    </row>
    <row r="4" spans="1:20" s="2940" customFormat="1" ht="12" thickBot="1">
      <c r="A4" s="3494"/>
      <c r="B4" s="2941" t="s">
        <v>2869</v>
      </c>
      <c r="C4" s="2941" t="s">
        <v>2870</v>
      </c>
      <c r="D4" s="2941" t="s">
        <v>2870</v>
      </c>
      <c r="E4" s="2941" t="s">
        <v>2870</v>
      </c>
      <c r="F4" s="2942" t="s">
        <v>2870</v>
      </c>
      <c r="G4" s="2942" t="s">
        <v>2870</v>
      </c>
      <c r="H4" s="2937"/>
      <c r="I4" s="2939" t="s">
        <v>137</v>
      </c>
      <c r="J4" s="2939" t="s">
        <v>111</v>
      </c>
      <c r="K4" s="2939" t="s">
        <v>138</v>
      </c>
      <c r="L4" s="2938" t="s">
        <v>139</v>
      </c>
      <c r="M4" s="2938" t="s">
        <v>140</v>
      </c>
      <c r="N4" s="2938" t="s">
        <v>141</v>
      </c>
      <c r="O4" s="2938" t="s">
        <v>142</v>
      </c>
      <c r="P4" s="2938" t="s">
        <v>143</v>
      </c>
      <c r="Q4" s="2938" t="s">
        <v>2871</v>
      </c>
      <c r="R4" s="2938" t="s">
        <v>2872</v>
      </c>
      <c r="S4" s="2938" t="s">
        <v>2873</v>
      </c>
      <c r="T4" s="2938" t="s">
        <v>2874</v>
      </c>
    </row>
    <row r="5" spans="1:20">
      <c r="A5" s="2943" t="s">
        <v>2837</v>
      </c>
      <c r="B5" s="2934" t="s">
        <v>2851</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2875</v>
      </c>
      <c r="R5" s="2938" t="s">
        <v>2876</v>
      </c>
      <c r="S5" s="2938" t="s">
        <v>153</v>
      </c>
      <c r="T5" s="2938" t="s">
        <v>2877</v>
      </c>
    </row>
    <row r="6" spans="1:20" ht="12" thickBot="1">
      <c r="A6" s="2938" t="s">
        <v>144</v>
      </c>
      <c r="B6" s="2938" t="s">
        <v>2866</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2878</v>
      </c>
      <c r="Q6" s="2938" t="s">
        <v>2879</v>
      </c>
      <c r="R6" s="2938" t="s">
        <v>161</v>
      </c>
      <c r="S6" s="2938" t="s">
        <v>2880</v>
      </c>
      <c r="T6" s="2938" t="s">
        <v>2881</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2882</v>
      </c>
      <c r="Q7" s="2938" t="s">
        <v>2883</v>
      </c>
      <c r="R7" s="2938" t="s">
        <v>2884</v>
      </c>
      <c r="S7" s="2938" t="s">
        <v>2885</v>
      </c>
      <c r="T7" s="2938" t="s">
        <v>2886</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2887</v>
      </c>
      <c r="Q8" s="2938" t="s">
        <v>174</v>
      </c>
      <c r="R8" s="2938" t="s">
        <v>2888</v>
      </c>
      <c r="S8" s="2938" t="s">
        <v>2889</v>
      </c>
      <c r="T8" s="2945" t="s">
        <v>2890</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2891</v>
      </c>
      <c r="Q9" s="2938" t="s">
        <v>182</v>
      </c>
      <c r="R9" s="2938" t="s">
        <v>183</v>
      </c>
      <c r="S9" s="2938" t="s">
        <v>200</v>
      </c>
    </row>
    <row r="10" spans="1:20">
      <c r="A10" s="2943" t="s">
        <v>184</v>
      </c>
      <c r="B10" s="2934" t="s">
        <v>2852</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2892</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2893</v>
      </c>
      <c r="P11" s="2938" t="s">
        <v>191</v>
      </c>
      <c r="Q11" s="2938" t="s">
        <v>199</v>
      </c>
      <c r="R11" s="2938" t="s">
        <v>2894</v>
      </c>
      <c r="S11" s="2938" t="s">
        <v>2895</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2896</v>
      </c>
      <c r="P12" s="2938" t="s">
        <v>2897</v>
      </c>
      <c r="Q12" s="2938" t="s">
        <v>2898</v>
      </c>
      <c r="R12" s="2938" t="s">
        <v>2899</v>
      </c>
      <c r="S12" s="2938" t="s">
        <v>2900</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2901</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2902</v>
      </c>
      <c r="K14" s="2939" t="s">
        <v>215</v>
      </c>
      <c r="L14" s="2938" t="s">
        <v>216</v>
      </c>
      <c r="M14" s="2938" t="s">
        <v>217</v>
      </c>
      <c r="N14" s="2938" t="s">
        <v>218</v>
      </c>
      <c r="O14" s="2938" t="s">
        <v>240</v>
      </c>
      <c r="P14" s="2938" t="s">
        <v>213</v>
      </c>
      <c r="Q14" s="2938" t="s">
        <v>2903</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2904</v>
      </c>
      <c r="P15" s="2938" t="s">
        <v>2905</v>
      </c>
      <c r="Q15" s="2938" t="s">
        <v>242</v>
      </c>
      <c r="R15" s="2938" t="s">
        <v>2906</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2907</v>
      </c>
      <c r="P16" s="2938" t="s">
        <v>227</v>
      </c>
      <c r="Q16" s="2938" t="s">
        <v>250</v>
      </c>
      <c r="R16" s="2938" t="s">
        <v>207</v>
      </c>
      <c r="S16" s="2938" t="s">
        <v>2908</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2909</v>
      </c>
      <c r="P17" s="2938" t="s">
        <v>2910</v>
      </c>
      <c r="Q17" s="2938" t="s">
        <v>256</v>
      </c>
      <c r="R17" s="2938" t="s">
        <v>2911</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2912</v>
      </c>
      <c r="P18" s="2938" t="s">
        <v>241</v>
      </c>
      <c r="Q18" s="2938" t="s">
        <v>2913</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2914</v>
      </c>
      <c r="P19" s="2938" t="s">
        <v>249</v>
      </c>
      <c r="Q19" s="2938" t="s">
        <v>2915</v>
      </c>
      <c r="R19" s="2938" t="s">
        <v>265</v>
      </c>
      <c r="S19" s="2938" t="s">
        <v>2916</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2917</v>
      </c>
      <c r="P20" s="2938" t="s">
        <v>2918</v>
      </c>
      <c r="Q20" s="2938" t="s">
        <v>290</v>
      </c>
      <c r="R20" s="2938" t="s">
        <v>2919</v>
      </c>
      <c r="S20" s="2938" t="s">
        <v>277</v>
      </c>
    </row>
    <row r="21" spans="1:19" ht="14.25" customHeight="1" thickBot="1">
      <c r="A21" s="2938" t="s">
        <v>184</v>
      </c>
      <c r="B21" s="2939" t="s">
        <v>208</v>
      </c>
      <c r="C21" s="2938">
        <v>32370</v>
      </c>
      <c r="D21" s="2938">
        <v>26730</v>
      </c>
      <c r="E21" s="2938">
        <v>26640</v>
      </c>
      <c r="F21" s="2938"/>
      <c r="G21" s="2938">
        <v>19440</v>
      </c>
      <c r="J21" s="2945" t="s">
        <v>2920</v>
      </c>
      <c r="K21" s="2939" t="s">
        <v>267</v>
      </c>
      <c r="L21" s="2938" t="s">
        <v>268</v>
      </c>
      <c r="M21" s="2938" t="s">
        <v>269</v>
      </c>
      <c r="N21" s="2938" t="s">
        <v>270</v>
      </c>
      <c r="O21" s="2938" t="s">
        <v>264</v>
      </c>
      <c r="P21" s="2938" t="s">
        <v>283</v>
      </c>
      <c r="Q21" s="2938" t="s">
        <v>293</v>
      </c>
      <c r="R21" s="2938" t="s">
        <v>2921</v>
      </c>
      <c r="S21" s="2945" t="s">
        <v>2922</v>
      </c>
    </row>
    <row r="22" spans="1:19" ht="14.25" customHeight="1">
      <c r="A22" s="2938" t="s">
        <v>184</v>
      </c>
      <c r="B22" s="2939" t="s">
        <v>2902</v>
      </c>
      <c r="C22" s="2938">
        <v>29830</v>
      </c>
      <c r="D22" s="2938">
        <v>27600</v>
      </c>
      <c r="E22" s="2938">
        <v>28150</v>
      </c>
      <c r="F22" s="2938"/>
      <c r="G22" s="2938">
        <v>20080</v>
      </c>
      <c r="K22" s="2939" t="s">
        <v>2923</v>
      </c>
      <c r="L22" s="2938" t="s">
        <v>272</v>
      </c>
      <c r="M22" s="2938" t="s">
        <v>273</v>
      </c>
      <c r="N22" s="2938" t="s">
        <v>274</v>
      </c>
      <c r="O22" s="2938" t="s">
        <v>2924</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2925</v>
      </c>
      <c r="L23" s="2938" t="s">
        <v>278</v>
      </c>
      <c r="M23" s="2938" t="s">
        <v>279</v>
      </c>
      <c r="N23" s="2938" t="s">
        <v>2926</v>
      </c>
      <c r="O23" s="2938" t="s">
        <v>2927</v>
      </c>
      <c r="P23" s="2938" t="s">
        <v>289</v>
      </c>
      <c r="Q23" s="2938" t="s">
        <v>298</v>
      </c>
      <c r="R23" s="2938" t="s">
        <v>2928</v>
      </c>
    </row>
    <row r="24" spans="1:19" ht="14.25" customHeight="1">
      <c r="A24" s="2938" t="s">
        <v>184</v>
      </c>
      <c r="B24" s="2939" t="s">
        <v>230</v>
      </c>
      <c r="C24" s="2938">
        <v>27930</v>
      </c>
      <c r="D24" s="2938">
        <v>32260</v>
      </c>
      <c r="E24" s="2938">
        <v>32120</v>
      </c>
      <c r="F24" s="2938"/>
      <c r="G24" s="2938">
        <v>23470</v>
      </c>
      <c r="K24" s="2939" t="s">
        <v>2929</v>
      </c>
      <c r="L24" s="2938" t="s">
        <v>281</v>
      </c>
      <c r="M24" s="2938" t="s">
        <v>282</v>
      </c>
      <c r="N24" s="2938" t="s">
        <v>2930</v>
      </c>
      <c r="O24" s="2938" t="s">
        <v>285</v>
      </c>
      <c r="P24" s="2938" t="s">
        <v>2931</v>
      </c>
      <c r="Q24" s="2947" t="s">
        <v>2932</v>
      </c>
      <c r="R24" s="2938" t="s">
        <v>2933</v>
      </c>
    </row>
    <row r="25" spans="1:19" ht="14.25" customHeight="1">
      <c r="A25" s="2938" t="s">
        <v>184</v>
      </c>
      <c r="B25" s="2939" t="s">
        <v>235</v>
      </c>
      <c r="C25" s="2938">
        <v>32230</v>
      </c>
      <c r="D25" s="2938">
        <v>29640</v>
      </c>
      <c r="E25" s="2938">
        <v>29510</v>
      </c>
      <c r="F25" s="2938"/>
      <c r="G25" s="2938">
        <v>21560</v>
      </c>
      <c r="K25" s="2939" t="s">
        <v>2934</v>
      </c>
      <c r="L25" s="2938" t="s">
        <v>2935</v>
      </c>
      <c r="M25" s="2938" t="s">
        <v>284</v>
      </c>
      <c r="N25" s="2938" t="s">
        <v>292</v>
      </c>
      <c r="O25" s="2938" t="s">
        <v>288</v>
      </c>
      <c r="P25" s="2938" t="s">
        <v>275</v>
      </c>
      <c r="Q25" s="2947" t="s">
        <v>271</v>
      </c>
      <c r="R25" s="2938" t="s">
        <v>2936</v>
      </c>
    </row>
    <row r="26" spans="1:19" ht="14.25" customHeight="1" thickBot="1">
      <c r="A26" s="2938" t="s">
        <v>184</v>
      </c>
      <c r="B26" s="2939" t="s">
        <v>244</v>
      </c>
      <c r="C26" s="2938">
        <v>31690</v>
      </c>
      <c r="D26" s="2938">
        <v>27650</v>
      </c>
      <c r="E26" s="2938">
        <v>28200</v>
      </c>
      <c r="F26" s="2938"/>
      <c r="G26" s="2938">
        <v>20110</v>
      </c>
      <c r="K26" s="2944" t="s">
        <v>2937</v>
      </c>
      <c r="L26" s="2938" t="s">
        <v>2938</v>
      </c>
      <c r="M26" s="2938" t="s">
        <v>287</v>
      </c>
      <c r="N26" s="2938" t="s">
        <v>294</v>
      </c>
      <c r="O26" s="2938" t="s">
        <v>2939</v>
      </c>
      <c r="P26" s="2938" t="s">
        <v>2940</v>
      </c>
      <c r="Q26" s="2947" t="s">
        <v>276</v>
      </c>
      <c r="R26" s="2938" t="s">
        <v>2941</v>
      </c>
    </row>
    <row r="27" spans="1:19" ht="14.25" customHeight="1">
      <c r="A27" s="2938" t="s">
        <v>184</v>
      </c>
      <c r="B27" s="2939" t="s">
        <v>251</v>
      </c>
      <c r="C27" s="2938">
        <v>29610</v>
      </c>
      <c r="D27" s="2938">
        <v>27770</v>
      </c>
      <c r="E27" s="2938">
        <v>28300</v>
      </c>
      <c r="F27" s="2938"/>
      <c r="G27" s="2938">
        <v>20210</v>
      </c>
      <c r="L27" s="2938" t="s">
        <v>2942</v>
      </c>
      <c r="M27" s="2938" t="s">
        <v>291</v>
      </c>
      <c r="N27" s="2938" t="s">
        <v>297</v>
      </c>
      <c r="O27" s="2938" t="s">
        <v>2943</v>
      </c>
      <c r="P27" s="2938" t="s">
        <v>2944</v>
      </c>
      <c r="Q27" s="2938" t="s">
        <v>2945</v>
      </c>
      <c r="R27" s="2938" t="s">
        <v>2946</v>
      </c>
    </row>
    <row r="28" spans="1:19" ht="14.25" customHeight="1">
      <c r="A28" s="2938" t="s">
        <v>184</v>
      </c>
      <c r="B28" s="2939" t="s">
        <v>259</v>
      </c>
      <c r="C28" s="2938"/>
      <c r="D28" s="2938">
        <v>31520</v>
      </c>
      <c r="E28" s="2938">
        <v>31410</v>
      </c>
      <c r="F28" s="2938"/>
      <c r="G28" s="2938">
        <v>22940</v>
      </c>
      <c r="L28" s="2938" t="s">
        <v>2947</v>
      </c>
      <c r="M28" s="2938" t="s">
        <v>2948</v>
      </c>
      <c r="N28" s="2938" t="s">
        <v>2949</v>
      </c>
      <c r="O28" s="2938" t="s">
        <v>2950</v>
      </c>
      <c r="P28" s="2938" t="s">
        <v>2951</v>
      </c>
      <c r="Q28" s="2938" t="s">
        <v>2952</v>
      </c>
      <c r="R28" s="2938" t="s">
        <v>2953</v>
      </c>
    </row>
    <row r="29" spans="1:19" ht="14.25" customHeight="1" thickBot="1">
      <c r="A29" s="2946" t="s">
        <v>184</v>
      </c>
      <c r="B29" s="2948" t="s">
        <v>2920</v>
      </c>
      <c r="C29" s="2949"/>
      <c r="D29" s="2949">
        <v>29460</v>
      </c>
      <c r="E29" s="2949">
        <v>28640</v>
      </c>
      <c r="F29" s="2949"/>
      <c r="G29" s="2949">
        <v>21430</v>
      </c>
      <c r="L29" s="2938" t="s">
        <v>2954</v>
      </c>
      <c r="M29" s="2938" t="s">
        <v>2955</v>
      </c>
      <c r="N29" s="2938" t="s">
        <v>2956</v>
      </c>
      <c r="O29" s="2938" t="s">
        <v>2957</v>
      </c>
      <c r="P29" s="2938" t="s">
        <v>2958</v>
      </c>
      <c r="Q29" s="2938" t="s">
        <v>2959</v>
      </c>
      <c r="R29" s="2938" t="s">
        <v>280</v>
      </c>
    </row>
    <row r="30" spans="1:19" ht="14.25" customHeight="1">
      <c r="A30" s="2943" t="s">
        <v>296</v>
      </c>
      <c r="B30" s="2934" t="s">
        <v>2853</v>
      </c>
      <c r="C30" s="2934">
        <v>26890</v>
      </c>
      <c r="D30" s="2934">
        <v>26770</v>
      </c>
      <c r="E30" s="2934">
        <v>25700</v>
      </c>
      <c r="F30" s="2934">
        <v>8180</v>
      </c>
      <c r="G30" s="2950">
        <v>18740</v>
      </c>
      <c r="L30" s="2938" t="s">
        <v>2960</v>
      </c>
      <c r="M30" s="2938" t="s">
        <v>2961</v>
      </c>
      <c r="N30" s="2938" t="s">
        <v>2962</v>
      </c>
      <c r="O30" s="2938" t="s">
        <v>2963</v>
      </c>
      <c r="P30" s="2938" t="s">
        <v>2964</v>
      </c>
      <c r="Q30" s="2938" t="s">
        <v>2965</v>
      </c>
      <c r="R30" s="2938" t="s">
        <v>2966</v>
      </c>
    </row>
    <row r="31" spans="1:19" ht="14.25" customHeight="1">
      <c r="A31" s="2938" t="s">
        <v>296</v>
      </c>
      <c r="B31" s="2939" t="s">
        <v>129</v>
      </c>
      <c r="C31" s="2938">
        <v>24550</v>
      </c>
      <c r="D31" s="2938">
        <v>23990</v>
      </c>
      <c r="E31" s="2938">
        <v>22930</v>
      </c>
      <c r="F31" s="2938">
        <v>7470</v>
      </c>
      <c r="G31" s="2951">
        <v>16790</v>
      </c>
      <c r="L31" s="2938" t="s">
        <v>2967</v>
      </c>
      <c r="M31" s="2938" t="s">
        <v>2968</v>
      </c>
      <c r="N31" s="2938" t="s">
        <v>2969</v>
      </c>
      <c r="O31" s="2938" t="s">
        <v>2970</v>
      </c>
      <c r="P31" s="2938" t="s">
        <v>2971</v>
      </c>
      <c r="Q31" s="2938" t="s">
        <v>2972</v>
      </c>
      <c r="R31" s="2938" t="s">
        <v>2973</v>
      </c>
    </row>
    <row r="32" spans="1:19" ht="14.25" customHeight="1" thickBot="1">
      <c r="A32" s="2938" t="s">
        <v>296</v>
      </c>
      <c r="B32" s="2939" t="s">
        <v>138</v>
      </c>
      <c r="C32" s="2938">
        <v>27210</v>
      </c>
      <c r="D32" s="2938">
        <v>23240</v>
      </c>
      <c r="E32" s="2938">
        <v>23260</v>
      </c>
      <c r="F32" s="2938">
        <v>7130</v>
      </c>
      <c r="G32" s="2951">
        <v>16270</v>
      </c>
      <c r="L32" s="2938" t="s">
        <v>2974</v>
      </c>
      <c r="M32" s="2938" t="s">
        <v>2975</v>
      </c>
      <c r="N32" s="2938" t="s">
        <v>300</v>
      </c>
      <c r="O32" s="2938" t="s">
        <v>2976</v>
      </c>
      <c r="P32" s="2938" t="s">
        <v>299</v>
      </c>
      <c r="Q32" s="2938" t="s">
        <v>2977</v>
      </c>
      <c r="R32" s="2945" t="s">
        <v>2978</v>
      </c>
    </row>
    <row r="33" spans="1:17" ht="14.25" customHeight="1" thickBot="1">
      <c r="A33" s="2938" t="s">
        <v>296</v>
      </c>
      <c r="B33" s="2939" t="s">
        <v>147</v>
      </c>
      <c r="C33" s="2938">
        <v>27300</v>
      </c>
      <c r="D33" s="2938">
        <v>22980</v>
      </c>
      <c r="E33" s="2938">
        <v>24260</v>
      </c>
      <c r="F33" s="2938">
        <v>5860</v>
      </c>
      <c r="G33" s="2951">
        <v>16090</v>
      </c>
      <c r="L33" s="2945" t="s">
        <v>2979</v>
      </c>
      <c r="M33" s="2938" t="s">
        <v>2980</v>
      </c>
      <c r="N33" s="2938" t="s">
        <v>301</v>
      </c>
      <c r="O33" s="2938" t="s">
        <v>2981</v>
      </c>
      <c r="P33" s="2938" t="s">
        <v>2982</v>
      </c>
      <c r="Q33" s="2938" t="s">
        <v>2983</v>
      </c>
    </row>
    <row r="34" spans="1:17" ht="14.25" customHeight="1">
      <c r="A34" s="2938" t="s">
        <v>296</v>
      </c>
      <c r="B34" s="2939" t="s">
        <v>156</v>
      </c>
      <c r="C34" s="2938">
        <v>23090</v>
      </c>
      <c r="D34" s="2938">
        <v>23390</v>
      </c>
      <c r="E34" s="2938">
        <v>23510</v>
      </c>
      <c r="F34" s="2938">
        <v>6700</v>
      </c>
      <c r="G34" s="2951">
        <v>16370</v>
      </c>
      <c r="M34" s="2938" t="s">
        <v>2984</v>
      </c>
      <c r="N34" s="2938" t="s">
        <v>302</v>
      </c>
      <c r="O34" s="2938" t="s">
        <v>2985</v>
      </c>
      <c r="P34" s="2938" t="s">
        <v>2986</v>
      </c>
      <c r="Q34" s="2938" t="s">
        <v>2987</v>
      </c>
    </row>
    <row r="35" spans="1:17" ht="14.25" customHeight="1">
      <c r="A35" s="2938" t="s">
        <v>296</v>
      </c>
      <c r="B35" s="2939" t="s">
        <v>163</v>
      </c>
      <c r="C35" s="2938">
        <v>27270</v>
      </c>
      <c r="D35" s="2938">
        <v>24270</v>
      </c>
      <c r="E35" s="2938">
        <v>24950</v>
      </c>
      <c r="F35" s="2938">
        <v>6600</v>
      </c>
      <c r="G35" s="2951">
        <v>16990</v>
      </c>
      <c r="M35" s="2938" t="s">
        <v>2988</v>
      </c>
      <c r="N35" s="2938" t="s">
        <v>2989</v>
      </c>
      <c r="O35" s="2938" t="s">
        <v>2990</v>
      </c>
      <c r="P35" s="2938" t="s">
        <v>2991</v>
      </c>
      <c r="Q35" s="2938" t="s">
        <v>2992</v>
      </c>
    </row>
    <row r="36" spans="1:17" ht="14.25" customHeight="1">
      <c r="A36" s="2938" t="s">
        <v>296</v>
      </c>
      <c r="B36" s="2939" t="s">
        <v>169</v>
      </c>
      <c r="C36" s="2938">
        <v>23490</v>
      </c>
      <c r="D36" s="2938">
        <v>23020</v>
      </c>
      <c r="E36" s="2938">
        <v>25230</v>
      </c>
      <c r="F36" s="2938">
        <v>6780</v>
      </c>
      <c r="G36" s="2951">
        <v>16120</v>
      </c>
      <c r="M36" s="2938" t="s">
        <v>2993</v>
      </c>
      <c r="N36" s="2938" t="s">
        <v>2994</v>
      </c>
      <c r="O36" s="2938" t="s">
        <v>2995</v>
      </c>
      <c r="P36" s="2938" t="s">
        <v>2996</v>
      </c>
      <c r="Q36" s="2938" t="s">
        <v>2997</v>
      </c>
    </row>
    <row r="37" spans="1:17" ht="14.25" customHeight="1">
      <c r="A37" s="2938" t="s">
        <v>296</v>
      </c>
      <c r="B37" s="2939" t="s">
        <v>176</v>
      </c>
      <c r="C37" s="2938">
        <v>24380</v>
      </c>
      <c r="D37" s="2938">
        <v>22240</v>
      </c>
      <c r="E37" s="2938">
        <v>25980</v>
      </c>
      <c r="F37" s="2938">
        <v>8160</v>
      </c>
      <c r="G37" s="2951">
        <v>15570</v>
      </c>
      <c r="M37" s="2938" t="s">
        <v>2998</v>
      </c>
      <c r="N37" s="2938" t="s">
        <v>2999</v>
      </c>
      <c r="O37" s="2938" t="s">
        <v>3000</v>
      </c>
      <c r="P37" s="2938" t="s">
        <v>3001</v>
      </c>
      <c r="Q37" s="2938" t="s">
        <v>3002</v>
      </c>
    </row>
    <row r="38" spans="1:17" ht="14.25" customHeight="1">
      <c r="A38" s="2938" t="s">
        <v>296</v>
      </c>
      <c r="B38" s="2939" t="s">
        <v>186</v>
      </c>
      <c r="C38" s="2938">
        <v>23120</v>
      </c>
      <c r="D38" s="2938">
        <v>24630</v>
      </c>
      <c r="E38" s="2938">
        <v>25030</v>
      </c>
      <c r="F38" s="2938">
        <v>7710</v>
      </c>
      <c r="G38" s="2951">
        <v>17240</v>
      </c>
      <c r="M38" s="2938" t="s">
        <v>3003</v>
      </c>
      <c r="N38" s="2938" t="s">
        <v>3004</v>
      </c>
      <c r="O38" s="2938" t="s">
        <v>3005</v>
      </c>
      <c r="P38" s="2938" t="s">
        <v>3006</v>
      </c>
      <c r="Q38" s="2938" t="s">
        <v>3007</v>
      </c>
    </row>
    <row r="39" spans="1:17" ht="14.25" customHeight="1">
      <c r="A39" s="2938" t="s">
        <v>296</v>
      </c>
      <c r="B39" s="2939" t="s">
        <v>195</v>
      </c>
      <c r="C39" s="2938">
        <v>22330</v>
      </c>
      <c r="D39" s="2938">
        <v>21140</v>
      </c>
      <c r="E39" s="2938">
        <v>23970</v>
      </c>
      <c r="F39" s="2938">
        <v>7940</v>
      </c>
      <c r="G39" s="2951">
        <v>14790</v>
      </c>
      <c r="M39" s="2938" t="s">
        <v>3008</v>
      </c>
      <c r="N39" s="2938" t="s">
        <v>3009</v>
      </c>
      <c r="O39" s="2938" t="s">
        <v>3010</v>
      </c>
      <c r="P39" s="2938" t="s">
        <v>3011</v>
      </c>
      <c r="Q39" s="2938" t="s">
        <v>3012</v>
      </c>
    </row>
    <row r="40" spans="1:17" ht="14.25" customHeight="1">
      <c r="A40" s="2938" t="s">
        <v>296</v>
      </c>
      <c r="B40" s="2939" t="s">
        <v>202</v>
      </c>
      <c r="C40" s="2938">
        <v>24740</v>
      </c>
      <c r="D40" s="2938">
        <v>24690</v>
      </c>
      <c r="E40" s="2938">
        <v>22610</v>
      </c>
      <c r="F40" s="2938"/>
      <c r="G40" s="2951">
        <v>17280</v>
      </c>
      <c r="M40" s="2938" t="s">
        <v>3013</v>
      </c>
      <c r="N40" s="2938" t="s">
        <v>3014</v>
      </c>
      <c r="O40" s="2938" t="s">
        <v>3015</v>
      </c>
      <c r="P40" s="2938" t="s">
        <v>3016</v>
      </c>
      <c r="Q40" s="2938" t="s">
        <v>3017</v>
      </c>
    </row>
    <row r="41" spans="1:17" ht="14.25" customHeight="1" thickBot="1">
      <c r="A41" s="2938" t="s">
        <v>296</v>
      </c>
      <c r="B41" s="2939" t="s">
        <v>209</v>
      </c>
      <c r="C41" s="2938">
        <v>21220</v>
      </c>
      <c r="D41" s="2938">
        <v>21120</v>
      </c>
      <c r="E41" s="2938">
        <v>22590</v>
      </c>
      <c r="F41" s="2938"/>
      <c r="G41" s="2951">
        <v>14780</v>
      </c>
      <c r="M41" s="2945" t="s">
        <v>3018</v>
      </c>
      <c r="N41" s="2938" t="s">
        <v>3019</v>
      </c>
      <c r="O41" s="2938" t="s">
        <v>3020</v>
      </c>
      <c r="P41" s="2938" t="s">
        <v>3021</v>
      </c>
      <c r="Q41" s="2938" t="s">
        <v>3022</v>
      </c>
    </row>
    <row r="42" spans="1:17" ht="14.25" customHeight="1">
      <c r="A42" s="2938" t="s">
        <v>296</v>
      </c>
      <c r="B42" s="2939" t="s">
        <v>215</v>
      </c>
      <c r="C42" s="2938">
        <v>24800</v>
      </c>
      <c r="D42" s="2938">
        <v>22280</v>
      </c>
      <c r="E42" s="2938">
        <v>24350</v>
      </c>
      <c r="F42" s="2938"/>
      <c r="G42" s="2951">
        <v>15590</v>
      </c>
      <c r="N42" s="2938" t="s">
        <v>3023</v>
      </c>
      <c r="O42" s="2938" t="s">
        <v>3024</v>
      </c>
      <c r="P42" s="2938" t="s">
        <v>3025</v>
      </c>
      <c r="Q42" s="2938" t="s">
        <v>3026</v>
      </c>
    </row>
    <row r="43" spans="1:17" ht="14.25" customHeight="1">
      <c r="A43" s="2938" t="s">
        <v>3027</v>
      </c>
      <c r="B43" s="2939" t="s">
        <v>223</v>
      </c>
      <c r="C43" s="2938">
        <v>21210</v>
      </c>
      <c r="D43" s="2938">
        <v>21160</v>
      </c>
      <c r="E43" s="2938">
        <v>22650</v>
      </c>
      <c r="F43" s="2938"/>
      <c r="G43" s="2951">
        <v>14800</v>
      </c>
      <c r="N43" s="2938" t="s">
        <v>3028</v>
      </c>
      <c r="O43" s="2938" t="s">
        <v>3029</v>
      </c>
      <c r="P43" s="2938" t="s">
        <v>3030</v>
      </c>
      <c r="Q43" s="2938" t="s">
        <v>3031</v>
      </c>
    </row>
    <row r="44" spans="1:17" ht="14.25" customHeight="1" thickBot="1">
      <c r="A44" s="2938" t="s">
        <v>296</v>
      </c>
      <c r="B44" s="2939" t="s">
        <v>231</v>
      </c>
      <c r="C44" s="2938">
        <v>22370</v>
      </c>
      <c r="D44" s="2938">
        <v>23140</v>
      </c>
      <c r="E44" s="2938">
        <v>25090</v>
      </c>
      <c r="F44" s="2938"/>
      <c r="G44" s="2951">
        <v>16190</v>
      </c>
      <c r="N44" s="2938" t="s">
        <v>3032</v>
      </c>
      <c r="O44" s="2938" t="s">
        <v>3033</v>
      </c>
      <c r="P44" s="2945" t="s">
        <v>3034</v>
      </c>
      <c r="Q44" s="2938" t="s">
        <v>3035</v>
      </c>
    </row>
    <row r="45" spans="1:17" ht="14.25" customHeight="1" thickBot="1">
      <c r="A45" s="2938" t="s">
        <v>296</v>
      </c>
      <c r="B45" s="2939" t="s">
        <v>236</v>
      </c>
      <c r="C45" s="2938">
        <v>21240</v>
      </c>
      <c r="D45" s="2938">
        <v>27050</v>
      </c>
      <c r="E45" s="2938">
        <v>28000</v>
      </c>
      <c r="F45" s="2938"/>
      <c r="G45" s="2951">
        <v>18940</v>
      </c>
      <c r="N45" s="2938" t="s">
        <v>3036</v>
      </c>
      <c r="O45" s="2945" t="s">
        <v>3037</v>
      </c>
      <c r="Q45" s="2938" t="s">
        <v>3038</v>
      </c>
    </row>
    <row r="46" spans="1:17" ht="14.25" customHeight="1">
      <c r="A46" s="2938" t="s">
        <v>296</v>
      </c>
      <c r="B46" s="2939" t="s">
        <v>245</v>
      </c>
      <c r="C46" s="2938">
        <v>23240</v>
      </c>
      <c r="D46" s="2938">
        <v>23000</v>
      </c>
      <c r="E46" s="2938">
        <v>24980</v>
      </c>
      <c r="F46" s="2938"/>
      <c r="G46" s="2951">
        <v>16100</v>
      </c>
      <c r="N46" s="2938" t="s">
        <v>3039</v>
      </c>
      <c r="Q46" s="2938" t="s">
        <v>3040</v>
      </c>
    </row>
    <row r="47" spans="1:17" ht="14.25" customHeight="1">
      <c r="A47" s="2938" t="s">
        <v>296</v>
      </c>
      <c r="B47" s="2939" t="s">
        <v>252</v>
      </c>
      <c r="C47" s="2938">
        <v>27150</v>
      </c>
      <c r="D47" s="2938">
        <v>23310</v>
      </c>
      <c r="E47" s="2938">
        <v>25150</v>
      </c>
      <c r="F47" s="2938"/>
      <c r="G47" s="2951">
        <v>16310</v>
      </c>
      <c r="N47" s="2938" t="s">
        <v>3041</v>
      </c>
      <c r="Q47" s="2938" t="s">
        <v>3042</v>
      </c>
    </row>
    <row r="48" spans="1:17" ht="14.25" customHeight="1">
      <c r="A48" s="2938" t="s">
        <v>296</v>
      </c>
      <c r="B48" s="2939" t="s">
        <v>260</v>
      </c>
      <c r="C48" s="2938">
        <v>23100</v>
      </c>
      <c r="D48" s="2938">
        <v>21110</v>
      </c>
      <c r="E48" s="2938">
        <v>23080</v>
      </c>
      <c r="F48" s="2938"/>
      <c r="G48" s="2951">
        <v>14780</v>
      </c>
      <c r="N48" s="2938" t="s">
        <v>3043</v>
      </c>
      <c r="Q48" s="2938" t="s">
        <v>3044</v>
      </c>
    </row>
    <row r="49" spans="1:17" ht="14.25" customHeight="1">
      <c r="A49" s="2938" t="s">
        <v>296</v>
      </c>
      <c r="B49" s="2939" t="s">
        <v>267</v>
      </c>
      <c r="C49" s="2938">
        <v>23400</v>
      </c>
      <c r="D49" s="2938">
        <v>22920</v>
      </c>
      <c r="E49" s="2938">
        <v>24900</v>
      </c>
      <c r="F49" s="2938"/>
      <c r="G49" s="2951">
        <v>16040</v>
      </c>
      <c r="N49" s="2938" t="s">
        <v>3045</v>
      </c>
      <c r="Q49" s="2938" t="s">
        <v>3046</v>
      </c>
    </row>
    <row r="50" spans="1:17" ht="14.25" customHeight="1">
      <c r="A50" s="2938" t="s">
        <v>296</v>
      </c>
      <c r="B50" s="2939" t="s">
        <v>2923</v>
      </c>
      <c r="C50" s="2938">
        <v>21200</v>
      </c>
      <c r="D50" s="2938">
        <v>26540</v>
      </c>
      <c r="E50" s="2938">
        <v>23200</v>
      </c>
      <c r="F50" s="2938"/>
      <c r="G50" s="2951">
        <v>18580</v>
      </c>
      <c r="N50" s="2938" t="s">
        <v>3047</v>
      </c>
      <c r="Q50" s="2939" t="s">
        <v>3048</v>
      </c>
    </row>
    <row r="51" spans="1:17" ht="14.25" customHeight="1" thickBot="1">
      <c r="A51" s="2938" t="s">
        <v>296</v>
      </c>
      <c r="B51" s="2939" t="s">
        <v>2925</v>
      </c>
      <c r="C51" s="2938">
        <v>23000</v>
      </c>
      <c r="D51" s="2938">
        <v>23460</v>
      </c>
      <c r="E51" s="2938">
        <v>25290</v>
      </c>
      <c r="F51" s="2938"/>
      <c r="G51" s="2951">
        <v>16420</v>
      </c>
      <c r="N51" s="2938" t="s">
        <v>3049</v>
      </c>
      <c r="Q51" s="2945" t="s">
        <v>3050</v>
      </c>
    </row>
    <row r="52" spans="1:17" ht="14.25" customHeight="1">
      <c r="A52" s="2938" t="s">
        <v>296</v>
      </c>
      <c r="B52" s="2939" t="s">
        <v>2929</v>
      </c>
      <c r="C52" s="2938">
        <v>26660</v>
      </c>
      <c r="D52" s="2938">
        <v>22350</v>
      </c>
      <c r="E52" s="2938">
        <v>22920</v>
      </c>
      <c r="F52" s="2938"/>
      <c r="G52" s="2951">
        <v>15640</v>
      </c>
      <c r="N52" s="2938" t="s">
        <v>3051</v>
      </c>
    </row>
    <row r="53" spans="1:17" ht="14.25" customHeight="1">
      <c r="A53" s="2938" t="s">
        <v>296</v>
      </c>
      <c r="B53" s="2939" t="s">
        <v>2934</v>
      </c>
      <c r="C53" s="2938">
        <v>23580</v>
      </c>
      <c r="D53" s="2938"/>
      <c r="E53" s="2938">
        <v>24280</v>
      </c>
      <c r="F53" s="2938"/>
      <c r="G53" s="2951"/>
      <c r="N53" s="2938" t="s">
        <v>3052</v>
      </c>
    </row>
    <row r="54" spans="1:17" ht="14.25" customHeight="1" thickBot="1">
      <c r="A54" s="2952" t="s">
        <v>296</v>
      </c>
      <c r="B54" s="2944" t="s">
        <v>2937</v>
      </c>
      <c r="C54" s="2945">
        <v>22460</v>
      </c>
      <c r="D54" s="2945"/>
      <c r="E54" s="2945"/>
      <c r="F54" s="2945"/>
      <c r="G54" s="2953"/>
      <c r="N54" s="2938" t="s">
        <v>3053</v>
      </c>
    </row>
    <row r="55" spans="1:17" ht="14.25" customHeight="1">
      <c r="A55" s="2943" t="s">
        <v>110</v>
      </c>
      <c r="B55" s="2934" t="s">
        <v>3054</v>
      </c>
      <c r="C55" s="2938">
        <v>21970</v>
      </c>
      <c r="D55" s="2938">
        <v>20370</v>
      </c>
      <c r="E55" s="2938">
        <v>20180</v>
      </c>
      <c r="F55" s="2938">
        <v>5730</v>
      </c>
      <c r="G55" s="2938">
        <v>13820</v>
      </c>
      <c r="N55" s="2938" t="s">
        <v>3055</v>
      </c>
    </row>
    <row r="56" spans="1:17" ht="14.25" customHeight="1">
      <c r="A56" s="2938" t="s">
        <v>110</v>
      </c>
      <c r="B56" s="2938" t="s">
        <v>130</v>
      </c>
      <c r="C56" s="2938">
        <v>20470</v>
      </c>
      <c r="D56" s="2938">
        <v>20700</v>
      </c>
      <c r="E56" s="2938">
        <v>20380</v>
      </c>
      <c r="F56" s="2938">
        <v>4760</v>
      </c>
      <c r="G56" s="2938">
        <v>14050</v>
      </c>
      <c r="N56" s="2938" t="s">
        <v>3056</v>
      </c>
    </row>
    <row r="57" spans="1:17" ht="14.25" customHeight="1">
      <c r="A57" s="2938" t="s">
        <v>110</v>
      </c>
      <c r="B57" s="2938" t="s">
        <v>139</v>
      </c>
      <c r="C57" s="2938">
        <v>20790</v>
      </c>
      <c r="D57" s="2938">
        <v>21370</v>
      </c>
      <c r="E57" s="2938">
        <v>20890</v>
      </c>
      <c r="F57" s="2938">
        <v>4910</v>
      </c>
      <c r="G57" s="2938">
        <v>14510</v>
      </c>
      <c r="N57" s="2938" t="s">
        <v>3057</v>
      </c>
    </row>
    <row r="58" spans="1:17" ht="14.25" customHeight="1">
      <c r="A58" s="2938" t="s">
        <v>110</v>
      </c>
      <c r="B58" s="2938" t="s">
        <v>148</v>
      </c>
      <c r="C58" s="2938">
        <v>21460</v>
      </c>
      <c r="D58" s="2938">
        <v>20920</v>
      </c>
      <c r="E58" s="2938">
        <v>23410</v>
      </c>
      <c r="F58" s="2938">
        <v>5100</v>
      </c>
      <c r="G58" s="2938">
        <v>14200</v>
      </c>
      <c r="N58" s="2938" t="s">
        <v>3058</v>
      </c>
    </row>
    <row r="59" spans="1:17" ht="14.25" customHeight="1">
      <c r="A59" s="2938" t="s">
        <v>110</v>
      </c>
      <c r="B59" s="2938" t="s">
        <v>157</v>
      </c>
      <c r="C59" s="2938">
        <v>21000</v>
      </c>
      <c r="D59" s="2938">
        <v>21550</v>
      </c>
      <c r="E59" s="2938">
        <v>21150</v>
      </c>
      <c r="F59" s="2938">
        <v>5250</v>
      </c>
      <c r="G59" s="2938">
        <v>14630</v>
      </c>
      <c r="N59" s="2938" t="s">
        <v>3059</v>
      </c>
    </row>
    <row r="60" spans="1:17" ht="14.25" customHeight="1">
      <c r="A60" s="2938" t="s">
        <v>110</v>
      </c>
      <c r="B60" s="2938" t="s">
        <v>164</v>
      </c>
      <c r="C60" s="2938">
        <v>21640</v>
      </c>
      <c r="D60" s="2938">
        <v>21260</v>
      </c>
      <c r="E60" s="2938">
        <v>24040</v>
      </c>
      <c r="F60" s="2938">
        <v>4470</v>
      </c>
      <c r="G60" s="2938">
        <v>14430</v>
      </c>
      <c r="N60" s="2938" t="s">
        <v>3060</v>
      </c>
    </row>
    <row r="61" spans="1:17" ht="14.25" customHeight="1">
      <c r="A61" s="2938" t="s">
        <v>110</v>
      </c>
      <c r="B61" s="2938" t="s">
        <v>170</v>
      </c>
      <c r="C61" s="2938">
        <v>21330</v>
      </c>
      <c r="D61" s="2938">
        <v>18640</v>
      </c>
      <c r="E61" s="2938">
        <v>21190</v>
      </c>
      <c r="F61" s="2938">
        <v>4180</v>
      </c>
      <c r="G61" s="2938">
        <v>12650</v>
      </c>
      <c r="N61" s="2938" t="s">
        <v>3061</v>
      </c>
    </row>
    <row r="62" spans="1:17" ht="14.25" customHeight="1">
      <c r="A62" s="2938" t="s">
        <v>110</v>
      </c>
      <c r="B62" s="2938" t="s">
        <v>177</v>
      </c>
      <c r="C62" s="2938">
        <v>18710</v>
      </c>
      <c r="D62" s="2938">
        <v>19400</v>
      </c>
      <c r="E62" s="2938">
        <v>23750</v>
      </c>
      <c r="F62" s="2938">
        <v>4860</v>
      </c>
      <c r="G62" s="2938">
        <v>13170</v>
      </c>
      <c r="N62" s="2938" t="s">
        <v>3062</v>
      </c>
    </row>
    <row r="63" spans="1:17" ht="14.25" customHeight="1">
      <c r="A63" s="2938" t="s">
        <v>110</v>
      </c>
      <c r="B63" s="2938" t="s">
        <v>187</v>
      </c>
      <c r="C63" s="2938">
        <v>19480</v>
      </c>
      <c r="D63" s="2938">
        <v>16830</v>
      </c>
      <c r="E63" s="2938">
        <v>21590</v>
      </c>
      <c r="F63" s="2938">
        <v>4560</v>
      </c>
      <c r="G63" s="2938">
        <v>11420</v>
      </c>
      <c r="N63" s="2938" t="s">
        <v>3063</v>
      </c>
    </row>
    <row r="64" spans="1:17" ht="14.25" customHeight="1" thickBot="1">
      <c r="A64" s="2938" t="s">
        <v>110</v>
      </c>
      <c r="B64" s="2938" t="s">
        <v>196</v>
      </c>
      <c r="C64" s="2938">
        <v>16920</v>
      </c>
      <c r="D64" s="2938">
        <v>19190</v>
      </c>
      <c r="E64" s="2938">
        <v>22200</v>
      </c>
      <c r="F64" s="2938">
        <v>4390</v>
      </c>
      <c r="G64" s="2938">
        <v>13030</v>
      </c>
      <c r="N64" s="2945" t="s">
        <v>3064</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2935</v>
      </c>
      <c r="C78" s="2938">
        <v>19820</v>
      </c>
      <c r="D78" s="2938">
        <v>19780</v>
      </c>
      <c r="E78" s="2938">
        <v>18560</v>
      </c>
      <c r="F78" s="2938"/>
      <c r="G78" s="2938">
        <v>13430</v>
      </c>
    </row>
    <row r="79" spans="1:7" s="2772" customFormat="1" ht="14.25" customHeight="1">
      <c r="A79" s="2938" t="s">
        <v>110</v>
      </c>
      <c r="B79" s="2938" t="s">
        <v>2938</v>
      </c>
      <c r="C79" s="2938">
        <v>21660</v>
      </c>
      <c r="D79" s="2938">
        <v>18000</v>
      </c>
      <c r="E79" s="2938">
        <v>22570</v>
      </c>
      <c r="F79" s="2938"/>
      <c r="G79" s="2938">
        <v>12220</v>
      </c>
    </row>
    <row r="80" spans="1:7" s="2772" customFormat="1" ht="14.25" customHeight="1">
      <c r="A80" s="2938" t="s">
        <v>110</v>
      </c>
      <c r="B80" s="2938" t="s">
        <v>2942</v>
      </c>
      <c r="C80" s="2938">
        <v>19850</v>
      </c>
      <c r="D80" s="2938"/>
      <c r="E80" s="2938">
        <v>21700</v>
      </c>
      <c r="F80" s="2938"/>
      <c r="G80" s="2938"/>
    </row>
    <row r="81" spans="1:7" s="2772" customFormat="1" ht="14.25" customHeight="1">
      <c r="A81" s="2938" t="s">
        <v>110</v>
      </c>
      <c r="B81" s="2938" t="s">
        <v>2947</v>
      </c>
      <c r="C81" s="2938">
        <v>18080</v>
      </c>
      <c r="D81" s="2938"/>
      <c r="E81" s="2938">
        <v>20900</v>
      </c>
      <c r="F81" s="2938"/>
      <c r="G81" s="2938"/>
    </row>
    <row r="82" spans="1:7" s="2772" customFormat="1" ht="14.25" customHeight="1">
      <c r="A82" s="2938" t="s">
        <v>110</v>
      </c>
      <c r="B82" s="2938" t="s">
        <v>2954</v>
      </c>
      <c r="C82" s="2938"/>
      <c r="D82" s="2938"/>
      <c r="E82" s="2938">
        <v>20840</v>
      </c>
      <c r="F82" s="2938"/>
      <c r="G82" s="2938"/>
    </row>
    <row r="83" spans="1:7" s="2772" customFormat="1" ht="14.25" customHeight="1">
      <c r="A83" s="2938" t="s">
        <v>110</v>
      </c>
      <c r="B83" s="2938" t="s">
        <v>3065</v>
      </c>
      <c r="C83" s="2938"/>
      <c r="D83" s="2938"/>
      <c r="E83" s="2938"/>
      <c r="F83" s="2938">
        <v>4770</v>
      </c>
      <c r="G83" s="2938"/>
    </row>
    <row r="84" spans="1:7" s="2772" customFormat="1" ht="14.25" customHeight="1">
      <c r="A84" s="2938" t="s">
        <v>110</v>
      </c>
      <c r="B84" s="2938" t="s">
        <v>3066</v>
      </c>
      <c r="C84" s="2938"/>
      <c r="D84" s="2938"/>
      <c r="E84" s="2938"/>
      <c r="F84" s="2938">
        <v>4600</v>
      </c>
      <c r="G84" s="2938"/>
    </row>
    <row r="85" spans="1:7" s="2772" customFormat="1" ht="14.25" customHeight="1">
      <c r="A85" s="2938" t="s">
        <v>110</v>
      </c>
      <c r="B85" s="2938" t="s">
        <v>3067</v>
      </c>
      <c r="C85" s="2938"/>
      <c r="D85" s="2938"/>
      <c r="E85" s="2938"/>
      <c r="F85" s="2938">
        <v>4680</v>
      </c>
      <c r="G85" s="2938"/>
    </row>
    <row r="86" spans="1:7" s="2772" customFormat="1" ht="14.25" customHeight="1" thickBot="1">
      <c r="A86" s="2946" t="s">
        <v>110</v>
      </c>
      <c r="B86" s="2948" t="s">
        <v>3068</v>
      </c>
      <c r="C86" s="2949">
        <v>16610</v>
      </c>
      <c r="D86" s="2949">
        <v>16540</v>
      </c>
      <c r="E86" s="2949">
        <v>18850</v>
      </c>
      <c r="F86" s="2949"/>
      <c r="G86" s="2949">
        <v>11220</v>
      </c>
    </row>
    <row r="87" spans="1:7" s="2772" customFormat="1" ht="14.25" customHeight="1">
      <c r="A87" s="2943" t="s">
        <v>303</v>
      </c>
      <c r="B87" s="2934" t="s">
        <v>3069</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2948</v>
      </c>
      <c r="C113" s="2938">
        <v>15520</v>
      </c>
      <c r="D113" s="2938">
        <v>15450</v>
      </c>
      <c r="E113" s="2938"/>
      <c r="F113" s="2938"/>
      <c r="G113" s="2951">
        <v>10210</v>
      </c>
    </row>
    <row r="114" spans="1:7" s="2772" customFormat="1" ht="14.25" customHeight="1">
      <c r="A114" s="2938" t="s">
        <v>303</v>
      </c>
      <c r="B114" s="2938" t="s">
        <v>2955</v>
      </c>
      <c r="C114" s="2938">
        <v>13110</v>
      </c>
      <c r="D114" s="2938">
        <v>13050</v>
      </c>
      <c r="E114" s="2938"/>
      <c r="F114" s="2938"/>
      <c r="G114" s="2951">
        <v>8620</v>
      </c>
    </row>
    <row r="115" spans="1:7" s="2772" customFormat="1" ht="14.25" customHeight="1">
      <c r="A115" s="2938" t="s">
        <v>303</v>
      </c>
      <c r="B115" s="2938" t="s">
        <v>2961</v>
      </c>
      <c r="C115" s="2938">
        <v>12460</v>
      </c>
      <c r="D115" s="2938">
        <v>12390</v>
      </c>
      <c r="E115" s="2938"/>
      <c r="F115" s="2938"/>
      <c r="G115" s="2951">
        <v>8190</v>
      </c>
    </row>
    <row r="116" spans="1:7" s="2772" customFormat="1" ht="14.25" customHeight="1">
      <c r="A116" s="2938" t="s">
        <v>303</v>
      </c>
      <c r="B116" s="2938" t="s">
        <v>2968</v>
      </c>
      <c r="C116" s="2938">
        <v>13580</v>
      </c>
      <c r="D116" s="2938">
        <v>13520</v>
      </c>
      <c r="E116" s="2938"/>
      <c r="F116" s="2938"/>
      <c r="G116" s="2951">
        <v>8930</v>
      </c>
    </row>
    <row r="117" spans="1:7" s="2772" customFormat="1" ht="14.25" customHeight="1">
      <c r="A117" s="2938" t="s">
        <v>303</v>
      </c>
      <c r="B117" s="2938" t="s">
        <v>2975</v>
      </c>
      <c r="C117" s="2938">
        <v>17120</v>
      </c>
      <c r="D117" s="2938">
        <v>17040</v>
      </c>
      <c r="E117" s="2938"/>
      <c r="F117" s="2938"/>
      <c r="G117" s="2951">
        <v>11260</v>
      </c>
    </row>
    <row r="118" spans="1:7" s="2772" customFormat="1" ht="14.25" customHeight="1">
      <c r="A118" s="2938" t="s">
        <v>303</v>
      </c>
      <c r="B118" s="2938" t="s">
        <v>2980</v>
      </c>
      <c r="C118" s="2938">
        <v>14860</v>
      </c>
      <c r="D118" s="2938">
        <v>14790</v>
      </c>
      <c r="E118" s="2938"/>
      <c r="F118" s="2938"/>
      <c r="G118" s="2951">
        <v>9780</v>
      </c>
    </row>
    <row r="119" spans="1:7" s="2772" customFormat="1" ht="14.25" customHeight="1">
      <c r="A119" s="2938" t="s">
        <v>303</v>
      </c>
      <c r="B119" s="2938" t="s">
        <v>2984</v>
      </c>
      <c r="C119" s="2938">
        <v>16470</v>
      </c>
      <c r="D119" s="2938">
        <v>16400</v>
      </c>
      <c r="E119" s="2938"/>
      <c r="F119" s="2938"/>
      <c r="G119" s="2951">
        <v>10840</v>
      </c>
    </row>
    <row r="120" spans="1:7" s="2772" customFormat="1" ht="14.25" customHeight="1">
      <c r="A120" s="2938" t="s">
        <v>303</v>
      </c>
      <c r="B120" s="2938" t="s">
        <v>3070</v>
      </c>
      <c r="C120" s="2938"/>
      <c r="D120" s="2938"/>
      <c r="E120" s="2938"/>
      <c r="F120" s="2938">
        <v>4160</v>
      </c>
      <c r="G120" s="2951"/>
    </row>
    <row r="121" spans="1:7" s="2772" customFormat="1" ht="14.25" customHeight="1">
      <c r="A121" s="2938" t="s">
        <v>303</v>
      </c>
      <c r="B121" s="2938" t="s">
        <v>3071</v>
      </c>
      <c r="C121" s="2938"/>
      <c r="D121" s="2938"/>
      <c r="E121" s="2938"/>
      <c r="F121" s="2938">
        <v>3880</v>
      </c>
      <c r="G121" s="2951"/>
    </row>
    <row r="122" spans="1:7" s="2772" customFormat="1" ht="14.25" customHeight="1">
      <c r="A122" s="2938" t="s">
        <v>303</v>
      </c>
      <c r="B122" s="2938" t="s">
        <v>3072</v>
      </c>
      <c r="C122" s="2938">
        <v>13750</v>
      </c>
      <c r="D122" s="2938">
        <v>13680</v>
      </c>
      <c r="E122" s="2938">
        <v>16460</v>
      </c>
      <c r="F122" s="2938">
        <v>2880</v>
      </c>
      <c r="G122" s="2951">
        <v>9040</v>
      </c>
    </row>
    <row r="123" spans="1:7" s="2772" customFormat="1" ht="14.25" customHeight="1">
      <c r="A123" s="2938" t="s">
        <v>303</v>
      </c>
      <c r="B123" s="2938" t="s">
        <v>3003</v>
      </c>
      <c r="C123" s="2938">
        <v>13590</v>
      </c>
      <c r="D123" s="2938">
        <v>13520</v>
      </c>
      <c r="E123" s="2938">
        <v>16290</v>
      </c>
      <c r="F123" s="2938">
        <v>2790</v>
      </c>
      <c r="G123" s="2951">
        <v>8930</v>
      </c>
    </row>
    <row r="124" spans="1:7" s="2772" customFormat="1" ht="14.25" customHeight="1">
      <c r="A124" s="2938" t="s">
        <v>303</v>
      </c>
      <c r="B124" s="2938" t="s">
        <v>3008</v>
      </c>
      <c r="C124" s="2938">
        <v>13400</v>
      </c>
      <c r="D124" s="2938">
        <v>13320</v>
      </c>
      <c r="E124" s="2938">
        <v>16100</v>
      </c>
      <c r="F124" s="2938">
        <v>2320</v>
      </c>
      <c r="G124" s="2951">
        <v>8800</v>
      </c>
    </row>
    <row r="125" spans="1:7" s="2772" customFormat="1" ht="14.25" customHeight="1">
      <c r="A125" s="2938" t="s">
        <v>303</v>
      </c>
      <c r="B125" s="2938" t="s">
        <v>3013</v>
      </c>
      <c r="C125" s="2938">
        <v>12860</v>
      </c>
      <c r="D125" s="2938">
        <v>12790</v>
      </c>
      <c r="E125" s="2938">
        <v>15370</v>
      </c>
      <c r="F125" s="2938">
        <v>2280</v>
      </c>
      <c r="G125" s="2951">
        <v>8450</v>
      </c>
    </row>
    <row r="126" spans="1:7" s="2772" customFormat="1" ht="14.25" customHeight="1" thickBot="1">
      <c r="A126" s="2952" t="s">
        <v>303</v>
      </c>
      <c r="B126" s="2945" t="s">
        <v>3018</v>
      </c>
      <c r="C126" s="2945">
        <v>12960</v>
      </c>
      <c r="D126" s="2945">
        <v>12890</v>
      </c>
      <c r="E126" s="2945">
        <v>15530</v>
      </c>
      <c r="F126" s="2945">
        <v>2910</v>
      </c>
      <c r="G126" s="2953">
        <v>8520</v>
      </c>
    </row>
    <row r="127" spans="1:7" s="2772" customFormat="1" ht="14.25" customHeight="1">
      <c r="A127" s="2943" t="s">
        <v>29</v>
      </c>
      <c r="B127" s="2934" t="s">
        <v>3073</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3074</v>
      </c>
      <c r="C148" s="2938">
        <v>10370</v>
      </c>
      <c r="D148" s="2938">
        <v>10310</v>
      </c>
      <c r="E148" s="2938">
        <v>12970</v>
      </c>
      <c r="F148" s="2938"/>
      <c r="G148" s="2938">
        <v>6630</v>
      </c>
    </row>
    <row r="149" spans="1:7" s="2772" customFormat="1" ht="14.25" customHeight="1">
      <c r="A149" s="2938" t="s">
        <v>29</v>
      </c>
      <c r="B149" s="2938" t="s">
        <v>3075</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2949</v>
      </c>
      <c r="C153" s="2938">
        <v>10880</v>
      </c>
      <c r="D153" s="2938">
        <v>10820</v>
      </c>
      <c r="E153" s="2938">
        <v>13660</v>
      </c>
      <c r="F153" s="2938">
        <v>2260</v>
      </c>
      <c r="G153" s="2938">
        <v>6970</v>
      </c>
    </row>
    <row r="154" spans="1:7" s="2772" customFormat="1" ht="14.25" customHeight="1">
      <c r="A154" s="2938" t="s">
        <v>29</v>
      </c>
      <c r="B154" s="2938" t="s">
        <v>3076</v>
      </c>
      <c r="C154" s="2938">
        <v>11220</v>
      </c>
      <c r="D154" s="2938">
        <v>11160</v>
      </c>
      <c r="E154" s="2938">
        <v>14130</v>
      </c>
      <c r="F154" s="2938">
        <v>2230</v>
      </c>
      <c r="G154" s="2938">
        <v>7180</v>
      </c>
    </row>
    <row r="155" spans="1:7" s="2772" customFormat="1" ht="14.25" customHeight="1">
      <c r="A155" s="2938" t="s">
        <v>29</v>
      </c>
      <c r="B155" s="2938" t="s">
        <v>2962</v>
      </c>
      <c r="C155" s="2938">
        <v>10430</v>
      </c>
      <c r="D155" s="2938">
        <v>10380</v>
      </c>
      <c r="E155" s="2938">
        <v>13140</v>
      </c>
      <c r="F155" s="2938">
        <v>2080</v>
      </c>
      <c r="G155" s="2938">
        <v>6650</v>
      </c>
    </row>
    <row r="156" spans="1:7" s="2772" customFormat="1" ht="14.25" customHeight="1">
      <c r="A156" s="2938" t="s">
        <v>29</v>
      </c>
      <c r="B156" s="2938" t="s">
        <v>3077</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3078</v>
      </c>
      <c r="C160" s="2938">
        <v>11180</v>
      </c>
      <c r="D160" s="2938">
        <v>11140</v>
      </c>
      <c r="E160" s="2938">
        <v>14050</v>
      </c>
      <c r="F160" s="2938">
        <v>2270</v>
      </c>
      <c r="G160" s="2938">
        <v>7170</v>
      </c>
    </row>
    <row r="161" spans="1:7" s="2772" customFormat="1" ht="14.25" customHeight="1">
      <c r="A161" s="2938" t="s">
        <v>29</v>
      </c>
      <c r="B161" s="2938" t="s">
        <v>2994</v>
      </c>
      <c r="C161" s="2938">
        <v>11160</v>
      </c>
      <c r="D161" s="2938">
        <v>11120</v>
      </c>
      <c r="E161" s="2938">
        <v>14020</v>
      </c>
      <c r="F161" s="2938">
        <v>2150</v>
      </c>
      <c r="G161" s="2938">
        <v>7160</v>
      </c>
    </row>
    <row r="162" spans="1:7" s="2772" customFormat="1" ht="14.25" customHeight="1">
      <c r="A162" s="2938" t="s">
        <v>29</v>
      </c>
      <c r="B162" s="2938" t="s">
        <v>2999</v>
      </c>
      <c r="C162" s="2938">
        <v>9620</v>
      </c>
      <c r="D162" s="2938">
        <v>9570</v>
      </c>
      <c r="E162" s="2938">
        <v>12320</v>
      </c>
      <c r="F162" s="2938">
        <v>2010</v>
      </c>
      <c r="G162" s="2938">
        <v>6160</v>
      </c>
    </row>
    <row r="163" spans="1:7" s="2772" customFormat="1" ht="14.25" customHeight="1">
      <c r="A163" s="2938" t="s">
        <v>29</v>
      </c>
      <c r="B163" s="2938" t="s">
        <v>3004</v>
      </c>
      <c r="C163" s="2938">
        <v>9320</v>
      </c>
      <c r="D163" s="2938">
        <v>9270</v>
      </c>
      <c r="E163" s="2938">
        <v>11790</v>
      </c>
      <c r="F163" s="2938">
        <v>1920</v>
      </c>
      <c r="G163" s="2938">
        <v>5960</v>
      </c>
    </row>
    <row r="164" spans="1:7" s="2772" customFormat="1" ht="14.25" customHeight="1">
      <c r="A164" s="2938" t="s">
        <v>29</v>
      </c>
      <c r="B164" s="2938" t="s">
        <v>3009</v>
      </c>
      <c r="C164" s="2938"/>
      <c r="D164" s="2938"/>
      <c r="E164" s="2938"/>
      <c r="F164" s="2938">
        <v>1980</v>
      </c>
      <c r="G164" s="2938"/>
    </row>
    <row r="165" spans="1:7" s="2772" customFormat="1" ht="14.25" customHeight="1">
      <c r="A165" s="2938" t="s">
        <v>29</v>
      </c>
      <c r="B165" s="2938" t="s">
        <v>3079</v>
      </c>
      <c r="C165" s="2938">
        <v>11060</v>
      </c>
      <c r="D165" s="2938">
        <v>11030</v>
      </c>
      <c r="E165" s="2938">
        <v>13850</v>
      </c>
      <c r="F165" s="2938">
        <v>2170</v>
      </c>
      <c r="G165" s="2938">
        <v>7090</v>
      </c>
    </row>
    <row r="166" spans="1:7" s="2772" customFormat="1" ht="14.25" customHeight="1">
      <c r="A166" s="2938" t="s">
        <v>29</v>
      </c>
      <c r="B166" s="2938" t="s">
        <v>3019</v>
      </c>
      <c r="C166" s="2938">
        <v>11050</v>
      </c>
      <c r="D166" s="2938">
        <v>11010</v>
      </c>
      <c r="E166" s="2938">
        <v>13920</v>
      </c>
      <c r="F166" s="2938">
        <v>2140</v>
      </c>
      <c r="G166" s="2938">
        <v>7080</v>
      </c>
    </row>
    <row r="167" spans="1:7" s="2772" customFormat="1" ht="14.25" customHeight="1">
      <c r="A167" s="2938" t="s">
        <v>29</v>
      </c>
      <c r="B167" s="2938" t="s">
        <v>3023</v>
      </c>
      <c r="C167" s="2938">
        <v>10930</v>
      </c>
      <c r="D167" s="2938">
        <v>10890</v>
      </c>
      <c r="E167" s="2938">
        <v>13790</v>
      </c>
      <c r="F167" s="2938">
        <v>2010</v>
      </c>
      <c r="G167" s="2938">
        <v>7000</v>
      </c>
    </row>
    <row r="168" spans="1:7" s="2772" customFormat="1" ht="14.25" customHeight="1">
      <c r="A168" s="2938" t="s">
        <v>29</v>
      </c>
      <c r="B168" s="2938" t="s">
        <v>3028</v>
      </c>
      <c r="C168" s="2938">
        <v>9420</v>
      </c>
      <c r="D168" s="2938">
        <v>9380</v>
      </c>
      <c r="E168" s="2938">
        <v>11970</v>
      </c>
      <c r="F168" s="2938"/>
      <c r="G168" s="2938">
        <v>6040</v>
      </c>
    </row>
    <row r="169" spans="1:7" s="2772" customFormat="1" ht="14.25" customHeight="1">
      <c r="A169" s="2938" t="s">
        <v>29</v>
      </c>
      <c r="B169" s="2938" t="s">
        <v>3080</v>
      </c>
      <c r="C169" s="2938"/>
      <c r="D169" s="2938"/>
      <c r="E169" s="2938"/>
      <c r="F169" s="2938">
        <v>2880</v>
      </c>
      <c r="G169" s="2938"/>
    </row>
    <row r="170" spans="1:7" s="2772" customFormat="1" ht="14.25" customHeight="1">
      <c r="A170" s="2938" t="s">
        <v>29</v>
      </c>
      <c r="B170" s="2938" t="s">
        <v>3036</v>
      </c>
      <c r="C170" s="2938"/>
      <c r="D170" s="2938"/>
      <c r="E170" s="2938"/>
      <c r="F170" s="2938">
        <v>2880</v>
      </c>
      <c r="G170" s="2938"/>
    </row>
    <row r="171" spans="1:7" s="2772" customFormat="1" ht="14.25" customHeight="1">
      <c r="A171" s="2938" t="s">
        <v>29</v>
      </c>
      <c r="B171" s="2938" t="s">
        <v>3039</v>
      </c>
      <c r="C171" s="2938"/>
      <c r="D171" s="2938"/>
      <c r="E171" s="2938"/>
      <c r="F171" s="2938">
        <v>2880</v>
      </c>
      <c r="G171" s="2938"/>
    </row>
    <row r="172" spans="1:7" s="2772" customFormat="1" ht="14.25" customHeight="1">
      <c r="A172" s="2938" t="s">
        <v>29</v>
      </c>
      <c r="B172" s="2938" t="s">
        <v>3041</v>
      </c>
      <c r="C172" s="2938"/>
      <c r="D172" s="2938"/>
      <c r="E172" s="2938"/>
      <c r="F172" s="2938">
        <v>2880</v>
      </c>
      <c r="G172" s="2938"/>
    </row>
    <row r="173" spans="1:7" s="2772" customFormat="1" ht="14.25" customHeight="1">
      <c r="A173" s="2938" t="s">
        <v>29</v>
      </c>
      <c r="B173" s="2938" t="s">
        <v>3043</v>
      </c>
      <c r="C173" s="2938"/>
      <c r="D173" s="2938"/>
      <c r="E173" s="2938"/>
      <c r="F173" s="2938">
        <v>2150</v>
      </c>
      <c r="G173" s="2938"/>
    </row>
    <row r="174" spans="1:7" s="2772" customFormat="1" ht="14.25" customHeight="1">
      <c r="A174" s="2938" t="s">
        <v>29</v>
      </c>
      <c r="B174" s="2938" t="s">
        <v>3045</v>
      </c>
      <c r="C174" s="2938"/>
      <c r="D174" s="2938"/>
      <c r="E174" s="2938"/>
      <c r="F174" s="2938">
        <v>2030</v>
      </c>
      <c r="G174" s="2938"/>
    </row>
    <row r="175" spans="1:7" s="2772" customFormat="1" ht="14.25" customHeight="1">
      <c r="A175" s="2938" t="s">
        <v>29</v>
      </c>
      <c r="B175" s="2938" t="s">
        <v>3047</v>
      </c>
      <c r="C175" s="2938"/>
      <c r="D175" s="2938"/>
      <c r="E175" s="2938"/>
      <c r="F175" s="2938">
        <v>2780</v>
      </c>
      <c r="G175" s="2938"/>
    </row>
    <row r="176" spans="1:7" s="2772" customFormat="1" ht="14.25" customHeight="1">
      <c r="A176" s="2938" t="s">
        <v>29</v>
      </c>
      <c r="B176" s="2938" t="s">
        <v>3049</v>
      </c>
      <c r="C176" s="2938"/>
      <c r="D176" s="2938"/>
      <c r="E176" s="2938"/>
      <c r="F176" s="2938">
        <v>2780</v>
      </c>
      <c r="G176" s="2938"/>
    </row>
    <row r="177" spans="1:7" s="2772" customFormat="1" ht="14.25" customHeight="1">
      <c r="A177" s="2938" t="s">
        <v>29</v>
      </c>
      <c r="B177" s="2938" t="s">
        <v>3081</v>
      </c>
      <c r="C177" s="2938"/>
      <c r="D177" s="2938"/>
      <c r="E177" s="2938"/>
      <c r="F177" s="2938">
        <v>2780</v>
      </c>
      <c r="G177" s="2938"/>
    </row>
    <row r="178" spans="1:7" s="2772" customFormat="1" ht="14.25" customHeight="1">
      <c r="A178" s="2938" t="s">
        <v>29</v>
      </c>
      <c r="B178" s="2938" t="s">
        <v>3082</v>
      </c>
      <c r="C178" s="2938"/>
      <c r="D178" s="2938"/>
      <c r="E178" s="2938"/>
      <c r="F178" s="2938">
        <v>2060</v>
      </c>
      <c r="G178" s="2938"/>
    </row>
    <row r="179" spans="1:7" s="2772" customFormat="1" ht="14.25" customHeight="1">
      <c r="A179" s="2938" t="s">
        <v>29</v>
      </c>
      <c r="B179" s="2938" t="s">
        <v>3083</v>
      </c>
      <c r="C179" s="2938"/>
      <c r="D179" s="2938"/>
      <c r="E179" s="2938"/>
      <c r="F179" s="2938">
        <v>2120</v>
      </c>
      <c r="G179" s="2938"/>
    </row>
    <row r="180" spans="1:7" s="2772" customFormat="1" ht="14.25" customHeight="1">
      <c r="A180" s="2938" t="s">
        <v>29</v>
      </c>
      <c r="B180" s="2938" t="s">
        <v>3055</v>
      </c>
      <c r="C180" s="2938"/>
      <c r="D180" s="2938"/>
      <c r="E180" s="2938"/>
      <c r="F180" s="2938">
        <v>2340</v>
      </c>
      <c r="G180" s="2938"/>
    </row>
    <row r="181" spans="1:7" s="2772" customFormat="1" ht="14.25" customHeight="1">
      <c r="A181" s="2938" t="s">
        <v>29</v>
      </c>
      <c r="B181" s="2938" t="s">
        <v>3056</v>
      </c>
      <c r="C181" s="2938"/>
      <c r="D181" s="2938"/>
      <c r="E181" s="2938"/>
      <c r="F181" s="2938">
        <v>2340</v>
      </c>
      <c r="G181" s="2938"/>
    </row>
    <row r="182" spans="1:7" s="2772" customFormat="1" ht="14.25" customHeight="1">
      <c r="A182" s="2938" t="s">
        <v>29</v>
      </c>
      <c r="B182" s="2938" t="s">
        <v>3057</v>
      </c>
      <c r="C182" s="2938"/>
      <c r="D182" s="2938"/>
      <c r="E182" s="2938"/>
      <c r="F182" s="2938">
        <v>2340</v>
      </c>
      <c r="G182" s="2938"/>
    </row>
    <row r="183" spans="1:7" s="2772" customFormat="1" ht="14.25" customHeight="1">
      <c r="A183" s="2938" t="s">
        <v>29</v>
      </c>
      <c r="B183" s="2938" t="s">
        <v>3058</v>
      </c>
      <c r="C183" s="2938"/>
      <c r="D183" s="2938"/>
      <c r="E183" s="2938"/>
      <c r="F183" s="2938">
        <v>2340</v>
      </c>
      <c r="G183" s="2938"/>
    </row>
    <row r="184" spans="1:7" s="2772" customFormat="1" ht="14.25" customHeight="1">
      <c r="A184" s="2938" t="s">
        <v>29</v>
      </c>
      <c r="B184" s="2938" t="s">
        <v>3059</v>
      </c>
      <c r="C184" s="2938"/>
      <c r="D184" s="2938"/>
      <c r="E184" s="2938"/>
      <c r="F184" s="2938">
        <v>2340</v>
      </c>
      <c r="G184" s="2938"/>
    </row>
    <row r="185" spans="1:7" s="2772" customFormat="1" ht="14.25" customHeight="1">
      <c r="A185" s="2938" t="s">
        <v>29</v>
      </c>
      <c r="B185" s="2938" t="s">
        <v>3060</v>
      </c>
      <c r="C185" s="2938"/>
      <c r="D185" s="2938"/>
      <c r="E185" s="2938"/>
      <c r="F185" s="2938">
        <v>2530</v>
      </c>
      <c r="G185" s="2938"/>
    </row>
    <row r="186" spans="1:7" s="2772" customFormat="1" ht="14.25" customHeight="1">
      <c r="A186" s="2938" t="s">
        <v>29</v>
      </c>
      <c r="B186" s="2938" t="s">
        <v>3061</v>
      </c>
      <c r="C186" s="2938"/>
      <c r="D186" s="2938"/>
      <c r="E186" s="2938"/>
      <c r="F186" s="2938">
        <v>2550</v>
      </c>
      <c r="G186" s="2938"/>
    </row>
    <row r="187" spans="1:7" s="2772" customFormat="1" ht="14.25" customHeight="1">
      <c r="A187" s="2938" t="s">
        <v>29</v>
      </c>
      <c r="B187" s="2938" t="s">
        <v>3062</v>
      </c>
      <c r="C187" s="2938"/>
      <c r="D187" s="2938"/>
      <c r="E187" s="2938"/>
      <c r="F187" s="2938">
        <v>2070</v>
      </c>
      <c r="G187" s="2938"/>
    </row>
    <row r="188" spans="1:7" s="2772" customFormat="1" ht="14.25" customHeight="1">
      <c r="A188" s="2938" t="s">
        <v>29</v>
      </c>
      <c r="B188" s="2938" t="s">
        <v>3063</v>
      </c>
      <c r="C188" s="2938"/>
      <c r="D188" s="2938"/>
      <c r="E188" s="2938"/>
      <c r="F188" s="2938">
        <v>2340</v>
      </c>
      <c r="G188" s="2938"/>
    </row>
    <row r="189" spans="1:7" s="2772" customFormat="1" ht="14.25" customHeight="1" thickBot="1">
      <c r="A189" s="2946" t="s">
        <v>29</v>
      </c>
      <c r="B189" s="2949" t="s">
        <v>3064</v>
      </c>
      <c r="C189" s="2949"/>
      <c r="D189" s="2949"/>
      <c r="E189" s="2949"/>
      <c r="F189" s="2949">
        <v>2050</v>
      </c>
      <c r="G189" s="2949"/>
    </row>
    <row r="190" spans="1:7" s="2772" customFormat="1" ht="14.25" customHeight="1">
      <c r="A190" s="2943" t="s">
        <v>304</v>
      </c>
      <c r="B190" s="2934" t="s">
        <v>3084</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3085</v>
      </c>
      <c r="C199" s="2938">
        <v>8690</v>
      </c>
      <c r="D199" s="2938">
        <v>8630</v>
      </c>
      <c r="E199" s="2938">
        <v>11350</v>
      </c>
      <c r="F199" s="2938">
        <v>1600</v>
      </c>
      <c r="G199" s="2951">
        <v>5450</v>
      </c>
    </row>
    <row r="200" spans="1:7" s="2772" customFormat="1" ht="14.25" customHeight="1">
      <c r="A200" s="2938" t="s">
        <v>304</v>
      </c>
      <c r="B200" s="2938" t="s">
        <v>2896</v>
      </c>
      <c r="C200" s="2938"/>
      <c r="D200" s="2938"/>
      <c r="E200" s="2938"/>
      <c r="F200" s="2938">
        <v>1510</v>
      </c>
      <c r="G200" s="2951"/>
    </row>
    <row r="201" spans="1:7" s="2772" customFormat="1" ht="14.25" customHeight="1">
      <c r="A201" s="2938" t="s">
        <v>304</v>
      </c>
      <c r="B201" s="2938" t="s">
        <v>3086</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3087</v>
      </c>
      <c r="C203" s="2938">
        <v>8130</v>
      </c>
      <c r="D203" s="2938">
        <v>8070</v>
      </c>
      <c r="E203" s="2938">
        <v>10820</v>
      </c>
      <c r="F203" s="2938">
        <v>1690</v>
      </c>
      <c r="G203" s="2951">
        <v>5100</v>
      </c>
    </row>
    <row r="204" spans="1:7" s="2772" customFormat="1" ht="14.25" customHeight="1">
      <c r="A204" s="2938" t="s">
        <v>304</v>
      </c>
      <c r="B204" s="2938" t="s">
        <v>2907</v>
      </c>
      <c r="C204" s="2938">
        <v>8350</v>
      </c>
      <c r="D204" s="2938">
        <v>8290</v>
      </c>
      <c r="E204" s="2938">
        <v>11080</v>
      </c>
      <c r="F204" s="2938">
        <v>1450</v>
      </c>
      <c r="G204" s="2951">
        <v>5240</v>
      </c>
    </row>
    <row r="205" spans="1:7" s="2772" customFormat="1" ht="14.25" customHeight="1">
      <c r="A205" s="2938" t="s">
        <v>304</v>
      </c>
      <c r="B205" s="2938" t="s">
        <v>2909</v>
      </c>
      <c r="C205" s="2938">
        <v>7190</v>
      </c>
      <c r="D205" s="2938">
        <v>7130</v>
      </c>
      <c r="E205" s="2938">
        <v>9490</v>
      </c>
      <c r="F205" s="2938">
        <v>1470</v>
      </c>
      <c r="G205" s="2951">
        <v>4510</v>
      </c>
    </row>
    <row r="206" spans="1:7" s="2772" customFormat="1" ht="14.25" customHeight="1">
      <c r="A206" s="2938" t="s">
        <v>304</v>
      </c>
      <c r="B206" s="2938" t="s">
        <v>2912</v>
      </c>
      <c r="C206" s="2938">
        <v>7000</v>
      </c>
      <c r="D206" s="2938">
        <v>6950</v>
      </c>
      <c r="E206" s="2938">
        <v>9170</v>
      </c>
      <c r="F206" s="2938">
        <v>1400</v>
      </c>
      <c r="G206" s="2951">
        <v>4380</v>
      </c>
    </row>
    <row r="207" spans="1:7" s="2772" customFormat="1" ht="14.25" customHeight="1">
      <c r="A207" s="2938" t="s">
        <v>304</v>
      </c>
      <c r="B207" s="2938" t="s">
        <v>2914</v>
      </c>
      <c r="C207" s="2938">
        <v>6950</v>
      </c>
      <c r="D207" s="2938">
        <v>6900</v>
      </c>
      <c r="E207" s="2938">
        <v>9110</v>
      </c>
      <c r="F207" s="2938">
        <v>1790</v>
      </c>
      <c r="G207" s="2951">
        <v>4360</v>
      </c>
    </row>
    <row r="208" spans="1:7" s="2772" customFormat="1" ht="14.25" customHeight="1">
      <c r="A208" s="2938" t="s">
        <v>304</v>
      </c>
      <c r="B208" s="2938" t="s">
        <v>3088</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2924</v>
      </c>
      <c r="C210" s="2938">
        <v>8710</v>
      </c>
      <c r="D210" s="2938">
        <v>8660</v>
      </c>
      <c r="E210" s="2938">
        <v>11440</v>
      </c>
      <c r="F210" s="2938">
        <v>1740</v>
      </c>
      <c r="G210" s="2951">
        <v>5470</v>
      </c>
    </row>
    <row r="211" spans="1:7" s="2772" customFormat="1" ht="14.25" customHeight="1">
      <c r="A211" s="2938" t="s">
        <v>304</v>
      </c>
      <c r="B211" s="2938" t="s">
        <v>3089</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3090</v>
      </c>
      <c r="C214" s="2938">
        <v>8090</v>
      </c>
      <c r="D214" s="2938">
        <v>8030</v>
      </c>
      <c r="E214" s="2938">
        <v>10780</v>
      </c>
      <c r="F214" s="2938">
        <v>1570</v>
      </c>
      <c r="G214" s="2951">
        <v>5070</v>
      </c>
    </row>
    <row r="215" spans="1:7" s="2772" customFormat="1" ht="14.25" customHeight="1">
      <c r="A215" s="2938" t="s">
        <v>304</v>
      </c>
      <c r="B215" s="2938" t="s">
        <v>3091</v>
      </c>
      <c r="C215" s="2938">
        <v>7950</v>
      </c>
      <c r="D215" s="2938">
        <v>7900</v>
      </c>
      <c r="E215" s="2938">
        <v>10560</v>
      </c>
      <c r="F215" s="2938">
        <v>1630</v>
      </c>
      <c r="G215" s="2951">
        <v>4990</v>
      </c>
    </row>
    <row r="216" spans="1:7" s="2772" customFormat="1" ht="14.25" customHeight="1">
      <c r="A216" s="2938" t="s">
        <v>304</v>
      </c>
      <c r="B216" s="2938" t="s">
        <v>3092</v>
      </c>
      <c r="C216" s="2938">
        <v>8490</v>
      </c>
      <c r="D216" s="2938">
        <v>8440</v>
      </c>
      <c r="E216" s="2938">
        <v>11260</v>
      </c>
      <c r="F216" s="2938">
        <v>1690</v>
      </c>
      <c r="G216" s="2951">
        <v>5330</v>
      </c>
    </row>
    <row r="217" spans="1:7" s="2772" customFormat="1" ht="14.25" customHeight="1">
      <c r="A217" s="2938" t="s">
        <v>304</v>
      </c>
      <c r="B217" s="2938" t="s">
        <v>2957</v>
      </c>
      <c r="C217" s="2938">
        <v>8200</v>
      </c>
      <c r="D217" s="2938">
        <v>8150</v>
      </c>
      <c r="E217" s="2938">
        <v>10910</v>
      </c>
      <c r="F217" s="2938">
        <v>1670</v>
      </c>
      <c r="G217" s="2951">
        <v>5150</v>
      </c>
    </row>
    <row r="218" spans="1:7" s="2772" customFormat="1" ht="14.25" customHeight="1">
      <c r="A218" s="2938" t="s">
        <v>304</v>
      </c>
      <c r="B218" s="2938" t="s">
        <v>3093</v>
      </c>
      <c r="C218" s="2938"/>
      <c r="D218" s="2938"/>
      <c r="E218" s="2938"/>
      <c r="F218" s="2938">
        <v>2040</v>
      </c>
      <c r="G218" s="2951"/>
    </row>
    <row r="219" spans="1:7" s="2772" customFormat="1" ht="14.25" customHeight="1">
      <c r="A219" s="2938" t="s">
        <v>304</v>
      </c>
      <c r="B219" s="2938" t="s">
        <v>3094</v>
      </c>
      <c r="C219" s="2938"/>
      <c r="D219" s="2938"/>
      <c r="E219" s="2938"/>
      <c r="F219" s="2938">
        <v>2040</v>
      </c>
      <c r="G219" s="2951"/>
    </row>
    <row r="220" spans="1:7" s="2772" customFormat="1" ht="14.25" customHeight="1">
      <c r="A220" s="2938" t="s">
        <v>304</v>
      </c>
      <c r="B220" s="2938" t="s">
        <v>3095</v>
      </c>
      <c r="C220" s="2938"/>
      <c r="D220" s="2938"/>
      <c r="E220" s="2938"/>
      <c r="F220" s="2938">
        <v>2040</v>
      </c>
      <c r="G220" s="2951"/>
    </row>
    <row r="221" spans="1:7" s="2772" customFormat="1" ht="14.25" customHeight="1">
      <c r="A221" s="2938" t="s">
        <v>304</v>
      </c>
      <c r="B221" s="2938" t="s">
        <v>3096</v>
      </c>
      <c r="C221" s="2938"/>
      <c r="D221" s="2938"/>
      <c r="E221" s="2938"/>
      <c r="F221" s="2938">
        <v>2040</v>
      </c>
      <c r="G221" s="2951"/>
    </row>
    <row r="222" spans="1:7" s="2772" customFormat="1" ht="14.25" customHeight="1">
      <c r="A222" s="2938" t="s">
        <v>304</v>
      </c>
      <c r="B222" s="2938" t="s">
        <v>3097</v>
      </c>
      <c r="C222" s="2938"/>
      <c r="D222" s="2938"/>
      <c r="E222" s="2938"/>
      <c r="F222" s="2938">
        <v>2040</v>
      </c>
      <c r="G222" s="2951"/>
    </row>
    <row r="223" spans="1:7" s="2772" customFormat="1" ht="14.25" customHeight="1">
      <c r="A223" s="2938" t="s">
        <v>304</v>
      </c>
      <c r="B223" s="2938" t="s">
        <v>3098</v>
      </c>
      <c r="C223" s="2938"/>
      <c r="D223" s="2938"/>
      <c r="E223" s="2938"/>
      <c r="F223" s="2938">
        <v>1930</v>
      </c>
      <c r="G223" s="2951"/>
    </row>
    <row r="224" spans="1:7" s="2772" customFormat="1" ht="14.25" customHeight="1">
      <c r="A224" s="2938" t="s">
        <v>304</v>
      </c>
      <c r="B224" s="2938" t="s">
        <v>3099</v>
      </c>
      <c r="C224" s="2938"/>
      <c r="D224" s="2938"/>
      <c r="E224" s="2938"/>
      <c r="F224" s="2938">
        <v>1930</v>
      </c>
      <c r="G224" s="2951"/>
    </row>
    <row r="225" spans="1:7" s="2772" customFormat="1" ht="14.25" customHeight="1">
      <c r="A225" s="2938" t="s">
        <v>304</v>
      </c>
      <c r="B225" s="2938" t="s">
        <v>3100</v>
      </c>
      <c r="C225" s="2938"/>
      <c r="D225" s="2938"/>
      <c r="E225" s="2938"/>
      <c r="F225" s="2938">
        <v>1930</v>
      </c>
      <c r="G225" s="2951"/>
    </row>
    <row r="226" spans="1:7" s="2772" customFormat="1" ht="14.25" customHeight="1">
      <c r="A226" s="2938" t="s">
        <v>304</v>
      </c>
      <c r="B226" s="2938" t="s">
        <v>3101</v>
      </c>
      <c r="C226" s="2938"/>
      <c r="D226" s="2938"/>
      <c r="E226" s="2938"/>
      <c r="F226" s="2938">
        <v>1700</v>
      </c>
      <c r="G226" s="2951"/>
    </row>
    <row r="227" spans="1:7" s="2772" customFormat="1" ht="14.25" customHeight="1">
      <c r="A227" s="2938" t="s">
        <v>304</v>
      </c>
      <c r="B227" s="2938" t="s">
        <v>3102</v>
      </c>
      <c r="C227" s="2938"/>
      <c r="D227" s="2938"/>
      <c r="E227" s="2938"/>
      <c r="F227" s="2938">
        <v>1520</v>
      </c>
      <c r="G227" s="2951"/>
    </row>
    <row r="228" spans="1:7" s="2772" customFormat="1" ht="14.25" customHeight="1">
      <c r="A228" s="2938" t="s">
        <v>304</v>
      </c>
      <c r="B228" s="2938" t="s">
        <v>3103</v>
      </c>
      <c r="C228" s="2938"/>
      <c r="D228" s="2938"/>
      <c r="E228" s="2938"/>
      <c r="F228" s="2938">
        <v>1520</v>
      </c>
      <c r="G228" s="2951"/>
    </row>
    <row r="229" spans="1:7" s="2772" customFormat="1" ht="14.25" customHeight="1">
      <c r="A229" s="2938" t="s">
        <v>304</v>
      </c>
      <c r="B229" s="2938" t="s">
        <v>3020</v>
      </c>
      <c r="C229" s="2938"/>
      <c r="D229" s="2938"/>
      <c r="E229" s="2938"/>
      <c r="F229" s="2938">
        <v>1520</v>
      </c>
      <c r="G229" s="2951"/>
    </row>
    <row r="230" spans="1:7" s="2772" customFormat="1" ht="14.25" customHeight="1">
      <c r="A230" s="2938" t="s">
        <v>304</v>
      </c>
      <c r="B230" s="2938" t="s">
        <v>3104</v>
      </c>
      <c r="C230" s="2938"/>
      <c r="D230" s="2938"/>
      <c r="E230" s="2938"/>
      <c r="F230" s="2938">
        <v>1820</v>
      </c>
      <c r="G230" s="2951"/>
    </row>
    <row r="231" spans="1:7" s="2772" customFormat="1" ht="14.25" customHeight="1">
      <c r="A231" s="2938" t="s">
        <v>304</v>
      </c>
      <c r="B231" s="2938" t="s">
        <v>3105</v>
      </c>
      <c r="C231" s="2938"/>
      <c r="D231" s="2938"/>
      <c r="E231" s="2938"/>
      <c r="F231" s="2938">
        <v>1760</v>
      </c>
      <c r="G231" s="2951"/>
    </row>
    <row r="232" spans="1:7" s="2772" customFormat="1" ht="14.25" customHeight="1">
      <c r="A232" s="2938" t="s">
        <v>304</v>
      </c>
      <c r="B232" s="2938" t="s">
        <v>3106</v>
      </c>
      <c r="C232" s="2938"/>
      <c r="D232" s="2938"/>
      <c r="E232" s="2938"/>
      <c r="F232" s="2938">
        <v>1840</v>
      </c>
      <c r="G232" s="2951"/>
    </row>
    <row r="233" spans="1:7" s="2772" customFormat="1" ht="14.25" customHeight="1" thickBot="1">
      <c r="A233" s="2952" t="s">
        <v>304</v>
      </c>
      <c r="B233" s="2945" t="s">
        <v>3037</v>
      </c>
      <c r="C233" s="2945"/>
      <c r="D233" s="2945"/>
      <c r="E233" s="2945"/>
      <c r="F233" s="2945">
        <v>1770</v>
      </c>
      <c r="G233" s="2953"/>
    </row>
    <row r="234" spans="1:7" s="2772" customFormat="1" ht="14.25" customHeight="1">
      <c r="A234" s="2943" t="s">
        <v>305</v>
      </c>
      <c r="B234" s="2934" t="s">
        <v>3107</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2878</v>
      </c>
      <c r="C238" s="2938">
        <v>6920</v>
      </c>
      <c r="D238" s="2938">
        <v>6890</v>
      </c>
      <c r="E238" s="2938">
        <v>8640</v>
      </c>
      <c r="F238" s="2938">
        <v>1310</v>
      </c>
      <c r="G238" s="2938">
        <v>4230</v>
      </c>
    </row>
    <row r="239" spans="1:7" s="2772" customFormat="1" ht="14.25" customHeight="1">
      <c r="A239" s="2938" t="s">
        <v>305</v>
      </c>
      <c r="B239" s="2938" t="s">
        <v>3108</v>
      </c>
      <c r="C239" s="2938">
        <v>6780</v>
      </c>
      <c r="D239" s="2938">
        <v>6750</v>
      </c>
      <c r="E239" s="2938">
        <v>8440</v>
      </c>
      <c r="F239" s="2938">
        <v>1160</v>
      </c>
      <c r="G239" s="2938">
        <v>4140</v>
      </c>
    </row>
    <row r="240" spans="1:7" s="2772" customFormat="1" ht="14.25" customHeight="1">
      <c r="A240" s="2938" t="s">
        <v>305</v>
      </c>
      <c r="B240" s="2938" t="s">
        <v>3109</v>
      </c>
      <c r="C240" s="2938">
        <v>5420</v>
      </c>
      <c r="D240" s="2938">
        <v>5380</v>
      </c>
      <c r="E240" s="2938">
        <v>6640</v>
      </c>
      <c r="F240" s="2938">
        <v>1020</v>
      </c>
      <c r="G240" s="2938">
        <v>3300</v>
      </c>
    </row>
    <row r="241" spans="1:7" s="2772" customFormat="1" ht="14.25" customHeight="1">
      <c r="A241" s="2938" t="s">
        <v>305</v>
      </c>
      <c r="B241" s="2938" t="s">
        <v>3110</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3111</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3112</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3113</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3114</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3115</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2940</v>
      </c>
      <c r="C258" s="2938">
        <v>6190</v>
      </c>
      <c r="D258" s="2938">
        <v>6160</v>
      </c>
      <c r="E258" s="2938">
        <v>7680</v>
      </c>
      <c r="F258" s="2938">
        <v>1170</v>
      </c>
      <c r="G258" s="2938">
        <v>3780</v>
      </c>
    </row>
    <row r="259" spans="1:7" s="2772" customFormat="1" ht="14.25" customHeight="1">
      <c r="A259" s="2938" t="s">
        <v>305</v>
      </c>
      <c r="B259" s="2938" t="s">
        <v>3116</v>
      </c>
      <c r="C259" s="2938">
        <v>7610</v>
      </c>
      <c r="D259" s="2938">
        <v>7570</v>
      </c>
      <c r="E259" s="2938">
        <v>9350</v>
      </c>
      <c r="F259" s="2938">
        <v>1350</v>
      </c>
      <c r="G259" s="2938">
        <v>4650</v>
      </c>
    </row>
    <row r="260" spans="1:7" s="2772" customFormat="1" ht="14.25" customHeight="1">
      <c r="A260" s="2938" t="s">
        <v>305</v>
      </c>
      <c r="B260" s="2938" t="s">
        <v>3117</v>
      </c>
      <c r="C260" s="2938">
        <v>6920</v>
      </c>
      <c r="D260" s="2938">
        <v>6880</v>
      </c>
      <c r="E260" s="2938">
        <v>8380</v>
      </c>
      <c r="F260" s="2938">
        <v>1160</v>
      </c>
      <c r="G260" s="2938">
        <v>4220</v>
      </c>
    </row>
    <row r="261" spans="1:7" s="2772" customFormat="1" ht="14.25" customHeight="1">
      <c r="A261" s="2938" t="s">
        <v>305</v>
      </c>
      <c r="B261" s="2938" t="s">
        <v>3118</v>
      </c>
      <c r="C261" s="2938">
        <v>6850</v>
      </c>
      <c r="D261" s="2938">
        <v>6810</v>
      </c>
      <c r="E261" s="2938">
        <v>8290</v>
      </c>
      <c r="F261" s="2938">
        <v>1130</v>
      </c>
      <c r="G261" s="2938">
        <v>4180</v>
      </c>
    </row>
    <row r="262" spans="1:7" s="2772" customFormat="1" ht="14.25" customHeight="1">
      <c r="A262" s="2938" t="s">
        <v>305</v>
      </c>
      <c r="B262" s="2938" t="s">
        <v>3119</v>
      </c>
      <c r="C262" s="2938">
        <v>5860</v>
      </c>
      <c r="D262" s="2938">
        <v>5820</v>
      </c>
      <c r="E262" s="2938">
        <v>7640</v>
      </c>
      <c r="F262" s="2938">
        <v>1070</v>
      </c>
      <c r="G262" s="2938">
        <v>3570</v>
      </c>
    </row>
    <row r="263" spans="1:7" s="2772" customFormat="1" ht="14.25" customHeight="1">
      <c r="A263" s="2938" t="s">
        <v>305</v>
      </c>
      <c r="B263" s="2938" t="s">
        <v>3120</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3121</v>
      </c>
      <c r="C265" s="2938"/>
      <c r="D265" s="2938"/>
      <c r="E265" s="2938"/>
      <c r="F265" s="2938">
        <v>1500</v>
      </c>
      <c r="G265" s="2938"/>
    </row>
    <row r="266" spans="1:7" s="2772" customFormat="1" ht="14.25" customHeight="1">
      <c r="A266" s="2938" t="s">
        <v>305</v>
      </c>
      <c r="B266" s="2938" t="s">
        <v>3122</v>
      </c>
      <c r="C266" s="2938"/>
      <c r="D266" s="2938"/>
      <c r="E266" s="2938"/>
      <c r="F266" s="2938">
        <v>1500</v>
      </c>
      <c r="G266" s="2938"/>
    </row>
    <row r="267" spans="1:7" s="2772" customFormat="1" ht="14.25" customHeight="1">
      <c r="A267" s="2938" t="s">
        <v>305</v>
      </c>
      <c r="B267" s="2938" t="s">
        <v>3123</v>
      </c>
      <c r="C267" s="2938"/>
      <c r="D267" s="2938"/>
      <c r="E267" s="2938"/>
      <c r="F267" s="2938">
        <v>1500</v>
      </c>
      <c r="G267" s="2938"/>
    </row>
    <row r="268" spans="1:7" s="2772" customFormat="1" ht="14.25" customHeight="1">
      <c r="A268" s="2938" t="s">
        <v>305</v>
      </c>
      <c r="B268" s="2938" t="s">
        <v>3124</v>
      </c>
      <c r="C268" s="2938"/>
      <c r="D268" s="2938"/>
      <c r="E268" s="2938"/>
      <c r="F268" s="2938">
        <v>1290</v>
      </c>
      <c r="G268" s="2938"/>
    </row>
    <row r="269" spans="1:7" s="2772" customFormat="1" ht="14.25" customHeight="1">
      <c r="A269" s="2938" t="s">
        <v>305</v>
      </c>
      <c r="B269" s="2938" t="s">
        <v>3125</v>
      </c>
      <c r="C269" s="2938"/>
      <c r="D269" s="2938"/>
      <c r="E269" s="2938"/>
      <c r="F269" s="2938">
        <v>1150</v>
      </c>
      <c r="G269" s="2938"/>
    </row>
    <row r="270" spans="1:7" s="2772" customFormat="1" ht="14.25" customHeight="1">
      <c r="A270" s="2938" t="s">
        <v>305</v>
      </c>
      <c r="B270" s="2938" t="s">
        <v>3126</v>
      </c>
      <c r="C270" s="2938"/>
      <c r="D270" s="2938"/>
      <c r="E270" s="2938"/>
      <c r="F270" s="2938">
        <v>1380</v>
      </c>
      <c r="G270" s="2938"/>
    </row>
    <row r="271" spans="1:7" s="2772" customFormat="1" ht="14.25" customHeight="1">
      <c r="A271" s="2938" t="s">
        <v>305</v>
      </c>
      <c r="B271" s="2938" t="s">
        <v>3127</v>
      </c>
      <c r="C271" s="2938"/>
      <c r="D271" s="2938"/>
      <c r="E271" s="2938"/>
      <c r="F271" s="2938">
        <v>1460</v>
      </c>
      <c r="G271" s="2938"/>
    </row>
    <row r="272" spans="1:7" s="2772" customFormat="1" ht="14.25" customHeight="1">
      <c r="A272" s="2938" t="s">
        <v>305</v>
      </c>
      <c r="B272" s="2938" t="s">
        <v>3128</v>
      </c>
      <c r="C272" s="2938"/>
      <c r="D272" s="2938"/>
      <c r="E272" s="2938"/>
      <c r="F272" s="2938">
        <v>1460</v>
      </c>
      <c r="G272" s="2938"/>
    </row>
    <row r="273" spans="1:7" s="2772" customFormat="1" ht="14.25" customHeight="1">
      <c r="A273" s="2938" t="s">
        <v>305</v>
      </c>
      <c r="B273" s="2938" t="s">
        <v>3021</v>
      </c>
      <c r="C273" s="2938"/>
      <c r="D273" s="2938"/>
      <c r="E273" s="2938"/>
      <c r="F273" s="2938">
        <v>1490</v>
      </c>
      <c r="G273" s="2938"/>
    </row>
    <row r="274" spans="1:7" s="2772" customFormat="1" ht="14.25" customHeight="1">
      <c r="A274" s="2938" t="s">
        <v>305</v>
      </c>
      <c r="B274" s="2938" t="s">
        <v>3129</v>
      </c>
      <c r="C274" s="2938"/>
      <c r="D274" s="2938"/>
      <c r="E274" s="2938"/>
      <c r="F274" s="2938">
        <v>1490</v>
      </c>
      <c r="G274" s="2938"/>
    </row>
    <row r="275" spans="1:7" s="2772" customFormat="1" ht="14.25" customHeight="1">
      <c r="A275" s="2938" t="s">
        <v>305</v>
      </c>
      <c r="B275" s="2938" t="s">
        <v>3130</v>
      </c>
      <c r="C275" s="2938"/>
      <c r="D275" s="2938"/>
      <c r="E275" s="2938"/>
      <c r="F275" s="2938">
        <v>1220</v>
      </c>
      <c r="G275" s="2938"/>
    </row>
    <row r="276" spans="1:7" s="2772" customFormat="1" ht="14.25" customHeight="1" thickBot="1">
      <c r="A276" s="2946" t="s">
        <v>305</v>
      </c>
      <c r="B276" s="2948" t="s">
        <v>3131</v>
      </c>
      <c r="C276" s="2949"/>
      <c r="D276" s="2949"/>
      <c r="E276" s="2949"/>
      <c r="F276" s="2949">
        <v>1380</v>
      </c>
      <c r="G276" s="2949"/>
    </row>
    <row r="277" spans="1:7" s="2772" customFormat="1" ht="14.25" customHeight="1">
      <c r="A277" s="2943" t="s">
        <v>306</v>
      </c>
      <c r="B277" s="2934" t="s">
        <v>3132</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3133</v>
      </c>
      <c r="C279" s="2938">
        <v>4760</v>
      </c>
      <c r="D279" s="2938">
        <v>4720</v>
      </c>
      <c r="E279" s="2938">
        <v>5540</v>
      </c>
      <c r="F279" s="2938">
        <v>810</v>
      </c>
      <c r="G279" s="2951">
        <v>2850</v>
      </c>
    </row>
    <row r="280" spans="1:7" s="2772" customFormat="1" ht="14.25" customHeight="1">
      <c r="A280" s="2938" t="s">
        <v>306</v>
      </c>
      <c r="B280" s="2938" t="s">
        <v>3134</v>
      </c>
      <c r="C280" s="2938">
        <v>4010</v>
      </c>
      <c r="D280" s="2938">
        <v>3950</v>
      </c>
      <c r="E280" s="2938">
        <v>4710</v>
      </c>
      <c r="F280" s="2938">
        <v>800</v>
      </c>
      <c r="G280" s="2951">
        <v>2390</v>
      </c>
    </row>
    <row r="281" spans="1:7" s="2772" customFormat="1" ht="14.25" customHeight="1">
      <c r="A281" s="2938" t="s">
        <v>306</v>
      </c>
      <c r="B281" s="2938" t="s">
        <v>3135</v>
      </c>
      <c r="C281" s="2938">
        <v>4480</v>
      </c>
      <c r="D281" s="2938">
        <v>4420</v>
      </c>
      <c r="E281" s="2938">
        <v>5230</v>
      </c>
      <c r="F281" s="2938">
        <v>870</v>
      </c>
      <c r="G281" s="2951">
        <v>2660</v>
      </c>
    </row>
    <row r="282" spans="1:7" s="2772" customFormat="1" ht="14.25" customHeight="1">
      <c r="A282" s="2938" t="s">
        <v>306</v>
      </c>
      <c r="B282" s="2938" t="s">
        <v>3136</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3137</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3138</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2913</v>
      </c>
      <c r="C293" s="2938">
        <v>5320</v>
      </c>
      <c r="D293" s="2938">
        <v>5270</v>
      </c>
      <c r="E293" s="2938">
        <v>6160</v>
      </c>
      <c r="F293" s="2938">
        <v>990</v>
      </c>
      <c r="G293" s="2951">
        <v>3170</v>
      </c>
    </row>
    <row r="294" spans="1:7" s="2772" customFormat="1" ht="14.25" customHeight="1">
      <c r="A294" s="2938" t="s">
        <v>306</v>
      </c>
      <c r="B294" s="2938" t="s">
        <v>3139</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2932</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3140</v>
      </c>
      <c r="C302" s="2938">
        <v>5520</v>
      </c>
      <c r="D302" s="2938">
        <v>5470</v>
      </c>
      <c r="E302" s="2938">
        <v>6410</v>
      </c>
      <c r="F302" s="2938">
        <v>950</v>
      </c>
      <c r="G302" s="2951">
        <v>3300</v>
      </c>
    </row>
    <row r="303" spans="1:7" s="2772" customFormat="1" ht="14.25" customHeight="1">
      <c r="A303" s="2938" t="s">
        <v>306</v>
      </c>
      <c r="B303" s="2938" t="s">
        <v>2952</v>
      </c>
      <c r="C303" s="2938">
        <v>5630</v>
      </c>
      <c r="D303" s="2938">
        <v>5590</v>
      </c>
      <c r="E303" s="2938">
        <v>6550</v>
      </c>
      <c r="F303" s="2938">
        <v>1010</v>
      </c>
      <c r="G303" s="2951">
        <v>3370</v>
      </c>
    </row>
    <row r="304" spans="1:7" s="2772" customFormat="1" ht="14.25" customHeight="1">
      <c r="A304" s="2938" t="s">
        <v>306</v>
      </c>
      <c r="B304" s="2938" t="s">
        <v>2959</v>
      </c>
      <c r="C304" s="2938">
        <v>5680</v>
      </c>
      <c r="D304" s="2938">
        <v>5620</v>
      </c>
      <c r="E304" s="2938">
        <v>6620</v>
      </c>
      <c r="F304" s="2938">
        <v>1050</v>
      </c>
      <c r="G304" s="2951">
        <v>3390</v>
      </c>
    </row>
    <row r="305" spans="1:7" s="2772" customFormat="1" ht="14.25" customHeight="1">
      <c r="A305" s="2938" t="s">
        <v>306</v>
      </c>
      <c r="B305" s="2938" t="s">
        <v>2965</v>
      </c>
      <c r="C305" s="2938">
        <v>5590</v>
      </c>
      <c r="D305" s="2938">
        <v>5530</v>
      </c>
      <c r="E305" s="2938">
        <v>6460</v>
      </c>
      <c r="F305" s="2938">
        <v>900</v>
      </c>
      <c r="G305" s="2951">
        <v>3340</v>
      </c>
    </row>
    <row r="306" spans="1:7" s="2772" customFormat="1" ht="14.25" customHeight="1">
      <c r="A306" s="2938" t="s">
        <v>306</v>
      </c>
      <c r="B306" s="2938" t="s">
        <v>3141</v>
      </c>
      <c r="C306" s="2938">
        <v>5560</v>
      </c>
      <c r="D306" s="2938">
        <v>5510</v>
      </c>
      <c r="E306" s="2938">
        <v>6440</v>
      </c>
      <c r="F306" s="2938">
        <v>900</v>
      </c>
      <c r="G306" s="2951">
        <v>3320</v>
      </c>
    </row>
    <row r="307" spans="1:7" s="2772" customFormat="1" ht="14.25" customHeight="1">
      <c r="A307" s="2938" t="s">
        <v>306</v>
      </c>
      <c r="B307" s="2938" t="s">
        <v>2977</v>
      </c>
      <c r="C307" s="2938">
        <v>5650</v>
      </c>
      <c r="D307" s="2938">
        <v>5600</v>
      </c>
      <c r="E307" s="2938">
        <v>6590</v>
      </c>
      <c r="F307" s="2938">
        <v>930</v>
      </c>
      <c r="G307" s="2951">
        <v>3380</v>
      </c>
    </row>
    <row r="308" spans="1:7" s="2772" customFormat="1" ht="14.25" customHeight="1">
      <c r="A308" s="2938" t="s">
        <v>306</v>
      </c>
      <c r="B308" s="2938" t="s">
        <v>3142</v>
      </c>
      <c r="C308" s="2938">
        <v>5620</v>
      </c>
      <c r="D308" s="2938">
        <v>5580</v>
      </c>
      <c r="E308" s="2938">
        <v>6540</v>
      </c>
      <c r="F308" s="2938">
        <v>910</v>
      </c>
      <c r="G308" s="2951">
        <v>3370</v>
      </c>
    </row>
    <row r="309" spans="1:7" s="2772" customFormat="1" ht="14.25" customHeight="1">
      <c r="A309" s="2938" t="s">
        <v>306</v>
      </c>
      <c r="B309" s="2938" t="s">
        <v>3143</v>
      </c>
      <c r="C309" s="2938">
        <v>5060</v>
      </c>
      <c r="D309" s="2938">
        <v>5020</v>
      </c>
      <c r="E309" s="2938">
        <v>6370</v>
      </c>
      <c r="F309" s="2938">
        <v>800</v>
      </c>
      <c r="G309" s="2951">
        <v>3020</v>
      </c>
    </row>
    <row r="310" spans="1:7" s="2772" customFormat="1" ht="14.25" customHeight="1">
      <c r="A310" s="2938" t="s">
        <v>306</v>
      </c>
      <c r="B310" s="2938" t="s">
        <v>2992</v>
      </c>
      <c r="C310" s="2938">
        <v>5150</v>
      </c>
      <c r="D310" s="2938">
        <v>5110</v>
      </c>
      <c r="E310" s="2938">
        <v>6500</v>
      </c>
      <c r="F310" s="2938">
        <v>880</v>
      </c>
      <c r="G310" s="2951">
        <v>3080</v>
      </c>
    </row>
    <row r="311" spans="1:7" s="2772" customFormat="1" ht="14.25" customHeight="1">
      <c r="A311" s="2938" t="s">
        <v>306</v>
      </c>
      <c r="B311" s="2938" t="s">
        <v>3144</v>
      </c>
      <c r="C311" s="2938">
        <v>4750</v>
      </c>
      <c r="D311" s="2938">
        <v>4710</v>
      </c>
      <c r="E311" s="2938">
        <v>5510</v>
      </c>
      <c r="F311" s="2938">
        <v>880</v>
      </c>
      <c r="G311" s="2951">
        <v>2840</v>
      </c>
    </row>
    <row r="312" spans="1:7" s="2772" customFormat="1" ht="14.25" customHeight="1">
      <c r="A312" s="2938" t="s">
        <v>306</v>
      </c>
      <c r="B312" s="2938" t="s">
        <v>3002</v>
      </c>
      <c r="C312" s="2938">
        <v>4690</v>
      </c>
      <c r="D312" s="2938">
        <v>4640</v>
      </c>
      <c r="E312" s="2938">
        <v>5420</v>
      </c>
      <c r="F312" s="2938">
        <v>800</v>
      </c>
      <c r="G312" s="2951">
        <v>2800</v>
      </c>
    </row>
    <row r="313" spans="1:7" s="2772" customFormat="1" ht="14.25" customHeight="1">
      <c r="A313" s="2938" t="s">
        <v>306</v>
      </c>
      <c r="B313" s="2938" t="s">
        <v>3007</v>
      </c>
      <c r="C313" s="2938">
        <v>4810</v>
      </c>
      <c r="D313" s="2938">
        <v>4760</v>
      </c>
      <c r="E313" s="2938">
        <v>5550</v>
      </c>
      <c r="F313" s="2938">
        <v>920</v>
      </c>
      <c r="G313" s="2951">
        <v>2870</v>
      </c>
    </row>
    <row r="314" spans="1:7" s="2772" customFormat="1" ht="14.25" customHeight="1">
      <c r="A314" s="2938" t="s">
        <v>306</v>
      </c>
      <c r="B314" s="2938" t="s">
        <v>3145</v>
      </c>
      <c r="C314" s="2938"/>
      <c r="D314" s="2938"/>
      <c r="E314" s="2938"/>
      <c r="F314" s="2938">
        <v>1020</v>
      </c>
      <c r="G314" s="2951"/>
    </row>
    <row r="315" spans="1:7" s="2772" customFormat="1" ht="14.25" customHeight="1">
      <c r="A315" s="2938" t="s">
        <v>306</v>
      </c>
      <c r="B315" s="2938" t="s">
        <v>3146</v>
      </c>
      <c r="C315" s="2938"/>
      <c r="D315" s="2938"/>
      <c r="E315" s="2938"/>
      <c r="F315" s="2938">
        <v>1050</v>
      </c>
      <c r="G315" s="2951"/>
    </row>
    <row r="316" spans="1:7" s="2772" customFormat="1" ht="14.25" customHeight="1">
      <c r="A316" s="2938" t="s">
        <v>306</v>
      </c>
      <c r="B316" s="2938" t="s">
        <v>3022</v>
      </c>
      <c r="C316" s="2938"/>
      <c r="D316" s="2938"/>
      <c r="E316" s="2938"/>
      <c r="F316" s="2938">
        <v>900</v>
      </c>
      <c r="G316" s="2951"/>
    </row>
    <row r="317" spans="1:7" s="2772" customFormat="1" ht="14.25" customHeight="1">
      <c r="A317" s="2938" t="s">
        <v>306</v>
      </c>
      <c r="B317" s="2938" t="s">
        <v>3147</v>
      </c>
      <c r="C317" s="2938"/>
      <c r="D317" s="2938"/>
      <c r="E317" s="2938"/>
      <c r="F317" s="2938">
        <v>920</v>
      </c>
      <c r="G317" s="2951"/>
    </row>
    <row r="318" spans="1:7" s="2772" customFormat="1" ht="14.25" customHeight="1">
      <c r="A318" s="2938" t="s">
        <v>306</v>
      </c>
      <c r="B318" s="2938" t="s">
        <v>3148</v>
      </c>
      <c r="C318" s="2938"/>
      <c r="D318" s="2938"/>
      <c r="E318" s="2938"/>
      <c r="F318" s="2938">
        <v>1080</v>
      </c>
      <c r="G318" s="2951"/>
    </row>
    <row r="319" spans="1:7" s="2772" customFormat="1" ht="14.25" customHeight="1">
      <c r="A319" s="2938" t="s">
        <v>306</v>
      </c>
      <c r="B319" s="2938" t="s">
        <v>3035</v>
      </c>
      <c r="C319" s="2938"/>
      <c r="D319" s="2938"/>
      <c r="E319" s="2938"/>
      <c r="F319" s="2938">
        <v>1020</v>
      </c>
      <c r="G319" s="2951"/>
    </row>
    <row r="320" spans="1:7" s="2772" customFormat="1" ht="14.25" customHeight="1">
      <c r="A320" s="2938" t="s">
        <v>306</v>
      </c>
      <c r="B320" s="2938" t="s">
        <v>3038</v>
      </c>
      <c r="C320" s="2938"/>
      <c r="D320" s="2938"/>
      <c r="E320" s="2938"/>
      <c r="F320" s="2938">
        <v>1050</v>
      </c>
      <c r="G320" s="2951"/>
    </row>
    <row r="321" spans="1:7" s="2772" customFormat="1" ht="14.25" customHeight="1">
      <c r="A321" s="2938" t="s">
        <v>306</v>
      </c>
      <c r="B321" s="2938" t="s">
        <v>3040</v>
      </c>
      <c r="C321" s="2938"/>
      <c r="D321" s="2938"/>
      <c r="E321" s="2938"/>
      <c r="F321" s="2938">
        <v>960</v>
      </c>
      <c r="G321" s="2951"/>
    </row>
    <row r="322" spans="1:7" s="2772" customFormat="1" ht="14.25" customHeight="1">
      <c r="A322" s="2938" t="s">
        <v>306</v>
      </c>
      <c r="B322" s="2938" t="s">
        <v>3042</v>
      </c>
      <c r="C322" s="2938"/>
      <c r="D322" s="2938"/>
      <c r="E322" s="2938"/>
      <c r="F322" s="2938">
        <v>960</v>
      </c>
      <c r="G322" s="2951"/>
    </row>
    <row r="323" spans="1:7" s="2772" customFormat="1" ht="14.25" customHeight="1">
      <c r="A323" s="2938" t="s">
        <v>306</v>
      </c>
      <c r="B323" s="2938" t="s">
        <v>3044</v>
      </c>
      <c r="C323" s="2938"/>
      <c r="D323" s="2938"/>
      <c r="E323" s="2938"/>
      <c r="F323" s="2938">
        <v>880</v>
      </c>
      <c r="G323" s="2951"/>
    </row>
    <row r="324" spans="1:7" s="2772" customFormat="1" ht="14.25" customHeight="1">
      <c r="A324" s="2938" t="s">
        <v>306</v>
      </c>
      <c r="B324" s="2938" t="s">
        <v>3046</v>
      </c>
      <c r="C324" s="2938"/>
      <c r="D324" s="2938"/>
      <c r="E324" s="2938"/>
      <c r="F324" s="2938">
        <v>930</v>
      </c>
      <c r="G324" s="2951"/>
    </row>
    <row r="325" spans="1:7" s="2772" customFormat="1" ht="14.25" customHeight="1">
      <c r="A325" s="2938" t="s">
        <v>306</v>
      </c>
      <c r="B325" s="2939" t="s">
        <v>3048</v>
      </c>
      <c r="C325" s="2938"/>
      <c r="D325" s="2938"/>
      <c r="E325" s="2938"/>
      <c r="F325" s="2938">
        <v>900</v>
      </c>
      <c r="G325" s="2951"/>
    </row>
    <row r="326" spans="1:7" s="2772" customFormat="1" ht="14.25" customHeight="1" thickBot="1">
      <c r="A326" s="2952" t="s">
        <v>306</v>
      </c>
      <c r="B326" s="2945" t="s">
        <v>3050</v>
      </c>
      <c r="C326" s="2945"/>
      <c r="D326" s="2945"/>
      <c r="E326" s="2945"/>
      <c r="F326" s="2945">
        <v>790</v>
      </c>
      <c r="G326" s="2953"/>
    </row>
    <row r="327" spans="1:7" s="2772" customFormat="1" ht="14.25" customHeight="1">
      <c r="A327" s="2943" t="s">
        <v>307</v>
      </c>
      <c r="B327" s="2934" t="s">
        <v>3149</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3150</v>
      </c>
      <c r="C329" s="2938">
        <v>2730</v>
      </c>
      <c r="D329" s="2938">
        <v>2690</v>
      </c>
      <c r="E329" s="2938">
        <v>3100</v>
      </c>
      <c r="F329" s="2938">
        <v>660</v>
      </c>
      <c r="G329" s="2938">
        <v>1610</v>
      </c>
    </row>
    <row r="330" spans="1:7" s="2772" customFormat="1" ht="14.25" customHeight="1">
      <c r="A330" s="2938" t="s">
        <v>307</v>
      </c>
      <c r="B330" s="2938" t="s">
        <v>3151</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2884</v>
      </c>
      <c r="C332" s="2938">
        <v>3520</v>
      </c>
      <c r="D332" s="2938">
        <v>3480</v>
      </c>
      <c r="E332" s="2938">
        <v>3830</v>
      </c>
      <c r="F332" s="2938">
        <v>720</v>
      </c>
      <c r="G332" s="2938">
        <v>2090</v>
      </c>
    </row>
    <row r="333" spans="1:7" s="2772" customFormat="1" ht="14.25" customHeight="1">
      <c r="A333" s="2938" t="s">
        <v>307</v>
      </c>
      <c r="B333" s="2938" t="s">
        <v>3152</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2894</v>
      </c>
      <c r="C336" s="2938">
        <v>3570</v>
      </c>
      <c r="D336" s="2938">
        <v>3530</v>
      </c>
      <c r="E336" s="2938">
        <v>3880</v>
      </c>
      <c r="F336" s="2938">
        <v>770</v>
      </c>
      <c r="G336" s="2938">
        <v>2110</v>
      </c>
    </row>
    <row r="337" spans="1:10" s="2772" customFormat="1" ht="14.25" customHeight="1">
      <c r="A337" s="2938" t="s">
        <v>307</v>
      </c>
      <c r="B337" s="2938" t="s">
        <v>3153</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3154</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3155</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2919</v>
      </c>
      <c r="C345" s="2938">
        <v>3190</v>
      </c>
      <c r="D345" s="2938">
        <v>3140</v>
      </c>
      <c r="E345" s="2938">
        <v>3450</v>
      </c>
      <c r="F345" s="2938">
        <v>720</v>
      </c>
      <c r="G345" s="2938">
        <v>1880</v>
      </c>
      <c r="J345" s="2772"/>
    </row>
    <row r="346" spans="1:10">
      <c r="A346" s="2938" t="s">
        <v>307</v>
      </c>
      <c r="B346" s="2938" t="s">
        <v>3156</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2928</v>
      </c>
      <c r="C348" s="2938">
        <v>4000</v>
      </c>
      <c r="D348" s="2938">
        <v>3950</v>
      </c>
      <c r="E348" s="2938">
        <v>4430</v>
      </c>
      <c r="F348" s="2938">
        <v>760</v>
      </c>
      <c r="G348" s="2938">
        <v>2360</v>
      </c>
      <c r="J348" s="2772"/>
    </row>
    <row r="349" spans="1:10">
      <c r="A349" s="2938" t="s">
        <v>307</v>
      </c>
      <c r="B349" s="2938" t="s">
        <v>2933</v>
      </c>
      <c r="C349" s="2938">
        <v>3820</v>
      </c>
      <c r="D349" s="2938">
        <v>3780</v>
      </c>
      <c r="E349" s="2938">
        <v>4170</v>
      </c>
      <c r="F349" s="2938">
        <v>710</v>
      </c>
      <c r="G349" s="2938">
        <v>2260</v>
      </c>
      <c r="J349" s="2772"/>
    </row>
    <row r="350" spans="1:10">
      <c r="A350" s="2938" t="s">
        <v>307</v>
      </c>
      <c r="B350" s="2938" t="s">
        <v>3157</v>
      </c>
      <c r="C350" s="2938">
        <v>3760</v>
      </c>
      <c r="D350" s="2938">
        <v>3730</v>
      </c>
      <c r="E350" s="2938">
        <v>4100</v>
      </c>
      <c r="F350" s="2938">
        <v>800</v>
      </c>
      <c r="G350" s="2938">
        <v>2230</v>
      </c>
      <c r="J350" s="2772"/>
    </row>
    <row r="351" spans="1:10">
      <c r="A351" s="2938" t="s">
        <v>307</v>
      </c>
      <c r="B351" s="2938" t="s">
        <v>2941</v>
      </c>
      <c r="C351" s="2938">
        <v>3610</v>
      </c>
      <c r="D351" s="2938">
        <v>3580</v>
      </c>
      <c r="E351" s="2938">
        <v>3930</v>
      </c>
      <c r="F351" s="2938">
        <v>700</v>
      </c>
      <c r="G351" s="2938">
        <v>2140</v>
      </c>
      <c r="J351" s="2772"/>
    </row>
    <row r="352" spans="1:10">
      <c r="A352" s="2938" t="s">
        <v>307</v>
      </c>
      <c r="B352" s="2938" t="s">
        <v>2946</v>
      </c>
      <c r="C352" s="2938">
        <v>3670</v>
      </c>
      <c r="D352" s="2938">
        <v>3630</v>
      </c>
      <c r="E352" s="2938">
        <v>4000</v>
      </c>
      <c r="F352" s="2938">
        <v>750</v>
      </c>
      <c r="G352" s="2938">
        <v>2180</v>
      </c>
    </row>
    <row r="353" spans="1:7" s="2773" customFormat="1">
      <c r="A353" s="2938" t="s">
        <v>307</v>
      </c>
      <c r="B353" s="2938" t="s">
        <v>3158</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2966</v>
      </c>
      <c r="C355" s="2938">
        <v>3650</v>
      </c>
      <c r="D355" s="2938">
        <v>3610</v>
      </c>
      <c r="E355" s="2938">
        <v>4200</v>
      </c>
      <c r="F355" s="2938">
        <v>640</v>
      </c>
      <c r="G355" s="2938">
        <v>2160</v>
      </c>
    </row>
    <row r="356" spans="1:7" s="2773" customFormat="1">
      <c r="A356" s="2938" t="s">
        <v>307</v>
      </c>
      <c r="B356" s="2938" t="s">
        <v>2973</v>
      </c>
      <c r="C356" s="2938">
        <v>3260</v>
      </c>
      <c r="D356" s="2938">
        <v>3230</v>
      </c>
      <c r="E356" s="2938">
        <v>3740</v>
      </c>
      <c r="F356" s="2938">
        <v>600</v>
      </c>
      <c r="G356" s="2938">
        <v>1930</v>
      </c>
    </row>
    <row r="357" spans="1:7" s="2773" customFormat="1" ht="12" thickBot="1">
      <c r="A357" s="2946" t="s">
        <v>307</v>
      </c>
      <c r="B357" s="2949" t="s">
        <v>3159</v>
      </c>
      <c r="C357" s="2949">
        <v>3690</v>
      </c>
      <c r="D357" s="2949">
        <v>3650</v>
      </c>
      <c r="E357" s="2949">
        <v>4020</v>
      </c>
      <c r="F357" s="2949">
        <v>700</v>
      </c>
      <c r="G357" s="2949">
        <v>2190</v>
      </c>
    </row>
    <row r="358" spans="1:7" s="2773" customFormat="1">
      <c r="A358" s="2943" t="s">
        <v>3160</v>
      </c>
      <c r="B358" s="2934" t="s">
        <v>3161</v>
      </c>
      <c r="C358" s="2934">
        <v>2080</v>
      </c>
      <c r="D358" s="2934">
        <v>2040</v>
      </c>
      <c r="E358" s="2934">
        <v>2010</v>
      </c>
      <c r="F358" s="2934">
        <v>530</v>
      </c>
      <c r="G358" s="2950">
        <v>1230</v>
      </c>
    </row>
    <row r="359" spans="1:7" s="2773" customFormat="1">
      <c r="A359" s="2938" t="s">
        <v>3160</v>
      </c>
      <c r="B359" s="2938" t="s">
        <v>3162</v>
      </c>
      <c r="C359" s="2938">
        <v>1850</v>
      </c>
      <c r="D359" s="2938">
        <v>1820</v>
      </c>
      <c r="E359" s="2938">
        <v>1780</v>
      </c>
      <c r="F359" s="2938">
        <v>520</v>
      </c>
      <c r="G359" s="2951">
        <v>1100</v>
      </c>
    </row>
    <row r="360" spans="1:7" s="2773" customFormat="1">
      <c r="A360" s="2938" t="s">
        <v>3160</v>
      </c>
      <c r="B360" s="2938" t="s">
        <v>3163</v>
      </c>
      <c r="C360" s="2938">
        <v>2020</v>
      </c>
      <c r="D360" s="2938">
        <v>1990</v>
      </c>
      <c r="E360" s="2938">
        <v>1950</v>
      </c>
      <c r="F360" s="2938">
        <v>500</v>
      </c>
      <c r="G360" s="2951">
        <v>1200</v>
      </c>
    </row>
    <row r="361" spans="1:7" s="2773" customFormat="1">
      <c r="A361" s="2938" t="s">
        <v>3160</v>
      </c>
      <c r="B361" s="2938" t="s">
        <v>153</v>
      </c>
      <c r="C361" s="2938">
        <v>2260</v>
      </c>
      <c r="D361" s="2938">
        <v>2220</v>
      </c>
      <c r="E361" s="2938">
        <v>2180</v>
      </c>
      <c r="F361" s="2938">
        <v>580</v>
      </c>
      <c r="G361" s="2951">
        <v>1340</v>
      </c>
    </row>
    <row r="362" spans="1:7" s="2773" customFormat="1">
      <c r="A362" s="2938" t="s">
        <v>3160</v>
      </c>
      <c r="B362" s="2938" t="s">
        <v>3164</v>
      </c>
      <c r="C362" s="2938">
        <v>2650</v>
      </c>
      <c r="D362" s="2938">
        <v>2610</v>
      </c>
      <c r="E362" s="2938">
        <v>2570</v>
      </c>
      <c r="F362" s="2938">
        <v>630</v>
      </c>
      <c r="G362" s="2951">
        <v>1570</v>
      </c>
    </row>
    <row r="363" spans="1:7" s="2773" customFormat="1">
      <c r="A363" s="2938" t="s">
        <v>3160</v>
      </c>
      <c r="B363" s="2938" t="s">
        <v>2885</v>
      </c>
      <c r="C363" s="2938">
        <v>2390</v>
      </c>
      <c r="D363" s="2938">
        <v>2360</v>
      </c>
      <c r="E363" s="2938">
        <v>2320</v>
      </c>
      <c r="F363" s="2938">
        <v>600</v>
      </c>
      <c r="G363" s="2951">
        <v>1420</v>
      </c>
    </row>
    <row r="364" spans="1:7" s="2773" customFormat="1">
      <c r="A364" s="2938" t="s">
        <v>3160</v>
      </c>
      <c r="B364" s="2938" t="s">
        <v>3165</v>
      </c>
      <c r="C364" s="2938">
        <v>2050</v>
      </c>
      <c r="D364" s="2938">
        <v>2030</v>
      </c>
      <c r="E364" s="2938">
        <v>1990</v>
      </c>
      <c r="F364" s="2938">
        <v>550</v>
      </c>
      <c r="G364" s="2951">
        <v>1220</v>
      </c>
    </row>
    <row r="365" spans="1:7" s="2773" customFormat="1">
      <c r="A365" s="2938" t="s">
        <v>3160</v>
      </c>
      <c r="B365" s="2938" t="s">
        <v>200</v>
      </c>
      <c r="C365" s="2938">
        <v>2140</v>
      </c>
      <c r="D365" s="2938">
        <v>2100</v>
      </c>
      <c r="E365" s="2938">
        <v>2060</v>
      </c>
      <c r="F365" s="2938">
        <v>540</v>
      </c>
      <c r="G365" s="2951">
        <v>1270</v>
      </c>
    </row>
    <row r="366" spans="1:7" s="2773" customFormat="1">
      <c r="A366" s="2938" t="s">
        <v>3160</v>
      </c>
      <c r="B366" s="2938" t="s">
        <v>2892</v>
      </c>
      <c r="C366" s="2938">
        <v>2410</v>
      </c>
      <c r="D366" s="2938">
        <v>2370</v>
      </c>
      <c r="E366" s="2938">
        <v>2330</v>
      </c>
      <c r="F366" s="2938">
        <v>570</v>
      </c>
      <c r="G366" s="2951">
        <v>1440</v>
      </c>
    </row>
    <row r="367" spans="1:7" s="2773" customFormat="1">
      <c r="A367" s="2938" t="s">
        <v>3160</v>
      </c>
      <c r="B367" s="2938" t="s">
        <v>3166</v>
      </c>
      <c r="C367" s="2938">
        <v>2300</v>
      </c>
      <c r="D367" s="2938">
        <v>2260</v>
      </c>
      <c r="E367" s="2938">
        <v>2220</v>
      </c>
      <c r="F367" s="2938">
        <v>560</v>
      </c>
      <c r="G367" s="2951">
        <v>1370</v>
      </c>
    </row>
    <row r="368" spans="1:7" s="2773" customFormat="1">
      <c r="A368" s="2938" t="s">
        <v>3160</v>
      </c>
      <c r="B368" s="2938" t="s">
        <v>3167</v>
      </c>
      <c r="C368" s="2938">
        <v>2430</v>
      </c>
      <c r="D368" s="2938">
        <v>2390</v>
      </c>
      <c r="E368" s="2938">
        <v>2350</v>
      </c>
      <c r="F368" s="2938">
        <v>570</v>
      </c>
      <c r="G368" s="2951">
        <v>1450</v>
      </c>
    </row>
    <row r="369" spans="1:7" s="2773" customFormat="1">
      <c r="A369" s="2938" t="s">
        <v>3160</v>
      </c>
      <c r="B369" s="2938" t="s">
        <v>214</v>
      </c>
      <c r="C369" s="2938">
        <v>2320</v>
      </c>
      <c r="D369" s="2938">
        <v>2290</v>
      </c>
      <c r="E369" s="2938">
        <v>2250</v>
      </c>
      <c r="F369" s="2938">
        <v>550</v>
      </c>
      <c r="G369" s="2951">
        <v>1380</v>
      </c>
    </row>
    <row r="370" spans="1:7" s="2773" customFormat="1">
      <c r="A370" s="2938" t="s">
        <v>3160</v>
      </c>
      <c r="B370" s="2938" t="s">
        <v>221</v>
      </c>
      <c r="C370" s="2938">
        <v>2190</v>
      </c>
      <c r="D370" s="2938">
        <v>2170</v>
      </c>
      <c r="E370" s="2938">
        <v>2130</v>
      </c>
      <c r="F370" s="2938">
        <v>530</v>
      </c>
      <c r="G370" s="2951">
        <v>1310</v>
      </c>
    </row>
    <row r="371" spans="1:7" s="2773" customFormat="1">
      <c r="A371" s="2938" t="s">
        <v>3160</v>
      </c>
      <c r="B371" s="2938" t="s">
        <v>229</v>
      </c>
      <c r="C371" s="2938">
        <v>2460</v>
      </c>
      <c r="D371" s="2938">
        <v>2420</v>
      </c>
      <c r="E371" s="2938">
        <v>2370</v>
      </c>
      <c r="F371" s="2938">
        <v>560</v>
      </c>
      <c r="G371" s="2951">
        <v>1470</v>
      </c>
    </row>
    <row r="372" spans="1:7" s="2773" customFormat="1">
      <c r="A372" s="2938" t="s">
        <v>3160</v>
      </c>
      <c r="B372" s="2938" t="s">
        <v>3168</v>
      </c>
      <c r="C372" s="2938">
        <v>2250</v>
      </c>
      <c r="D372" s="2938">
        <v>2210</v>
      </c>
      <c r="E372" s="2938">
        <v>2180</v>
      </c>
      <c r="F372" s="2938">
        <v>550</v>
      </c>
      <c r="G372" s="2951">
        <v>1340</v>
      </c>
    </row>
    <row r="373" spans="1:7" s="2773" customFormat="1">
      <c r="A373" s="2938" t="s">
        <v>3160</v>
      </c>
      <c r="B373" s="2938" t="s">
        <v>258</v>
      </c>
      <c r="C373" s="2938">
        <v>2210</v>
      </c>
      <c r="D373" s="2938">
        <v>2190</v>
      </c>
      <c r="E373" s="2938">
        <v>2150</v>
      </c>
      <c r="F373" s="2938">
        <v>530</v>
      </c>
      <c r="G373" s="2951">
        <v>1320</v>
      </c>
    </row>
    <row r="374" spans="1:7" s="2773" customFormat="1">
      <c r="A374" s="2938" t="s">
        <v>3160</v>
      </c>
      <c r="B374" s="2938" t="s">
        <v>266</v>
      </c>
      <c r="C374" s="2938">
        <v>2320</v>
      </c>
      <c r="D374" s="2938">
        <v>2280</v>
      </c>
      <c r="E374" s="2938">
        <v>2230</v>
      </c>
      <c r="F374" s="2938">
        <v>580</v>
      </c>
      <c r="G374" s="2951">
        <v>1380</v>
      </c>
    </row>
    <row r="375" spans="1:7" s="2773" customFormat="1">
      <c r="A375" s="2938" t="s">
        <v>3160</v>
      </c>
      <c r="B375" s="2938" t="s">
        <v>3169</v>
      </c>
      <c r="C375" s="2938">
        <v>2090</v>
      </c>
      <c r="D375" s="2938">
        <v>2050</v>
      </c>
      <c r="E375" s="2938">
        <v>2020</v>
      </c>
      <c r="F375" s="2938">
        <v>520</v>
      </c>
      <c r="G375" s="2951">
        <v>1240</v>
      </c>
    </row>
    <row r="376" spans="1:7" s="2773" customFormat="1">
      <c r="A376" s="2938" t="s">
        <v>3160</v>
      </c>
      <c r="B376" s="2938" t="s">
        <v>277</v>
      </c>
      <c r="C376" s="2938">
        <v>2010</v>
      </c>
      <c r="D376" s="2938">
        <v>1980</v>
      </c>
      <c r="E376" s="2938">
        <v>1940</v>
      </c>
      <c r="F376" s="2938">
        <v>540</v>
      </c>
      <c r="G376" s="2951">
        <v>1190</v>
      </c>
    </row>
    <row r="377" spans="1:7" s="2773" customFormat="1" ht="12" thickBot="1">
      <c r="A377" s="2946" t="s">
        <v>3160</v>
      </c>
      <c r="B377" s="2949" t="s">
        <v>2922</v>
      </c>
      <c r="C377" s="2949">
        <v>1930</v>
      </c>
      <c r="D377" s="2949">
        <v>1890</v>
      </c>
      <c r="E377" s="2949">
        <v>1860</v>
      </c>
      <c r="F377" s="2949">
        <v>530</v>
      </c>
      <c r="G377" s="2954">
        <v>1150</v>
      </c>
    </row>
    <row r="378" spans="1:7" s="2773" customFormat="1">
      <c r="A378" s="2955" t="s">
        <v>3170</v>
      </c>
      <c r="B378" s="2934" t="s">
        <v>3171</v>
      </c>
      <c r="C378" s="2934">
        <v>1520</v>
      </c>
      <c r="D378" s="2934">
        <v>1490</v>
      </c>
      <c r="E378" s="2934">
        <v>1460</v>
      </c>
      <c r="F378" s="2934">
        <v>460</v>
      </c>
      <c r="G378" s="2950">
        <v>940</v>
      </c>
    </row>
    <row r="379" spans="1:7" s="2773" customFormat="1">
      <c r="A379" s="2956" t="s">
        <v>3170</v>
      </c>
      <c r="B379" s="2938" t="s">
        <v>3172</v>
      </c>
      <c r="C379" s="2938">
        <v>1500</v>
      </c>
      <c r="D379" s="2938">
        <v>1470</v>
      </c>
      <c r="E379" s="2938">
        <v>1430</v>
      </c>
      <c r="F379" s="2938">
        <v>460</v>
      </c>
      <c r="G379" s="2951">
        <v>920</v>
      </c>
    </row>
    <row r="380" spans="1:7" s="2773" customFormat="1">
      <c r="A380" s="2956" t="s">
        <v>3170</v>
      </c>
      <c r="B380" s="2938" t="s">
        <v>3173</v>
      </c>
      <c r="C380" s="2938">
        <v>1620</v>
      </c>
      <c r="D380" s="2938">
        <v>1590</v>
      </c>
      <c r="E380" s="2938">
        <v>1560</v>
      </c>
      <c r="F380" s="2938">
        <v>480</v>
      </c>
      <c r="G380" s="2951">
        <v>1000</v>
      </c>
    </row>
    <row r="381" spans="1:7" s="2773" customFormat="1">
      <c r="A381" s="2956" t="s">
        <v>3170</v>
      </c>
      <c r="B381" s="2938" t="s">
        <v>3174</v>
      </c>
      <c r="C381" s="2938">
        <v>1460</v>
      </c>
      <c r="D381" s="2938">
        <v>1430</v>
      </c>
      <c r="E381" s="2938">
        <v>1390</v>
      </c>
      <c r="F381" s="2938">
        <v>450</v>
      </c>
      <c r="G381" s="2951">
        <v>900</v>
      </c>
    </row>
    <row r="382" spans="1:7" s="2773" customFormat="1">
      <c r="A382" s="2956" t="s">
        <v>3170</v>
      </c>
      <c r="B382" s="2938" t="s">
        <v>3175</v>
      </c>
      <c r="C382" s="2938">
        <v>1310</v>
      </c>
      <c r="D382" s="2938">
        <v>1280</v>
      </c>
      <c r="E382" s="2938">
        <v>1250</v>
      </c>
      <c r="F382" s="2938">
        <v>440</v>
      </c>
      <c r="G382" s="2951">
        <v>800</v>
      </c>
    </row>
    <row r="383" spans="1:7" s="2773" customFormat="1">
      <c r="A383" s="2956" t="s">
        <v>3170</v>
      </c>
      <c r="B383" s="2938" t="s">
        <v>3176</v>
      </c>
      <c r="C383" s="2938">
        <v>1260</v>
      </c>
      <c r="D383" s="2938">
        <v>1230</v>
      </c>
      <c r="E383" s="2938">
        <v>1200</v>
      </c>
      <c r="F383" s="2938">
        <v>420</v>
      </c>
      <c r="G383" s="2951">
        <v>770</v>
      </c>
    </row>
    <row r="384" spans="1:7" s="2773" customFormat="1" ht="12" thickBot="1">
      <c r="A384" s="2957" t="s">
        <v>3170</v>
      </c>
      <c r="B384" s="2945" t="s">
        <v>3177</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497" t="s">
        <v>3178</v>
      </c>
      <c r="B1" s="3497"/>
    </row>
    <row r="2" spans="1:7" ht="14.25" thickBot="1">
      <c r="A2" s="2959"/>
      <c r="B2" s="2959"/>
    </row>
    <row r="3" spans="1:7" ht="14.25" thickBot="1">
      <c r="A3" s="2959"/>
      <c r="B3" s="2959"/>
      <c r="C3" s="2960" t="s">
        <v>2808</v>
      </c>
      <c r="D3" s="2960" t="s">
        <v>2864</v>
      </c>
      <c r="E3" s="2960" t="s">
        <v>2810</v>
      </c>
      <c r="F3" s="2960" t="s">
        <v>2865</v>
      </c>
      <c r="G3" s="2960" t="s">
        <v>2628</v>
      </c>
    </row>
    <row r="4" spans="1:7" ht="14.25" thickBot="1">
      <c r="A4" s="2961" t="s">
        <v>2863</v>
      </c>
      <c r="B4" s="2962" t="s">
        <v>2869</v>
      </c>
      <c r="C4" s="2960"/>
      <c r="D4" s="2960"/>
      <c r="E4" s="2960"/>
      <c r="F4" s="2960"/>
      <c r="G4" s="2960"/>
    </row>
    <row r="5" spans="1:7">
      <c r="A5" s="2963" t="s">
        <v>2837</v>
      </c>
      <c r="B5" s="2964" t="s">
        <v>2851</v>
      </c>
      <c r="C5" s="2965">
        <v>9.8000000000000004E-2</v>
      </c>
      <c r="D5" s="2965">
        <v>8.6999999999999994E-2</v>
      </c>
      <c r="E5" s="2965">
        <v>8.6999999999999994E-2</v>
      </c>
      <c r="F5" s="2965">
        <v>9.8000000000000004E-2</v>
      </c>
      <c r="G5" s="2966">
        <v>9.5000000000000001E-2</v>
      </c>
    </row>
    <row r="6" spans="1:7">
      <c r="A6" s="2967" t="s">
        <v>144</v>
      </c>
      <c r="B6" s="2968" t="s">
        <v>2866</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2852</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2902</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2920</v>
      </c>
      <c r="C29" s="2977"/>
      <c r="D29" s="2973">
        <v>5.1999999999999998E-2</v>
      </c>
      <c r="E29" s="2973">
        <v>7.0000000000000007E-2</v>
      </c>
      <c r="F29" s="2977"/>
      <c r="G29" s="2975">
        <v>7.0999999999999994E-2</v>
      </c>
    </row>
    <row r="30" spans="1:7">
      <c r="A30" s="2978" t="s">
        <v>296</v>
      </c>
      <c r="B30" s="2964" t="s">
        <v>2853</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2839</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2923</v>
      </c>
      <c r="C50" s="2969">
        <v>9.8000000000000004E-2</v>
      </c>
      <c r="D50" s="2969">
        <v>7.2999999999999995E-2</v>
      </c>
      <c r="E50" s="2969">
        <v>7.0999999999999994E-2</v>
      </c>
      <c r="F50" s="2980"/>
      <c r="G50" s="2970">
        <v>7.2999999999999995E-2</v>
      </c>
    </row>
    <row r="51" spans="1:7">
      <c r="A51" s="2979" t="s">
        <v>296</v>
      </c>
      <c r="B51" s="2968" t="s">
        <v>2925</v>
      </c>
      <c r="C51" s="2969">
        <v>9.9000000000000005E-2</v>
      </c>
      <c r="D51" s="2969">
        <v>8.5000000000000006E-2</v>
      </c>
      <c r="E51" s="2969">
        <v>6.3E-2</v>
      </c>
      <c r="F51" s="2980"/>
      <c r="G51" s="2970">
        <v>9.6000000000000002E-2</v>
      </c>
    </row>
    <row r="52" spans="1:7">
      <c r="A52" s="2979" t="s">
        <v>296</v>
      </c>
      <c r="B52" s="2968" t="s">
        <v>2929</v>
      </c>
      <c r="C52" s="2969">
        <v>7.3999999999999996E-2</v>
      </c>
      <c r="D52" s="2969">
        <v>9.6000000000000002E-2</v>
      </c>
      <c r="E52" s="2969">
        <v>0.05</v>
      </c>
      <c r="F52" s="2980"/>
      <c r="G52" s="2970">
        <v>9.8000000000000004E-2</v>
      </c>
    </row>
    <row r="53" spans="1:7">
      <c r="A53" s="2979" t="s">
        <v>296</v>
      </c>
      <c r="B53" s="2968" t="s">
        <v>2934</v>
      </c>
      <c r="C53" s="2969">
        <v>8.5999999999999993E-2</v>
      </c>
      <c r="D53" s="2980"/>
      <c r="E53" s="2969">
        <v>9.1999999999999998E-2</v>
      </c>
      <c r="F53" s="2980"/>
      <c r="G53" s="2981"/>
    </row>
    <row r="54" spans="1:7" ht="14.25" thickBot="1">
      <c r="A54" s="2982" t="s">
        <v>296</v>
      </c>
      <c r="B54" s="2972" t="s">
        <v>2937</v>
      </c>
      <c r="C54" s="2973">
        <v>9.6000000000000002E-2</v>
      </c>
      <c r="D54" s="2974"/>
      <c r="E54" s="2983"/>
      <c r="F54" s="2974"/>
      <c r="G54" s="2984"/>
    </row>
    <row r="55" spans="1:7">
      <c r="A55" s="2978" t="s">
        <v>110</v>
      </c>
      <c r="B55" s="2964" t="s">
        <v>2854</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2935</v>
      </c>
      <c r="C78" s="2969">
        <v>0.1</v>
      </c>
      <c r="D78" s="2969">
        <v>8.5000000000000006E-2</v>
      </c>
      <c r="E78" s="2969">
        <v>9.6000000000000002E-2</v>
      </c>
      <c r="F78" s="2980"/>
      <c r="G78" s="2970">
        <v>9.6000000000000002E-2</v>
      </c>
    </row>
    <row r="79" spans="1:7">
      <c r="A79" s="2979" t="s">
        <v>110</v>
      </c>
      <c r="B79" s="2968" t="s">
        <v>2938</v>
      </c>
      <c r="C79" s="2969">
        <v>0.05</v>
      </c>
      <c r="D79" s="2969">
        <v>9.6000000000000002E-2</v>
      </c>
      <c r="E79" s="2969">
        <v>9.5000000000000001E-2</v>
      </c>
      <c r="F79" s="2980"/>
      <c r="G79" s="2970">
        <v>9.8000000000000004E-2</v>
      </c>
    </row>
    <row r="80" spans="1:7">
      <c r="A80" s="2979" t="s">
        <v>110</v>
      </c>
      <c r="B80" s="2968" t="s">
        <v>2942</v>
      </c>
      <c r="C80" s="2969">
        <v>8.5999999999999993E-2</v>
      </c>
      <c r="D80" s="2985"/>
      <c r="E80" s="2969">
        <v>0.1</v>
      </c>
      <c r="F80" s="2980"/>
      <c r="G80" s="2981"/>
    </row>
    <row r="81" spans="1:7">
      <c r="A81" s="2979" t="s">
        <v>110</v>
      </c>
      <c r="B81" s="2968" t="s">
        <v>2947</v>
      </c>
      <c r="C81" s="2969">
        <v>9.6000000000000002E-2</v>
      </c>
      <c r="D81" s="2980"/>
      <c r="E81" s="2969">
        <v>9.8000000000000004E-2</v>
      </c>
      <c r="F81" s="2980"/>
      <c r="G81" s="2981"/>
    </row>
    <row r="82" spans="1:7">
      <c r="A82" s="2979" t="s">
        <v>110</v>
      </c>
      <c r="B82" s="2968" t="s">
        <v>2954</v>
      </c>
      <c r="C82" s="2985"/>
      <c r="D82" s="2980"/>
      <c r="E82" s="2969">
        <v>7.6999999999999999E-2</v>
      </c>
      <c r="F82" s="2980"/>
      <c r="G82" s="2981"/>
    </row>
    <row r="83" spans="1:7">
      <c r="A83" s="2979" t="s">
        <v>110</v>
      </c>
      <c r="B83" s="2968" t="s">
        <v>2960</v>
      </c>
      <c r="C83" s="2980"/>
      <c r="D83" s="2980"/>
      <c r="E83" s="2980"/>
      <c r="F83" s="2969">
        <v>0.1</v>
      </c>
      <c r="G83" s="2986"/>
    </row>
    <row r="84" spans="1:7">
      <c r="A84" s="2979" t="s">
        <v>110</v>
      </c>
      <c r="B84" s="2968" t="s">
        <v>2967</v>
      </c>
      <c r="C84" s="2980"/>
      <c r="D84" s="2980"/>
      <c r="E84" s="2980"/>
      <c r="F84" s="2969">
        <v>0.1</v>
      </c>
      <c r="G84" s="2986"/>
    </row>
    <row r="85" spans="1:7">
      <c r="A85" s="2979" t="s">
        <v>110</v>
      </c>
      <c r="B85" s="2968" t="s">
        <v>2974</v>
      </c>
      <c r="C85" s="2980"/>
      <c r="D85" s="2980"/>
      <c r="E85" s="2980"/>
      <c r="F85" s="2969">
        <v>0.1</v>
      </c>
      <c r="G85" s="2986"/>
    </row>
    <row r="86" spans="1:7" ht="14.25" thickBot="1">
      <c r="A86" s="2982" t="s">
        <v>110</v>
      </c>
      <c r="B86" s="2972" t="s">
        <v>2979</v>
      </c>
      <c r="C86" s="2973">
        <v>9.8000000000000004E-2</v>
      </c>
      <c r="D86" s="2973">
        <v>9.8000000000000004E-2</v>
      </c>
      <c r="E86" s="2973">
        <v>9.6000000000000002E-2</v>
      </c>
      <c r="F86" s="2983"/>
      <c r="G86" s="2975">
        <v>0.1</v>
      </c>
    </row>
    <row r="87" spans="1:7">
      <c r="A87" s="2978" t="s">
        <v>303</v>
      </c>
      <c r="B87" s="2964" t="s">
        <v>2855</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2948</v>
      </c>
      <c r="C113" s="2969">
        <v>0.1</v>
      </c>
      <c r="D113" s="2969">
        <v>0.1</v>
      </c>
      <c r="E113" s="2980"/>
      <c r="F113" s="2980"/>
      <c r="G113" s="2970">
        <v>0.1</v>
      </c>
    </row>
    <row r="114" spans="1:7">
      <c r="A114" s="2979" t="s">
        <v>303</v>
      </c>
      <c r="B114" s="2968" t="s">
        <v>2955</v>
      </c>
      <c r="C114" s="2969">
        <v>9.7000000000000003E-2</v>
      </c>
      <c r="D114" s="2969">
        <v>9.7000000000000003E-2</v>
      </c>
      <c r="E114" s="2980"/>
      <c r="F114" s="2980"/>
      <c r="G114" s="2970">
        <v>9.9000000000000005E-2</v>
      </c>
    </row>
    <row r="115" spans="1:7">
      <c r="A115" s="2979" t="s">
        <v>303</v>
      </c>
      <c r="B115" s="2968" t="s">
        <v>2961</v>
      </c>
      <c r="C115" s="2969">
        <v>0.1</v>
      </c>
      <c r="D115" s="2969">
        <v>0.1</v>
      </c>
      <c r="E115" s="2980"/>
      <c r="F115" s="2980"/>
      <c r="G115" s="2970">
        <v>0.1</v>
      </c>
    </row>
    <row r="116" spans="1:7">
      <c r="A116" s="2979" t="s">
        <v>303</v>
      </c>
      <c r="B116" s="2968" t="s">
        <v>2968</v>
      </c>
      <c r="C116" s="2969">
        <v>0.1</v>
      </c>
      <c r="D116" s="2969">
        <v>0.1</v>
      </c>
      <c r="E116" s="2980"/>
      <c r="F116" s="2980"/>
      <c r="G116" s="2970">
        <v>0.1</v>
      </c>
    </row>
    <row r="117" spans="1:7">
      <c r="A117" s="2979" t="s">
        <v>303</v>
      </c>
      <c r="B117" s="2968" t="s">
        <v>2975</v>
      </c>
      <c r="C117" s="2969">
        <v>9.7000000000000003E-2</v>
      </c>
      <c r="D117" s="2969">
        <v>9.7000000000000003E-2</v>
      </c>
      <c r="E117" s="2980"/>
      <c r="F117" s="2980"/>
      <c r="G117" s="2970">
        <v>9.7000000000000003E-2</v>
      </c>
    </row>
    <row r="118" spans="1:7">
      <c r="A118" s="2979" t="s">
        <v>303</v>
      </c>
      <c r="B118" s="2968" t="s">
        <v>2980</v>
      </c>
      <c r="C118" s="2969">
        <v>0.1</v>
      </c>
      <c r="D118" s="2969">
        <v>0.1</v>
      </c>
      <c r="E118" s="2980"/>
      <c r="F118" s="2980"/>
      <c r="G118" s="2970">
        <v>0.1</v>
      </c>
    </row>
    <row r="119" spans="1:7">
      <c r="A119" s="2979" t="s">
        <v>303</v>
      </c>
      <c r="B119" s="2968" t="s">
        <v>2984</v>
      </c>
      <c r="C119" s="2969">
        <v>5.0999999999999997E-2</v>
      </c>
      <c r="D119" s="2969">
        <v>5.1999999999999998E-2</v>
      </c>
      <c r="E119" s="2980"/>
      <c r="F119" s="2985"/>
      <c r="G119" s="2970">
        <v>0.06</v>
      </c>
    </row>
    <row r="120" spans="1:7">
      <c r="A120" s="2979" t="s">
        <v>303</v>
      </c>
      <c r="B120" s="2968" t="s">
        <v>2988</v>
      </c>
      <c r="C120" s="2980"/>
      <c r="D120" s="2980"/>
      <c r="E120" s="2980"/>
      <c r="F120" s="2969">
        <v>0.1</v>
      </c>
      <c r="G120" s="2986"/>
    </row>
    <row r="121" spans="1:7">
      <c r="A121" s="2979" t="s">
        <v>303</v>
      </c>
      <c r="B121" s="2968" t="s">
        <v>2993</v>
      </c>
      <c r="C121" s="2980"/>
      <c r="D121" s="2980"/>
      <c r="E121" s="2980"/>
      <c r="F121" s="2969">
        <v>0.1</v>
      </c>
      <c r="G121" s="2986"/>
    </row>
    <row r="122" spans="1:7">
      <c r="A122" s="2979" t="s">
        <v>303</v>
      </c>
      <c r="B122" s="2968" t="s">
        <v>2998</v>
      </c>
      <c r="C122" s="2969">
        <v>0.1</v>
      </c>
      <c r="D122" s="2969">
        <v>0.1</v>
      </c>
      <c r="E122" s="2969">
        <v>9.8000000000000004E-2</v>
      </c>
      <c r="F122" s="2969">
        <v>0.1</v>
      </c>
      <c r="G122" s="2970">
        <v>0.1</v>
      </c>
    </row>
    <row r="123" spans="1:7">
      <c r="A123" s="2979" t="s">
        <v>303</v>
      </c>
      <c r="B123" s="2968" t="s">
        <v>3003</v>
      </c>
      <c r="C123" s="2969">
        <v>0.1</v>
      </c>
      <c r="D123" s="2969">
        <v>0.1</v>
      </c>
      <c r="E123" s="2969">
        <v>9.8000000000000004E-2</v>
      </c>
      <c r="F123" s="2969">
        <v>0.1</v>
      </c>
      <c r="G123" s="2970">
        <v>0.1</v>
      </c>
    </row>
    <row r="124" spans="1:7">
      <c r="A124" s="2979" t="s">
        <v>303</v>
      </c>
      <c r="B124" s="2968" t="s">
        <v>3008</v>
      </c>
      <c r="C124" s="2969">
        <v>0.1</v>
      </c>
      <c r="D124" s="2969">
        <v>0.1</v>
      </c>
      <c r="E124" s="2969">
        <v>9.8000000000000004E-2</v>
      </c>
      <c r="F124" s="2985"/>
      <c r="G124" s="2970">
        <v>0.1</v>
      </c>
    </row>
    <row r="125" spans="1:7">
      <c r="A125" s="2979" t="s">
        <v>303</v>
      </c>
      <c r="B125" s="2968" t="s">
        <v>3013</v>
      </c>
      <c r="C125" s="2969">
        <v>9.8000000000000004E-2</v>
      </c>
      <c r="D125" s="2969">
        <v>9.8000000000000004E-2</v>
      </c>
      <c r="E125" s="2969">
        <v>9.6000000000000002E-2</v>
      </c>
      <c r="F125" s="2985"/>
      <c r="G125" s="2970">
        <v>0.1</v>
      </c>
    </row>
    <row r="126" spans="1:7" ht="14.25" thickBot="1">
      <c r="A126" s="2982" t="s">
        <v>303</v>
      </c>
      <c r="B126" s="2972" t="s">
        <v>3179</v>
      </c>
      <c r="C126" s="2973">
        <v>0.1</v>
      </c>
      <c r="D126" s="2973">
        <v>0.1</v>
      </c>
      <c r="E126" s="2973">
        <v>9.8000000000000004E-2</v>
      </c>
      <c r="F126" s="2973">
        <v>0.1</v>
      </c>
      <c r="G126" s="2975">
        <v>0.1</v>
      </c>
    </row>
    <row r="127" spans="1:7">
      <c r="A127" s="2978" t="s">
        <v>29</v>
      </c>
      <c r="B127" s="2964" t="s">
        <v>2856</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2926</v>
      </c>
      <c r="C148" s="2969">
        <v>0.13</v>
      </c>
      <c r="D148" s="2969">
        <v>0.13</v>
      </c>
      <c r="E148" s="2969">
        <v>0.13</v>
      </c>
      <c r="F148" s="2980"/>
      <c r="G148" s="2970">
        <v>0.13</v>
      </c>
    </row>
    <row r="149" spans="1:7">
      <c r="A149" s="2979" t="s">
        <v>29</v>
      </c>
      <c r="B149" s="2968" t="s">
        <v>2930</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2949</v>
      </c>
      <c r="C153" s="2969">
        <v>0.13</v>
      </c>
      <c r="D153" s="2969">
        <v>0.13</v>
      </c>
      <c r="E153" s="2969">
        <v>0.13</v>
      </c>
      <c r="F153" s="2969">
        <v>0.13</v>
      </c>
      <c r="G153" s="2970">
        <v>0.13</v>
      </c>
    </row>
    <row r="154" spans="1:7">
      <c r="A154" s="2979" t="s">
        <v>29</v>
      </c>
      <c r="B154" s="2968" t="s">
        <v>2956</v>
      </c>
      <c r="C154" s="2969">
        <v>0.121</v>
      </c>
      <c r="D154" s="2969">
        <v>0.121</v>
      </c>
      <c r="E154" s="2969">
        <v>0.105</v>
      </c>
      <c r="F154" s="2969">
        <v>0.121</v>
      </c>
      <c r="G154" s="2970">
        <v>0.123</v>
      </c>
    </row>
    <row r="155" spans="1:7">
      <c r="A155" s="2979" t="s">
        <v>29</v>
      </c>
      <c r="B155" s="2968" t="s">
        <v>2962</v>
      </c>
      <c r="C155" s="2969">
        <v>0.1</v>
      </c>
      <c r="D155" s="2969">
        <v>0.1</v>
      </c>
      <c r="E155" s="2969">
        <v>0.1</v>
      </c>
      <c r="F155" s="2969">
        <v>0.1</v>
      </c>
      <c r="G155" s="2970">
        <v>0.1</v>
      </c>
    </row>
    <row r="156" spans="1:7">
      <c r="A156" s="2979" t="s">
        <v>29</v>
      </c>
      <c r="B156" s="2968" t="s">
        <v>2969</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2989</v>
      </c>
      <c r="C160" s="2969">
        <v>0.13</v>
      </c>
      <c r="D160" s="2969">
        <v>0.13</v>
      </c>
      <c r="E160" s="2969">
        <v>0.124</v>
      </c>
      <c r="F160" s="2969">
        <v>0.126</v>
      </c>
      <c r="G160" s="2970">
        <v>0.13</v>
      </c>
    </row>
    <row r="161" spans="1:7">
      <c r="A161" s="2979" t="s">
        <v>29</v>
      </c>
      <c r="B161" s="2968" t="s">
        <v>2994</v>
      </c>
      <c r="C161" s="2969">
        <v>0.13</v>
      </c>
      <c r="D161" s="2969">
        <v>0.13</v>
      </c>
      <c r="E161" s="2969">
        <v>0.124</v>
      </c>
      <c r="F161" s="2969">
        <v>0.127</v>
      </c>
      <c r="G161" s="2970">
        <v>0.13</v>
      </c>
    </row>
    <row r="162" spans="1:7">
      <c r="A162" s="2979" t="s">
        <v>29</v>
      </c>
      <c r="B162" s="2968" t="s">
        <v>2999</v>
      </c>
      <c r="C162" s="2969">
        <v>0.1</v>
      </c>
      <c r="D162" s="2969">
        <v>0.1</v>
      </c>
      <c r="E162" s="2969">
        <v>0.1</v>
      </c>
      <c r="F162" s="2969">
        <v>0.121</v>
      </c>
      <c r="G162" s="2970">
        <v>0.105</v>
      </c>
    </row>
    <row r="163" spans="1:7">
      <c r="A163" s="2979" t="s">
        <v>29</v>
      </c>
      <c r="B163" s="2968" t="s">
        <v>3004</v>
      </c>
      <c r="C163" s="2969">
        <v>0.1</v>
      </c>
      <c r="D163" s="2969">
        <v>0.1</v>
      </c>
      <c r="E163" s="2969">
        <v>0.1</v>
      </c>
      <c r="F163" s="2969">
        <v>0.1</v>
      </c>
      <c r="G163" s="2970">
        <v>0.1</v>
      </c>
    </row>
    <row r="164" spans="1:7">
      <c r="A164" s="2979" t="s">
        <v>29</v>
      </c>
      <c r="B164" s="2968" t="s">
        <v>3009</v>
      </c>
      <c r="C164" s="2985"/>
      <c r="D164" s="2985"/>
      <c r="E164" s="2985"/>
      <c r="F164" s="2969">
        <v>0.1</v>
      </c>
      <c r="G164" s="2981"/>
    </row>
    <row r="165" spans="1:7">
      <c r="A165" s="2979" t="s">
        <v>29</v>
      </c>
      <c r="B165" s="2968" t="s">
        <v>3180</v>
      </c>
      <c r="C165" s="2969">
        <v>0.126</v>
      </c>
      <c r="D165" s="2969">
        <v>0.126</v>
      </c>
      <c r="E165" s="2969">
        <v>0.11899999999999999</v>
      </c>
      <c r="F165" s="2969">
        <v>0.13</v>
      </c>
      <c r="G165" s="2970">
        <v>0.128</v>
      </c>
    </row>
    <row r="166" spans="1:7">
      <c r="A166" s="2979" t="s">
        <v>29</v>
      </c>
      <c r="B166" s="2968" t="s">
        <v>3019</v>
      </c>
      <c r="C166" s="2969">
        <v>0.129</v>
      </c>
      <c r="D166" s="2969">
        <v>0.129</v>
      </c>
      <c r="E166" s="2969">
        <v>0.123</v>
      </c>
      <c r="F166" s="2969">
        <v>0.128</v>
      </c>
      <c r="G166" s="2970">
        <v>0.13</v>
      </c>
    </row>
    <row r="167" spans="1:7">
      <c r="A167" s="2979" t="s">
        <v>29</v>
      </c>
      <c r="B167" s="2968" t="s">
        <v>3023</v>
      </c>
      <c r="C167" s="2969">
        <v>0.125</v>
      </c>
      <c r="D167" s="2969">
        <v>0.125</v>
      </c>
      <c r="E167" s="2969">
        <v>0.11700000000000001</v>
      </c>
      <c r="F167" s="2969">
        <v>0.13</v>
      </c>
      <c r="G167" s="2970">
        <v>0.126</v>
      </c>
    </row>
    <row r="168" spans="1:7">
      <c r="A168" s="2979" t="s">
        <v>29</v>
      </c>
      <c r="B168" s="2968" t="s">
        <v>3028</v>
      </c>
      <c r="C168" s="2969">
        <v>0.128</v>
      </c>
      <c r="D168" s="2969">
        <v>0.128</v>
      </c>
      <c r="E168" s="2969">
        <v>0.123</v>
      </c>
      <c r="F168" s="2980"/>
      <c r="G168" s="2970">
        <v>0.13</v>
      </c>
    </row>
    <row r="169" spans="1:7">
      <c r="A169" s="2979" t="s">
        <v>29</v>
      </c>
      <c r="B169" s="2968" t="s">
        <v>3181</v>
      </c>
      <c r="C169" s="2985"/>
      <c r="D169" s="2985"/>
      <c r="E169" s="2985"/>
      <c r="F169" s="2969">
        <v>0.05</v>
      </c>
      <c r="G169" s="2981"/>
    </row>
    <row r="170" spans="1:7">
      <c r="A170" s="2979" t="s">
        <v>29</v>
      </c>
      <c r="B170" s="2968" t="s">
        <v>3182</v>
      </c>
      <c r="C170" s="2985"/>
      <c r="D170" s="2985"/>
      <c r="E170" s="2985"/>
      <c r="F170" s="2969">
        <v>0.05</v>
      </c>
      <c r="G170" s="2981"/>
    </row>
    <row r="171" spans="1:7">
      <c r="A171" s="2979" t="s">
        <v>29</v>
      </c>
      <c r="B171" s="2968" t="s">
        <v>3183</v>
      </c>
      <c r="C171" s="2985"/>
      <c r="D171" s="2985"/>
      <c r="E171" s="2985"/>
      <c r="F171" s="2969">
        <v>0.05</v>
      </c>
      <c r="G171" s="2986"/>
    </row>
    <row r="172" spans="1:7">
      <c r="A172" s="2979" t="s">
        <v>29</v>
      </c>
      <c r="B172" s="2968" t="s">
        <v>3184</v>
      </c>
      <c r="C172" s="2985"/>
      <c r="D172" s="2985"/>
      <c r="E172" s="2985"/>
      <c r="F172" s="2969">
        <v>0.05</v>
      </c>
      <c r="G172" s="2986"/>
    </row>
    <row r="173" spans="1:7">
      <c r="A173" s="2979" t="s">
        <v>29</v>
      </c>
      <c r="B173" s="2968" t="s">
        <v>3185</v>
      </c>
      <c r="C173" s="2985"/>
      <c r="D173" s="2985"/>
      <c r="E173" s="2985"/>
      <c r="F173" s="2969">
        <v>0.05</v>
      </c>
      <c r="G173" s="2981"/>
    </row>
    <row r="174" spans="1:7">
      <c r="A174" s="2979" t="s">
        <v>29</v>
      </c>
      <c r="B174" s="2968" t="s">
        <v>3186</v>
      </c>
      <c r="C174" s="2985"/>
      <c r="D174" s="2985"/>
      <c r="E174" s="2985"/>
      <c r="F174" s="2969">
        <v>0.05</v>
      </c>
      <c r="G174" s="2981"/>
    </row>
    <row r="175" spans="1:7">
      <c r="A175" s="2979" t="s">
        <v>29</v>
      </c>
      <c r="B175" s="2968" t="s">
        <v>3187</v>
      </c>
      <c r="C175" s="2985"/>
      <c r="D175" s="2985"/>
      <c r="E175" s="2985"/>
      <c r="F175" s="2969">
        <v>0.05</v>
      </c>
      <c r="G175" s="2981"/>
    </row>
    <row r="176" spans="1:7">
      <c r="A176" s="2979" t="s">
        <v>29</v>
      </c>
      <c r="B176" s="2968" t="s">
        <v>3188</v>
      </c>
      <c r="C176" s="2985"/>
      <c r="D176" s="2985"/>
      <c r="E176" s="2985"/>
      <c r="F176" s="2969">
        <v>0.05</v>
      </c>
      <c r="G176" s="2981"/>
    </row>
    <row r="177" spans="1:7">
      <c r="A177" s="2979" t="s">
        <v>29</v>
      </c>
      <c r="B177" s="2968" t="s">
        <v>3189</v>
      </c>
      <c r="C177" s="2980"/>
      <c r="D177" s="2980"/>
      <c r="E177" s="2980"/>
      <c r="F177" s="2969">
        <v>0.05</v>
      </c>
      <c r="G177" s="2986"/>
    </row>
    <row r="178" spans="1:7">
      <c r="A178" s="2979" t="s">
        <v>29</v>
      </c>
      <c r="B178" s="2968" t="s">
        <v>3190</v>
      </c>
      <c r="C178" s="2980"/>
      <c r="D178" s="2980"/>
      <c r="E178" s="2980"/>
      <c r="F178" s="2969">
        <v>0.05</v>
      </c>
      <c r="G178" s="2986"/>
    </row>
    <row r="179" spans="1:7">
      <c r="A179" s="2979" t="s">
        <v>29</v>
      </c>
      <c r="B179" s="2968" t="s">
        <v>3191</v>
      </c>
      <c r="C179" s="2980"/>
      <c r="D179" s="2980"/>
      <c r="E179" s="2980"/>
      <c r="F179" s="2969">
        <v>0.05</v>
      </c>
      <c r="G179" s="2986"/>
    </row>
    <row r="180" spans="1:7">
      <c r="A180" s="2979" t="s">
        <v>29</v>
      </c>
      <c r="B180" s="2968" t="s">
        <v>3192</v>
      </c>
      <c r="C180" s="2980"/>
      <c r="D180" s="2980"/>
      <c r="E180" s="2980"/>
      <c r="F180" s="2969">
        <v>0.05</v>
      </c>
      <c r="G180" s="2986"/>
    </row>
    <row r="181" spans="1:7">
      <c r="A181" s="2979" t="s">
        <v>29</v>
      </c>
      <c r="B181" s="2968" t="s">
        <v>3193</v>
      </c>
      <c r="C181" s="2980"/>
      <c r="D181" s="2980"/>
      <c r="E181" s="2980"/>
      <c r="F181" s="2969">
        <v>0.05</v>
      </c>
      <c r="G181" s="2986"/>
    </row>
    <row r="182" spans="1:7">
      <c r="A182" s="2979" t="s">
        <v>29</v>
      </c>
      <c r="B182" s="2968" t="s">
        <v>3194</v>
      </c>
      <c r="C182" s="2980"/>
      <c r="D182" s="2980"/>
      <c r="E182" s="2980"/>
      <c r="F182" s="2969">
        <v>0.05</v>
      </c>
      <c r="G182" s="2986"/>
    </row>
    <row r="183" spans="1:7">
      <c r="A183" s="2979" t="s">
        <v>29</v>
      </c>
      <c r="B183" s="2968" t="s">
        <v>3195</v>
      </c>
      <c r="C183" s="2980"/>
      <c r="D183" s="2980"/>
      <c r="E183" s="2980"/>
      <c r="F183" s="2969">
        <v>0.05</v>
      </c>
      <c r="G183" s="2986"/>
    </row>
    <row r="184" spans="1:7">
      <c r="A184" s="2979" t="s">
        <v>29</v>
      </c>
      <c r="B184" s="2968" t="s">
        <v>3196</v>
      </c>
      <c r="C184" s="2980"/>
      <c r="D184" s="2980"/>
      <c r="E184" s="2980"/>
      <c r="F184" s="2969">
        <v>0.05</v>
      </c>
      <c r="G184" s="2986"/>
    </row>
    <row r="185" spans="1:7">
      <c r="A185" s="2979" t="s">
        <v>29</v>
      </c>
      <c r="B185" s="2968" t="s">
        <v>3197</v>
      </c>
      <c r="C185" s="2980"/>
      <c r="D185" s="2980"/>
      <c r="E185" s="2980"/>
      <c r="F185" s="2969">
        <v>0.05</v>
      </c>
      <c r="G185" s="2986"/>
    </row>
    <row r="186" spans="1:7">
      <c r="A186" s="2979" t="s">
        <v>29</v>
      </c>
      <c r="B186" s="2968" t="s">
        <v>3198</v>
      </c>
      <c r="C186" s="2980"/>
      <c r="D186" s="2980"/>
      <c r="E186" s="2980"/>
      <c r="F186" s="2969">
        <v>0.05</v>
      </c>
      <c r="G186" s="2986"/>
    </row>
    <row r="187" spans="1:7">
      <c r="A187" s="2979" t="s">
        <v>29</v>
      </c>
      <c r="B187" s="2968" t="s">
        <v>3199</v>
      </c>
      <c r="C187" s="2980"/>
      <c r="D187" s="2980"/>
      <c r="E187" s="2980"/>
      <c r="F187" s="2969">
        <v>0.05</v>
      </c>
      <c r="G187" s="2986"/>
    </row>
    <row r="188" spans="1:7">
      <c r="A188" s="2979" t="s">
        <v>29</v>
      </c>
      <c r="B188" s="2968" t="s">
        <v>3200</v>
      </c>
      <c r="C188" s="2980"/>
      <c r="D188" s="2980"/>
      <c r="E188" s="2980"/>
      <c r="F188" s="2969">
        <v>0.05</v>
      </c>
      <c r="G188" s="2986"/>
    </row>
    <row r="189" spans="1:7" ht="14.25" thickBot="1">
      <c r="A189" s="2982" t="s">
        <v>29</v>
      </c>
      <c r="B189" s="2972" t="s">
        <v>3201</v>
      </c>
      <c r="C189" s="2974"/>
      <c r="D189" s="2974"/>
      <c r="E189" s="2974"/>
      <c r="F189" s="2973">
        <v>0.05</v>
      </c>
      <c r="G189" s="2987"/>
    </row>
    <row r="190" spans="1:7">
      <c r="A190" s="2978" t="s">
        <v>304</v>
      </c>
      <c r="B190" s="2964" t="s">
        <v>2857</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2893</v>
      </c>
      <c r="C199" s="2969">
        <v>0.13</v>
      </c>
      <c r="D199" s="2969">
        <v>0.13</v>
      </c>
      <c r="E199" s="2969">
        <v>0.13</v>
      </c>
      <c r="F199" s="2969">
        <v>0.13</v>
      </c>
      <c r="G199" s="2970">
        <v>0.13</v>
      </c>
    </row>
    <row r="200" spans="1:7">
      <c r="A200" s="2979" t="s">
        <v>304</v>
      </c>
      <c r="B200" s="2968" t="s">
        <v>2896</v>
      </c>
      <c r="C200" s="2985"/>
      <c r="D200" s="2985"/>
      <c r="E200" s="2985"/>
      <c r="F200" s="2969">
        <v>0.13</v>
      </c>
      <c r="G200" s="2981"/>
    </row>
    <row r="201" spans="1:7">
      <c r="A201" s="2979" t="s">
        <v>304</v>
      </c>
      <c r="B201" s="2968" t="s">
        <v>2901</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2904</v>
      </c>
      <c r="C203" s="2969">
        <v>0.129</v>
      </c>
      <c r="D203" s="2969">
        <v>0.129</v>
      </c>
      <c r="E203" s="2969">
        <v>0.13</v>
      </c>
      <c r="F203" s="2969">
        <v>0.13</v>
      </c>
      <c r="G203" s="2970">
        <v>0.13</v>
      </c>
    </row>
    <row r="204" spans="1:7">
      <c r="A204" s="2979" t="s">
        <v>304</v>
      </c>
      <c r="B204" s="2968" t="s">
        <v>2907</v>
      </c>
      <c r="C204" s="2969">
        <v>0.129</v>
      </c>
      <c r="D204" s="2969">
        <v>0.129</v>
      </c>
      <c r="E204" s="2969">
        <v>0.123</v>
      </c>
      <c r="F204" s="2969">
        <v>0.13</v>
      </c>
      <c r="G204" s="2970">
        <v>0.13</v>
      </c>
    </row>
    <row r="205" spans="1:7">
      <c r="A205" s="2979" t="s">
        <v>304</v>
      </c>
      <c r="B205" s="2968" t="s">
        <v>2909</v>
      </c>
      <c r="C205" s="2969">
        <v>0.13</v>
      </c>
      <c r="D205" s="2969">
        <v>0.13</v>
      </c>
      <c r="E205" s="2969">
        <v>0.13</v>
      </c>
      <c r="F205" s="2969">
        <v>0.13</v>
      </c>
      <c r="G205" s="2970">
        <v>0.13</v>
      </c>
    </row>
    <row r="206" spans="1:7">
      <c r="A206" s="2979" t="s">
        <v>304</v>
      </c>
      <c r="B206" s="2968" t="s">
        <v>2912</v>
      </c>
      <c r="C206" s="2969">
        <v>0.13</v>
      </c>
      <c r="D206" s="2969">
        <v>0.13</v>
      </c>
      <c r="E206" s="2969">
        <v>0.13</v>
      </c>
      <c r="F206" s="2969">
        <v>0.128</v>
      </c>
      <c r="G206" s="2970">
        <v>0.13</v>
      </c>
    </row>
    <row r="207" spans="1:7">
      <c r="A207" s="2979" t="s">
        <v>304</v>
      </c>
      <c r="B207" s="2968" t="s">
        <v>2914</v>
      </c>
      <c r="C207" s="2969">
        <v>0.13</v>
      </c>
      <c r="D207" s="2969">
        <v>0.13</v>
      </c>
      <c r="E207" s="2969">
        <v>0.13</v>
      </c>
      <c r="F207" s="2969">
        <v>0.13</v>
      </c>
      <c r="G207" s="2970">
        <v>0.13</v>
      </c>
    </row>
    <row r="208" spans="1:7">
      <c r="A208" s="2979" t="s">
        <v>304</v>
      </c>
      <c r="B208" s="2968" t="s">
        <v>2917</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2924</v>
      </c>
      <c r="C210" s="2969">
        <v>0.121</v>
      </c>
      <c r="D210" s="2969">
        <v>0.121</v>
      </c>
      <c r="E210" s="2969">
        <v>0.125</v>
      </c>
      <c r="F210" s="2969">
        <v>0.13</v>
      </c>
      <c r="G210" s="2970">
        <v>0.123</v>
      </c>
    </row>
    <row r="211" spans="1:7">
      <c r="A211" s="2979" t="s">
        <v>304</v>
      </c>
      <c r="B211" s="2968" t="s">
        <v>2927</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2939</v>
      </c>
      <c r="C214" s="2969">
        <v>0.128</v>
      </c>
      <c r="D214" s="2969">
        <v>0.128</v>
      </c>
      <c r="E214" s="2969">
        <v>0.13</v>
      </c>
      <c r="F214" s="2969">
        <v>0.13</v>
      </c>
      <c r="G214" s="2970">
        <v>0.13</v>
      </c>
    </row>
    <row r="215" spans="1:7">
      <c r="A215" s="2979" t="s">
        <v>304</v>
      </c>
      <c r="B215" s="2968" t="s">
        <v>2943</v>
      </c>
      <c r="C215" s="2969">
        <v>0.13</v>
      </c>
      <c r="D215" s="2969">
        <v>0.13</v>
      </c>
      <c r="E215" s="2969">
        <v>0.13</v>
      </c>
      <c r="F215" s="2969">
        <v>0.129</v>
      </c>
      <c r="G215" s="2970">
        <v>0.13</v>
      </c>
    </row>
    <row r="216" spans="1:7">
      <c r="A216" s="2979" t="s">
        <v>304</v>
      </c>
      <c r="B216" s="2968" t="s">
        <v>2950</v>
      </c>
      <c r="C216" s="2969">
        <v>0.13</v>
      </c>
      <c r="D216" s="2969">
        <v>0.13</v>
      </c>
      <c r="E216" s="2969">
        <v>0.13</v>
      </c>
      <c r="F216" s="2969">
        <v>0.13</v>
      </c>
      <c r="G216" s="2970">
        <v>0.13</v>
      </c>
    </row>
    <row r="217" spans="1:7">
      <c r="A217" s="2979" t="s">
        <v>304</v>
      </c>
      <c r="B217" s="2968" t="s">
        <v>2957</v>
      </c>
      <c r="C217" s="2969">
        <v>0.129</v>
      </c>
      <c r="D217" s="2969">
        <v>0.129</v>
      </c>
      <c r="E217" s="2969">
        <v>0.13</v>
      </c>
      <c r="F217" s="2969">
        <v>0.13</v>
      </c>
      <c r="G217" s="2970">
        <v>0.13</v>
      </c>
    </row>
    <row r="218" spans="1:7">
      <c r="A218" s="2979" t="s">
        <v>304</v>
      </c>
      <c r="B218" s="2968" t="s">
        <v>2963</v>
      </c>
      <c r="C218" s="2980"/>
      <c r="D218" s="2980"/>
      <c r="E218" s="2980"/>
      <c r="F218" s="2969">
        <v>0.05</v>
      </c>
      <c r="G218" s="2986"/>
    </row>
    <row r="219" spans="1:7">
      <c r="A219" s="2979" t="s">
        <v>304</v>
      </c>
      <c r="B219" s="2968" t="s">
        <v>2970</v>
      </c>
      <c r="C219" s="2980"/>
      <c r="D219" s="2980"/>
      <c r="E219" s="2980"/>
      <c r="F219" s="2969">
        <v>0.05</v>
      </c>
      <c r="G219" s="2986"/>
    </row>
    <row r="220" spans="1:7">
      <c r="A220" s="2979" t="s">
        <v>304</v>
      </c>
      <c r="B220" s="2968" t="s">
        <v>2976</v>
      </c>
      <c r="C220" s="2980"/>
      <c r="D220" s="2980"/>
      <c r="E220" s="2980"/>
      <c r="F220" s="2969">
        <v>0.05</v>
      </c>
      <c r="G220" s="2986"/>
    </row>
    <row r="221" spans="1:7">
      <c r="A221" s="2979" t="s">
        <v>304</v>
      </c>
      <c r="B221" s="2968" t="s">
        <v>2981</v>
      </c>
      <c r="C221" s="2980"/>
      <c r="D221" s="2980"/>
      <c r="E221" s="2980"/>
      <c r="F221" s="2969">
        <v>0.05</v>
      </c>
      <c r="G221" s="2986"/>
    </row>
    <row r="222" spans="1:7">
      <c r="A222" s="2979" t="s">
        <v>304</v>
      </c>
      <c r="B222" s="2968" t="s">
        <v>2985</v>
      </c>
      <c r="C222" s="2980"/>
      <c r="D222" s="2980"/>
      <c r="E222" s="2980"/>
      <c r="F222" s="2969">
        <v>0.05</v>
      </c>
      <c r="G222" s="2986"/>
    </row>
    <row r="223" spans="1:7">
      <c r="A223" s="2979" t="s">
        <v>304</v>
      </c>
      <c r="B223" s="2968" t="s">
        <v>2990</v>
      </c>
      <c r="C223" s="2980"/>
      <c r="D223" s="2980"/>
      <c r="E223" s="2980"/>
      <c r="F223" s="2969">
        <v>0.05</v>
      </c>
      <c r="G223" s="2986"/>
    </row>
    <row r="224" spans="1:7">
      <c r="A224" s="2979" t="s">
        <v>304</v>
      </c>
      <c r="B224" s="2968" t="s">
        <v>2995</v>
      </c>
      <c r="C224" s="2980"/>
      <c r="D224" s="2980"/>
      <c r="E224" s="2980"/>
      <c r="F224" s="2969">
        <v>0.05</v>
      </c>
      <c r="G224" s="2986"/>
    </row>
    <row r="225" spans="1:7">
      <c r="A225" s="2979" t="s">
        <v>304</v>
      </c>
      <c r="B225" s="2968" t="s">
        <v>3000</v>
      </c>
      <c r="C225" s="2980"/>
      <c r="D225" s="2980"/>
      <c r="E225" s="2980"/>
      <c r="F225" s="2969">
        <v>0.05</v>
      </c>
      <c r="G225" s="2986"/>
    </row>
    <row r="226" spans="1:7">
      <c r="A226" s="2979" t="s">
        <v>304</v>
      </c>
      <c r="B226" s="2968" t="s">
        <v>3202</v>
      </c>
      <c r="C226" s="2980"/>
      <c r="D226" s="2980"/>
      <c r="E226" s="2980"/>
      <c r="F226" s="2969">
        <v>0.05</v>
      </c>
      <c r="G226" s="2986"/>
    </row>
    <row r="227" spans="1:7">
      <c r="A227" s="2979" t="s">
        <v>304</v>
      </c>
      <c r="B227" s="2968" t="s">
        <v>3203</v>
      </c>
      <c r="C227" s="2980"/>
      <c r="D227" s="2980"/>
      <c r="E227" s="2980"/>
      <c r="F227" s="2969">
        <v>0.05</v>
      </c>
      <c r="G227" s="2986"/>
    </row>
    <row r="228" spans="1:7">
      <c r="A228" s="2979" t="s">
        <v>304</v>
      </c>
      <c r="B228" s="2968" t="s">
        <v>3204</v>
      </c>
      <c r="C228" s="2980"/>
      <c r="D228" s="2980"/>
      <c r="E228" s="2980"/>
      <c r="F228" s="2969">
        <v>0.05</v>
      </c>
      <c r="G228" s="2986"/>
    </row>
    <row r="229" spans="1:7">
      <c r="A229" s="2979" t="s">
        <v>304</v>
      </c>
      <c r="B229" s="2968" t="s">
        <v>3205</v>
      </c>
      <c r="C229" s="2980"/>
      <c r="D229" s="2980"/>
      <c r="E229" s="2980"/>
      <c r="F229" s="2969">
        <v>0.05</v>
      </c>
      <c r="G229" s="2986"/>
    </row>
    <row r="230" spans="1:7">
      <c r="A230" s="2979" t="s">
        <v>304</v>
      </c>
      <c r="B230" s="2968" t="s">
        <v>3206</v>
      </c>
      <c r="C230" s="2980"/>
      <c r="D230" s="2980"/>
      <c r="E230" s="2980"/>
      <c r="F230" s="2969">
        <v>0.05</v>
      </c>
      <c r="G230" s="2986"/>
    </row>
    <row r="231" spans="1:7">
      <c r="A231" s="2979" t="s">
        <v>304</v>
      </c>
      <c r="B231" s="2968" t="s">
        <v>3207</v>
      </c>
      <c r="C231" s="2980"/>
      <c r="D231" s="2980"/>
      <c r="E231" s="2980"/>
      <c r="F231" s="2969">
        <v>0.05</v>
      </c>
      <c r="G231" s="2986"/>
    </row>
    <row r="232" spans="1:7">
      <c r="A232" s="2979" t="s">
        <v>304</v>
      </c>
      <c r="B232" s="2968" t="s">
        <v>3208</v>
      </c>
      <c r="C232" s="2980"/>
      <c r="D232" s="2980"/>
      <c r="E232" s="2980"/>
      <c r="F232" s="2969">
        <v>0.05</v>
      </c>
      <c r="G232" s="2986"/>
    </row>
    <row r="233" spans="1:7" ht="14.25" thickBot="1">
      <c r="A233" s="2982" t="s">
        <v>304</v>
      </c>
      <c r="B233" s="2972" t="s">
        <v>3209</v>
      </c>
      <c r="C233" s="2974"/>
      <c r="D233" s="2974"/>
      <c r="E233" s="2974"/>
      <c r="F233" s="2973">
        <v>0.05</v>
      </c>
      <c r="G233" s="2987"/>
    </row>
    <row r="234" spans="1:7">
      <c r="A234" s="2978" t="s">
        <v>305</v>
      </c>
      <c r="B234" s="2964" t="s">
        <v>2858</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2878</v>
      </c>
      <c r="C238" s="2969">
        <v>0.14899999999999999</v>
      </c>
      <c r="D238" s="2969">
        <v>0.14899999999999999</v>
      </c>
      <c r="E238" s="2969">
        <v>0.15</v>
      </c>
      <c r="F238" s="2969">
        <v>0.15</v>
      </c>
      <c r="G238" s="2970">
        <v>0.15</v>
      </c>
    </row>
    <row r="239" spans="1:7">
      <c r="A239" s="2979" t="s">
        <v>305</v>
      </c>
      <c r="B239" s="2968" t="s">
        <v>2882</v>
      </c>
      <c r="C239" s="2969">
        <v>0.15</v>
      </c>
      <c r="D239" s="2969">
        <v>0.15</v>
      </c>
      <c r="E239" s="2969">
        <v>0.15</v>
      </c>
      <c r="F239" s="2969">
        <v>0.15</v>
      </c>
      <c r="G239" s="2970">
        <v>0.15</v>
      </c>
    </row>
    <row r="240" spans="1:7">
      <c r="A240" s="2979" t="s">
        <v>305</v>
      </c>
      <c r="B240" s="2968" t="s">
        <v>2887</v>
      </c>
      <c r="C240" s="2969">
        <v>0.15</v>
      </c>
      <c r="D240" s="2969">
        <v>0.15</v>
      </c>
      <c r="E240" s="2969">
        <v>0.15</v>
      </c>
      <c r="F240" s="2969">
        <v>0.15</v>
      </c>
      <c r="G240" s="2970">
        <v>0.15</v>
      </c>
    </row>
    <row r="241" spans="1:7">
      <c r="A241" s="2979" t="s">
        <v>305</v>
      </c>
      <c r="B241" s="2968" t="s">
        <v>2891</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2897</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2905</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2910</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2918</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2931</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2940</v>
      </c>
      <c r="C258" s="2969">
        <v>0.14299999999999999</v>
      </c>
      <c r="D258" s="2969">
        <v>0.14299999999999999</v>
      </c>
      <c r="E258" s="2969">
        <v>0.15</v>
      </c>
      <c r="F258" s="2969">
        <v>0.14799999999999999</v>
      </c>
      <c r="G258" s="2970">
        <v>0.14599999999999999</v>
      </c>
    </row>
    <row r="259" spans="1:7">
      <c r="A259" s="2979" t="s">
        <v>305</v>
      </c>
      <c r="B259" s="2968" t="s">
        <v>2944</v>
      </c>
      <c r="C259" s="2969">
        <v>0.14399999999999999</v>
      </c>
      <c r="D259" s="2969">
        <v>0.14399999999999999</v>
      </c>
      <c r="E259" s="2969">
        <v>0.14899999999999999</v>
      </c>
      <c r="F259" s="2969">
        <v>0.14699999999999999</v>
      </c>
      <c r="G259" s="2970">
        <v>0.14599999999999999</v>
      </c>
    </row>
    <row r="260" spans="1:7">
      <c r="A260" s="2979" t="s">
        <v>305</v>
      </c>
      <c r="B260" s="2968" t="s">
        <v>2951</v>
      </c>
      <c r="C260" s="2969">
        <v>0.109</v>
      </c>
      <c r="D260" s="2969">
        <v>0.111</v>
      </c>
      <c r="E260" s="2969">
        <v>0.13100000000000001</v>
      </c>
      <c r="F260" s="2969">
        <v>0.126</v>
      </c>
      <c r="G260" s="2970">
        <v>0.11899999999999999</v>
      </c>
    </row>
    <row r="261" spans="1:7">
      <c r="A261" s="2979" t="s">
        <v>305</v>
      </c>
      <c r="B261" s="2968" t="s">
        <v>2958</v>
      </c>
      <c r="C261" s="2969">
        <v>0.1</v>
      </c>
      <c r="D261" s="2969">
        <v>0.1</v>
      </c>
      <c r="E261" s="2969">
        <v>0.11799999999999999</v>
      </c>
      <c r="F261" s="2969">
        <v>0.108</v>
      </c>
      <c r="G261" s="2970">
        <v>0.107</v>
      </c>
    </row>
    <row r="262" spans="1:7">
      <c r="A262" s="2979" t="s">
        <v>305</v>
      </c>
      <c r="B262" s="2968" t="s">
        <v>2964</v>
      </c>
      <c r="C262" s="2969">
        <v>0.1</v>
      </c>
      <c r="D262" s="2969">
        <v>0.1</v>
      </c>
      <c r="E262" s="2969">
        <v>0.1</v>
      </c>
      <c r="F262" s="2969">
        <v>0.14099999999999999</v>
      </c>
      <c r="G262" s="2970">
        <v>0.1</v>
      </c>
    </row>
    <row r="263" spans="1:7">
      <c r="A263" s="2979" t="s">
        <v>305</v>
      </c>
      <c r="B263" s="2968" t="s">
        <v>2971</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2982</v>
      </c>
      <c r="C265" s="2980"/>
      <c r="D265" s="2980"/>
      <c r="E265" s="2980"/>
      <c r="F265" s="2969">
        <v>0.05</v>
      </c>
      <c r="G265" s="2986"/>
    </row>
    <row r="266" spans="1:7">
      <c r="A266" s="2979" t="s">
        <v>305</v>
      </c>
      <c r="B266" s="2968" t="s">
        <v>2986</v>
      </c>
      <c r="C266" s="2980"/>
      <c r="D266" s="2980"/>
      <c r="E266" s="2980"/>
      <c r="F266" s="2969">
        <v>0.05</v>
      </c>
      <c r="G266" s="2986"/>
    </row>
    <row r="267" spans="1:7">
      <c r="A267" s="2979" t="s">
        <v>305</v>
      </c>
      <c r="B267" s="2968" t="s">
        <v>2991</v>
      </c>
      <c r="C267" s="2980"/>
      <c r="D267" s="2980"/>
      <c r="E267" s="2980"/>
      <c r="F267" s="2969">
        <v>0.05</v>
      </c>
      <c r="G267" s="2986"/>
    </row>
    <row r="268" spans="1:7">
      <c r="A268" s="2979" t="s">
        <v>305</v>
      </c>
      <c r="B268" s="2968" t="s">
        <v>2996</v>
      </c>
      <c r="C268" s="2980"/>
      <c r="D268" s="2980"/>
      <c r="E268" s="2980"/>
      <c r="F268" s="2969">
        <v>0.05</v>
      </c>
      <c r="G268" s="2986"/>
    </row>
    <row r="269" spans="1:7">
      <c r="A269" s="2979" t="s">
        <v>305</v>
      </c>
      <c r="B269" s="2968" t="s">
        <v>3001</v>
      </c>
      <c r="C269" s="2980"/>
      <c r="D269" s="2980"/>
      <c r="E269" s="2980"/>
      <c r="F269" s="2969">
        <v>0.05</v>
      </c>
      <c r="G269" s="2986"/>
    </row>
    <row r="270" spans="1:7">
      <c r="A270" s="2979" t="s">
        <v>305</v>
      </c>
      <c r="B270" s="2968" t="s">
        <v>3006</v>
      </c>
      <c r="C270" s="2980"/>
      <c r="D270" s="2980"/>
      <c r="E270" s="2980"/>
      <c r="F270" s="2969">
        <v>0.05</v>
      </c>
      <c r="G270" s="2986"/>
    </row>
    <row r="271" spans="1:7">
      <c r="A271" s="2979" t="s">
        <v>305</v>
      </c>
      <c r="B271" s="2968" t="s">
        <v>3210</v>
      </c>
      <c r="C271" s="2980"/>
      <c r="D271" s="2980"/>
      <c r="E271" s="2980"/>
      <c r="F271" s="2969">
        <v>0.05</v>
      </c>
      <c r="G271" s="2986"/>
    </row>
    <row r="272" spans="1:7">
      <c r="A272" s="2979" t="s">
        <v>305</v>
      </c>
      <c r="B272" s="2968" t="s">
        <v>3211</v>
      </c>
      <c r="C272" s="2980"/>
      <c r="D272" s="2980"/>
      <c r="E272" s="2980"/>
      <c r="F272" s="2969">
        <v>0.05</v>
      </c>
      <c r="G272" s="2986"/>
    </row>
    <row r="273" spans="1:7">
      <c r="A273" s="2979" t="s">
        <v>305</v>
      </c>
      <c r="B273" s="2968" t="s">
        <v>3212</v>
      </c>
      <c r="C273" s="2980"/>
      <c r="D273" s="2980"/>
      <c r="E273" s="2980"/>
      <c r="F273" s="2969">
        <v>0.05</v>
      </c>
      <c r="G273" s="2986"/>
    </row>
    <row r="274" spans="1:7">
      <c r="A274" s="2979" t="s">
        <v>305</v>
      </c>
      <c r="B274" s="2968" t="s">
        <v>3213</v>
      </c>
      <c r="C274" s="2980"/>
      <c r="D274" s="2980"/>
      <c r="E274" s="2980"/>
      <c r="F274" s="2969">
        <v>0.05</v>
      </c>
      <c r="G274" s="2986"/>
    </row>
    <row r="275" spans="1:7">
      <c r="A275" s="2979" t="s">
        <v>305</v>
      </c>
      <c r="B275" s="2968" t="s">
        <v>3214</v>
      </c>
      <c r="C275" s="2980"/>
      <c r="D275" s="2980"/>
      <c r="E275" s="2980"/>
      <c r="F275" s="2969">
        <v>0.05</v>
      </c>
      <c r="G275" s="2986"/>
    </row>
    <row r="276" spans="1:7" ht="14.25" thickBot="1">
      <c r="A276" s="2982" t="s">
        <v>305</v>
      </c>
      <c r="B276" s="2972" t="s">
        <v>3215</v>
      </c>
      <c r="C276" s="2974"/>
      <c r="D276" s="2974"/>
      <c r="E276" s="2974"/>
      <c r="F276" s="2973">
        <v>0.05</v>
      </c>
      <c r="G276" s="2987"/>
    </row>
    <row r="277" spans="1:7">
      <c r="A277" s="2978" t="s">
        <v>306</v>
      </c>
      <c r="B277" s="2964" t="s">
        <v>2859</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2871</v>
      </c>
      <c r="C279" s="2969">
        <v>0.15</v>
      </c>
      <c r="D279" s="2969">
        <v>0.15</v>
      </c>
      <c r="E279" s="2969">
        <v>0.15</v>
      </c>
      <c r="F279" s="2969">
        <v>0.15</v>
      </c>
      <c r="G279" s="2970">
        <v>0.15</v>
      </c>
    </row>
    <row r="280" spans="1:7">
      <c r="A280" s="2979" t="s">
        <v>306</v>
      </c>
      <c r="B280" s="2968" t="s">
        <v>2875</v>
      </c>
      <c r="C280" s="2969">
        <v>0.15</v>
      </c>
      <c r="D280" s="2969">
        <v>0.15</v>
      </c>
      <c r="E280" s="2969">
        <v>0.15</v>
      </c>
      <c r="F280" s="2969">
        <v>0.15</v>
      </c>
      <c r="G280" s="2970">
        <v>0.15</v>
      </c>
    </row>
    <row r="281" spans="1:7">
      <c r="A281" s="2979" t="s">
        <v>306</v>
      </c>
      <c r="B281" s="2968" t="s">
        <v>2879</v>
      </c>
      <c r="C281" s="2969">
        <v>0.15</v>
      </c>
      <c r="D281" s="2969">
        <v>0.15</v>
      </c>
      <c r="E281" s="2969">
        <v>0.15</v>
      </c>
      <c r="F281" s="2969">
        <v>0.15</v>
      </c>
      <c r="G281" s="2970">
        <v>0.15</v>
      </c>
    </row>
    <row r="282" spans="1:7">
      <c r="A282" s="2979" t="s">
        <v>306</v>
      </c>
      <c r="B282" s="2968" t="s">
        <v>2883</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2898</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2903</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2913</v>
      </c>
      <c r="C293" s="2969">
        <v>0.15</v>
      </c>
      <c r="D293" s="2969">
        <v>0.15</v>
      </c>
      <c r="E293" s="2969">
        <v>0.15</v>
      </c>
      <c r="F293" s="2969">
        <v>0.14499999999999999</v>
      </c>
      <c r="G293" s="2970">
        <v>0.15</v>
      </c>
    </row>
    <row r="294" spans="1:7">
      <c r="A294" s="2979" t="s">
        <v>306</v>
      </c>
      <c r="B294" s="2968" t="s">
        <v>2915</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2932</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2945</v>
      </c>
      <c r="C302" s="2969">
        <v>0.15</v>
      </c>
      <c r="D302" s="2969">
        <v>0.15</v>
      </c>
      <c r="E302" s="2969">
        <v>0.15</v>
      </c>
      <c r="F302" s="2969">
        <v>0.14699999999999999</v>
      </c>
      <c r="G302" s="2970">
        <v>0.15</v>
      </c>
    </row>
    <row r="303" spans="1:7">
      <c r="A303" s="2979" t="s">
        <v>306</v>
      </c>
      <c r="B303" s="2968" t="s">
        <v>2952</v>
      </c>
      <c r="C303" s="2969">
        <v>0.15</v>
      </c>
      <c r="D303" s="2969">
        <v>0.15</v>
      </c>
      <c r="E303" s="2969">
        <v>0.15</v>
      </c>
      <c r="F303" s="2969">
        <v>0.14199999999999999</v>
      </c>
      <c r="G303" s="2970">
        <v>0.15</v>
      </c>
    </row>
    <row r="304" spans="1:7">
      <c r="A304" s="2979" t="s">
        <v>306</v>
      </c>
      <c r="B304" s="2968" t="s">
        <v>2959</v>
      </c>
      <c r="C304" s="2969">
        <v>0.15</v>
      </c>
      <c r="D304" s="2969">
        <v>0.15</v>
      </c>
      <c r="E304" s="2969">
        <v>0.15</v>
      </c>
      <c r="F304" s="2969">
        <v>0.14499999999999999</v>
      </c>
      <c r="G304" s="2970">
        <v>0.15</v>
      </c>
    </row>
    <row r="305" spans="1:7">
      <c r="A305" s="2979" t="s">
        <v>306</v>
      </c>
      <c r="B305" s="2968" t="s">
        <v>2965</v>
      </c>
      <c r="C305" s="2969">
        <v>0.15</v>
      </c>
      <c r="D305" s="2969">
        <v>0.15</v>
      </c>
      <c r="E305" s="2969">
        <v>0.15</v>
      </c>
      <c r="F305" s="2969">
        <v>0.111</v>
      </c>
      <c r="G305" s="2970">
        <v>0.15</v>
      </c>
    </row>
    <row r="306" spans="1:7">
      <c r="A306" s="2979" t="s">
        <v>306</v>
      </c>
      <c r="B306" s="2968" t="s">
        <v>2972</v>
      </c>
      <c r="C306" s="2969">
        <v>0.15</v>
      </c>
      <c r="D306" s="2969">
        <v>0.15</v>
      </c>
      <c r="E306" s="2969">
        <v>0.15</v>
      </c>
      <c r="F306" s="2969">
        <v>0.126</v>
      </c>
      <c r="G306" s="2970">
        <v>0.15</v>
      </c>
    </row>
    <row r="307" spans="1:7">
      <c r="A307" s="2979" t="s">
        <v>306</v>
      </c>
      <c r="B307" s="2968" t="s">
        <v>2977</v>
      </c>
      <c r="C307" s="2969">
        <v>0.15</v>
      </c>
      <c r="D307" s="2969">
        <v>0.15</v>
      </c>
      <c r="E307" s="2969">
        <v>0.15</v>
      </c>
      <c r="F307" s="2969">
        <v>0.12</v>
      </c>
      <c r="G307" s="2970">
        <v>0.15</v>
      </c>
    </row>
    <row r="308" spans="1:7">
      <c r="A308" s="2979" t="s">
        <v>306</v>
      </c>
      <c r="B308" s="2968" t="s">
        <v>2983</v>
      </c>
      <c r="C308" s="2969">
        <v>0.15</v>
      </c>
      <c r="D308" s="2969">
        <v>0.15</v>
      </c>
      <c r="E308" s="2969">
        <v>0.15</v>
      </c>
      <c r="F308" s="2969">
        <v>0.13</v>
      </c>
      <c r="G308" s="2970">
        <v>0.15</v>
      </c>
    </row>
    <row r="309" spans="1:7">
      <c r="A309" s="2979" t="s">
        <v>306</v>
      </c>
      <c r="B309" s="2968" t="s">
        <v>2987</v>
      </c>
      <c r="C309" s="2969">
        <v>0.15</v>
      </c>
      <c r="D309" s="2969">
        <v>0.15</v>
      </c>
      <c r="E309" s="2969">
        <v>0.15</v>
      </c>
      <c r="F309" s="2969">
        <v>0.14099999999999999</v>
      </c>
      <c r="G309" s="2970">
        <v>0.15</v>
      </c>
    </row>
    <row r="310" spans="1:7">
      <c r="A310" s="2979" t="s">
        <v>306</v>
      </c>
      <c r="B310" s="2968" t="s">
        <v>2992</v>
      </c>
      <c r="C310" s="2969">
        <v>0.15</v>
      </c>
      <c r="D310" s="2969">
        <v>0.15</v>
      </c>
      <c r="E310" s="2969">
        <v>0.15</v>
      </c>
      <c r="F310" s="2969">
        <v>0.15</v>
      </c>
      <c r="G310" s="2970">
        <v>0.15</v>
      </c>
    </row>
    <row r="311" spans="1:7">
      <c r="A311" s="2979" t="s">
        <v>306</v>
      </c>
      <c r="B311" s="2968" t="s">
        <v>2997</v>
      </c>
      <c r="C311" s="2969">
        <v>0.13200000000000001</v>
      </c>
      <c r="D311" s="2969">
        <v>0.13300000000000001</v>
      </c>
      <c r="E311" s="2969">
        <v>0.14499999999999999</v>
      </c>
      <c r="F311" s="2969">
        <v>0.14199999999999999</v>
      </c>
      <c r="G311" s="2970">
        <v>0.14000000000000001</v>
      </c>
    </row>
    <row r="312" spans="1:7">
      <c r="A312" s="2979" t="s">
        <v>306</v>
      </c>
      <c r="B312" s="2968" t="s">
        <v>3002</v>
      </c>
      <c r="C312" s="2969">
        <v>0.13800000000000001</v>
      </c>
      <c r="D312" s="2969">
        <v>0.14000000000000001</v>
      </c>
      <c r="E312" s="2969">
        <v>0.14599999999999999</v>
      </c>
      <c r="F312" s="2969">
        <v>0.14899999999999999</v>
      </c>
      <c r="G312" s="2970">
        <v>0.14199999999999999</v>
      </c>
    </row>
    <row r="313" spans="1:7">
      <c r="A313" s="2979" t="s">
        <v>306</v>
      </c>
      <c r="B313" s="2968" t="s">
        <v>3007</v>
      </c>
      <c r="C313" s="2969">
        <v>0.125</v>
      </c>
      <c r="D313" s="2969">
        <v>0.127</v>
      </c>
      <c r="E313" s="2969">
        <v>0.14399999999999999</v>
      </c>
      <c r="F313" s="2969">
        <v>0.115</v>
      </c>
      <c r="G313" s="2970">
        <v>0.13600000000000001</v>
      </c>
    </row>
    <row r="314" spans="1:7">
      <c r="A314" s="2979" t="s">
        <v>306</v>
      </c>
      <c r="B314" s="2968" t="s">
        <v>3216</v>
      </c>
      <c r="C314" s="2985"/>
      <c r="D314" s="2985"/>
      <c r="E314" s="2985"/>
      <c r="F314" s="2969">
        <v>0.05</v>
      </c>
      <c r="G314" s="2986"/>
    </row>
    <row r="315" spans="1:7">
      <c r="A315" s="2979" t="s">
        <v>306</v>
      </c>
      <c r="B315" s="2968" t="s">
        <v>3217</v>
      </c>
      <c r="C315" s="2985"/>
      <c r="D315" s="2985"/>
      <c r="E315" s="2985"/>
      <c r="F315" s="2969">
        <v>0.05</v>
      </c>
      <c r="G315" s="2986"/>
    </row>
    <row r="316" spans="1:7">
      <c r="A316" s="2979" t="s">
        <v>306</v>
      </c>
      <c r="B316" s="2968" t="s">
        <v>3218</v>
      </c>
      <c r="C316" s="2980"/>
      <c r="D316" s="2980"/>
      <c r="E316" s="2980"/>
      <c r="F316" s="2969">
        <v>0.05</v>
      </c>
      <c r="G316" s="2986"/>
    </row>
    <row r="317" spans="1:7">
      <c r="A317" s="2979" t="s">
        <v>306</v>
      </c>
      <c r="B317" s="2968" t="s">
        <v>3219</v>
      </c>
      <c r="C317" s="2980"/>
      <c r="D317" s="2980"/>
      <c r="E317" s="2980"/>
      <c r="F317" s="2969">
        <v>0.05</v>
      </c>
      <c r="G317" s="2986"/>
    </row>
    <row r="318" spans="1:7">
      <c r="A318" s="2979" t="s">
        <v>306</v>
      </c>
      <c r="B318" s="2968" t="s">
        <v>3220</v>
      </c>
      <c r="C318" s="2980"/>
      <c r="D318" s="2980"/>
      <c r="E318" s="2980"/>
      <c r="F318" s="2969">
        <v>0.05</v>
      </c>
      <c r="G318" s="2986"/>
    </row>
    <row r="319" spans="1:7">
      <c r="A319" s="2979" t="s">
        <v>306</v>
      </c>
      <c r="B319" s="2968" t="s">
        <v>3221</v>
      </c>
      <c r="C319" s="2980"/>
      <c r="D319" s="2980"/>
      <c r="E319" s="2980"/>
      <c r="F319" s="2969">
        <v>0.05</v>
      </c>
      <c r="G319" s="2986"/>
    </row>
    <row r="320" spans="1:7">
      <c r="A320" s="2979" t="s">
        <v>306</v>
      </c>
      <c r="B320" s="2968" t="s">
        <v>3222</v>
      </c>
      <c r="C320" s="2980"/>
      <c r="D320" s="2980"/>
      <c r="E320" s="2980"/>
      <c r="F320" s="2969">
        <v>0.05</v>
      </c>
      <c r="G320" s="2986"/>
    </row>
    <row r="321" spans="1:7">
      <c r="A321" s="2979" t="s">
        <v>306</v>
      </c>
      <c r="B321" s="2968" t="s">
        <v>3223</v>
      </c>
      <c r="C321" s="2980"/>
      <c r="D321" s="2980"/>
      <c r="E321" s="2980"/>
      <c r="F321" s="2969">
        <v>0.05</v>
      </c>
      <c r="G321" s="2986"/>
    </row>
    <row r="322" spans="1:7">
      <c r="A322" s="2979" t="s">
        <v>306</v>
      </c>
      <c r="B322" s="2968" t="s">
        <v>3224</v>
      </c>
      <c r="C322" s="2980"/>
      <c r="D322" s="2980"/>
      <c r="E322" s="2980"/>
      <c r="F322" s="2969">
        <v>0.05</v>
      </c>
      <c r="G322" s="2986"/>
    </row>
    <row r="323" spans="1:7">
      <c r="A323" s="2979" t="s">
        <v>306</v>
      </c>
      <c r="B323" s="2968" t="s">
        <v>3225</v>
      </c>
      <c r="C323" s="2980"/>
      <c r="D323" s="2980"/>
      <c r="E323" s="2980"/>
      <c r="F323" s="2969">
        <v>0.05</v>
      </c>
      <c r="G323" s="2986"/>
    </row>
    <row r="324" spans="1:7">
      <c r="A324" s="2979" t="s">
        <v>306</v>
      </c>
      <c r="B324" s="2968" t="s">
        <v>3226</v>
      </c>
      <c r="C324" s="2980"/>
      <c r="D324" s="2980"/>
      <c r="E324" s="2980"/>
      <c r="F324" s="2969">
        <v>0.05</v>
      </c>
      <c r="G324" s="2986"/>
    </row>
    <row r="325" spans="1:7">
      <c r="A325" s="2979" t="s">
        <v>306</v>
      </c>
      <c r="B325" s="2968" t="s">
        <v>3227</v>
      </c>
      <c r="C325" s="2980"/>
      <c r="D325" s="2980"/>
      <c r="E325" s="2980"/>
      <c r="F325" s="2969">
        <v>0.05</v>
      </c>
      <c r="G325" s="2986"/>
    </row>
    <row r="326" spans="1:7" ht="14.25" thickBot="1">
      <c r="A326" s="2982" t="s">
        <v>306</v>
      </c>
      <c r="B326" s="2972" t="s">
        <v>3228</v>
      </c>
      <c r="C326" s="2974"/>
      <c r="D326" s="2974"/>
      <c r="E326" s="2974"/>
      <c r="F326" s="2973">
        <v>0.05</v>
      </c>
      <c r="G326" s="2987"/>
    </row>
    <row r="327" spans="1:7">
      <c r="A327" s="2978" t="s">
        <v>307</v>
      </c>
      <c r="B327" s="2964" t="s">
        <v>2860</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2872</v>
      </c>
      <c r="C329" s="2969">
        <v>0.15</v>
      </c>
      <c r="D329" s="2969">
        <v>0.15</v>
      </c>
      <c r="E329" s="2969">
        <v>0.15</v>
      </c>
      <c r="F329" s="2969">
        <v>0.15</v>
      </c>
      <c r="G329" s="2970">
        <v>0.15</v>
      </c>
    </row>
    <row r="330" spans="1:7">
      <c r="A330" s="2979" t="s">
        <v>307</v>
      </c>
      <c r="B330" s="2968" t="s">
        <v>2876</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2884</v>
      </c>
      <c r="C332" s="2969">
        <v>0.15</v>
      </c>
      <c r="D332" s="2969">
        <v>0.15</v>
      </c>
      <c r="E332" s="2969">
        <v>0.15</v>
      </c>
      <c r="F332" s="2969">
        <v>0.15</v>
      </c>
      <c r="G332" s="2970">
        <v>0.15</v>
      </c>
    </row>
    <row r="333" spans="1:7">
      <c r="A333" s="2979" t="s">
        <v>307</v>
      </c>
      <c r="B333" s="2968" t="s">
        <v>2888</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2894</v>
      </c>
      <c r="C336" s="2969">
        <v>0.15</v>
      </c>
      <c r="D336" s="2969">
        <v>0.15</v>
      </c>
      <c r="E336" s="2969">
        <v>0.15</v>
      </c>
      <c r="F336" s="2969">
        <v>0.14199999999999999</v>
      </c>
      <c r="G336" s="2970">
        <v>0.15</v>
      </c>
    </row>
    <row r="337" spans="1:7">
      <c r="A337" s="2979" t="s">
        <v>307</v>
      </c>
      <c r="B337" s="2968" t="s">
        <v>2899</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2906</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2911</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2919</v>
      </c>
      <c r="C345" s="2969">
        <v>0.15</v>
      </c>
      <c r="D345" s="2969">
        <v>0.15</v>
      </c>
      <c r="E345" s="2969">
        <v>0.15</v>
      </c>
      <c r="F345" s="2969">
        <v>0.13800000000000001</v>
      </c>
      <c r="G345" s="2970">
        <v>0.15</v>
      </c>
    </row>
    <row r="346" spans="1:7">
      <c r="A346" s="2979" t="s">
        <v>307</v>
      </c>
      <c r="B346" s="2968" t="s">
        <v>2921</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2928</v>
      </c>
      <c r="C348" s="2969">
        <v>0.15</v>
      </c>
      <c r="D348" s="2969">
        <v>0.15</v>
      </c>
      <c r="E348" s="2969">
        <v>0.15</v>
      </c>
      <c r="F348" s="2969">
        <v>0.14399999999999999</v>
      </c>
      <c r="G348" s="2970">
        <v>0.15</v>
      </c>
    </row>
    <row r="349" spans="1:7">
      <c r="A349" s="2979" t="s">
        <v>307</v>
      </c>
      <c r="B349" s="2968" t="s">
        <v>2933</v>
      </c>
      <c r="C349" s="2969">
        <v>0.15</v>
      </c>
      <c r="D349" s="2969">
        <v>0.15</v>
      </c>
      <c r="E349" s="2969">
        <v>0.15</v>
      </c>
      <c r="F349" s="2969">
        <v>0.15</v>
      </c>
      <c r="G349" s="2970">
        <v>0.15</v>
      </c>
    </row>
    <row r="350" spans="1:7">
      <c r="A350" s="2979" t="s">
        <v>307</v>
      </c>
      <c r="B350" s="2968" t="s">
        <v>2936</v>
      </c>
      <c r="C350" s="2969">
        <v>0.15</v>
      </c>
      <c r="D350" s="2969">
        <v>0.15</v>
      </c>
      <c r="E350" s="2969">
        <v>0.15</v>
      </c>
      <c r="F350" s="2969">
        <v>0.14699999999999999</v>
      </c>
      <c r="G350" s="2970">
        <v>0.15</v>
      </c>
    </row>
    <row r="351" spans="1:7">
      <c r="A351" s="2979" t="s">
        <v>307</v>
      </c>
      <c r="B351" s="2968" t="s">
        <v>2941</v>
      </c>
      <c r="C351" s="2969">
        <v>0.15</v>
      </c>
      <c r="D351" s="2969">
        <v>0.15</v>
      </c>
      <c r="E351" s="2969">
        <v>0.15</v>
      </c>
      <c r="F351" s="2969">
        <v>0.13</v>
      </c>
      <c r="G351" s="2970">
        <v>0.15</v>
      </c>
    </row>
    <row r="352" spans="1:7">
      <c r="A352" s="2979" t="s">
        <v>307</v>
      </c>
      <c r="B352" s="2968" t="s">
        <v>2946</v>
      </c>
      <c r="C352" s="2969">
        <v>0.15</v>
      </c>
      <c r="D352" s="2969">
        <v>0.15</v>
      </c>
      <c r="E352" s="2969">
        <v>0.15</v>
      </c>
      <c r="F352" s="2969">
        <v>0.14599999999999999</v>
      </c>
      <c r="G352" s="2970">
        <v>0.15</v>
      </c>
    </row>
    <row r="353" spans="1:7">
      <c r="A353" s="2979" t="s">
        <v>307</v>
      </c>
      <c r="B353" s="2968" t="s">
        <v>2953</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2966</v>
      </c>
      <c r="C355" s="2969">
        <v>0.15</v>
      </c>
      <c r="D355" s="2969">
        <v>0.15</v>
      </c>
      <c r="E355" s="2969">
        <v>0.15</v>
      </c>
      <c r="F355" s="2969">
        <v>0.15</v>
      </c>
      <c r="G355" s="2970">
        <v>0.15</v>
      </c>
    </row>
    <row r="356" spans="1:7">
      <c r="A356" s="2979" t="s">
        <v>307</v>
      </c>
      <c r="B356" s="2968" t="s">
        <v>2973</v>
      </c>
      <c r="C356" s="2969">
        <v>0.15</v>
      </c>
      <c r="D356" s="2969">
        <v>0.15</v>
      </c>
      <c r="E356" s="2969">
        <v>0.15</v>
      </c>
      <c r="F356" s="2969">
        <v>0.15</v>
      </c>
      <c r="G356" s="2970">
        <v>0.15</v>
      </c>
    </row>
    <row r="357" spans="1:7" ht="14.25" thickBot="1">
      <c r="A357" s="2982" t="s">
        <v>307</v>
      </c>
      <c r="B357" s="2972" t="s">
        <v>2978</v>
      </c>
      <c r="C357" s="2973">
        <v>0.126</v>
      </c>
      <c r="D357" s="2973">
        <v>0.127</v>
      </c>
      <c r="E357" s="2973">
        <v>0.14299999999999999</v>
      </c>
      <c r="F357" s="2973">
        <v>0.125</v>
      </c>
      <c r="G357" s="2975">
        <v>0.129</v>
      </c>
    </row>
    <row r="358" spans="1:7">
      <c r="A358" s="2978" t="s">
        <v>2847</v>
      </c>
      <c r="B358" s="2964" t="s">
        <v>2861</v>
      </c>
      <c r="C358" s="2965">
        <v>0.15</v>
      </c>
      <c r="D358" s="2965">
        <v>0.15</v>
      </c>
      <c r="E358" s="2965">
        <v>0.15</v>
      </c>
      <c r="F358" s="2965">
        <v>0.15</v>
      </c>
      <c r="G358" s="2966">
        <v>0.15</v>
      </c>
    </row>
    <row r="359" spans="1:7">
      <c r="A359" s="2979" t="s">
        <v>2847</v>
      </c>
      <c r="B359" s="2968" t="s">
        <v>2867</v>
      </c>
      <c r="C359" s="2969">
        <v>0.1</v>
      </c>
      <c r="D359" s="2969">
        <v>0.1</v>
      </c>
      <c r="E359" s="2969">
        <v>0.1</v>
      </c>
      <c r="F359" s="2969">
        <v>0.1</v>
      </c>
      <c r="G359" s="2970">
        <v>0.1</v>
      </c>
    </row>
    <row r="360" spans="1:7">
      <c r="A360" s="2979" t="s">
        <v>2847</v>
      </c>
      <c r="B360" s="2968" t="s">
        <v>2873</v>
      </c>
      <c r="C360" s="2969">
        <v>0.15</v>
      </c>
      <c r="D360" s="2969">
        <v>0.15</v>
      </c>
      <c r="E360" s="2969">
        <v>0.15</v>
      </c>
      <c r="F360" s="2969">
        <v>0.14899999999999999</v>
      </c>
      <c r="G360" s="2970">
        <v>0.15</v>
      </c>
    </row>
    <row r="361" spans="1:7">
      <c r="A361" s="2979" t="s">
        <v>2847</v>
      </c>
      <c r="B361" s="2968" t="s">
        <v>153</v>
      </c>
      <c r="C361" s="2969">
        <v>0.15</v>
      </c>
      <c r="D361" s="2969">
        <v>0.15</v>
      </c>
      <c r="E361" s="2969">
        <v>0.15</v>
      </c>
      <c r="F361" s="2969">
        <v>0.115</v>
      </c>
      <c r="G361" s="2970">
        <v>0.15</v>
      </c>
    </row>
    <row r="362" spans="1:7">
      <c r="A362" s="2979" t="s">
        <v>2847</v>
      </c>
      <c r="B362" s="2968" t="s">
        <v>2880</v>
      </c>
      <c r="C362" s="2969">
        <v>0.15</v>
      </c>
      <c r="D362" s="2969">
        <v>0.15</v>
      </c>
      <c r="E362" s="2969">
        <v>0.15</v>
      </c>
      <c r="F362" s="2969">
        <v>0.106</v>
      </c>
      <c r="G362" s="2970">
        <v>0.15</v>
      </c>
    </row>
    <row r="363" spans="1:7">
      <c r="A363" s="2979" t="s">
        <v>2847</v>
      </c>
      <c r="B363" s="2968" t="s">
        <v>2885</v>
      </c>
      <c r="C363" s="2969">
        <v>0.15</v>
      </c>
      <c r="D363" s="2969">
        <v>0.15</v>
      </c>
      <c r="E363" s="2969">
        <v>0.15</v>
      </c>
      <c r="F363" s="2969">
        <v>0.14699999999999999</v>
      </c>
      <c r="G363" s="2970">
        <v>0.15</v>
      </c>
    </row>
    <row r="364" spans="1:7">
      <c r="A364" s="2979" t="s">
        <v>2847</v>
      </c>
      <c r="B364" s="2968" t="s">
        <v>2889</v>
      </c>
      <c r="C364" s="2969">
        <v>0.15</v>
      </c>
      <c r="D364" s="2969">
        <v>0.15</v>
      </c>
      <c r="E364" s="2969">
        <v>0.15</v>
      </c>
      <c r="F364" s="2969">
        <v>0.14799999999999999</v>
      </c>
      <c r="G364" s="2970">
        <v>0.15</v>
      </c>
    </row>
    <row r="365" spans="1:7">
      <c r="A365" s="2979" t="s">
        <v>2847</v>
      </c>
      <c r="B365" s="2968" t="s">
        <v>200</v>
      </c>
      <c r="C365" s="2969">
        <v>0.15</v>
      </c>
      <c r="D365" s="2969">
        <v>0.15</v>
      </c>
      <c r="E365" s="2969">
        <v>0.15</v>
      </c>
      <c r="F365" s="2969">
        <v>0.15</v>
      </c>
      <c r="G365" s="2970">
        <v>0.15</v>
      </c>
    </row>
    <row r="366" spans="1:7">
      <c r="A366" s="2979" t="s">
        <v>2847</v>
      </c>
      <c r="B366" s="2968" t="s">
        <v>2892</v>
      </c>
      <c r="C366" s="2969">
        <v>0.15</v>
      </c>
      <c r="D366" s="2969">
        <v>0.15</v>
      </c>
      <c r="E366" s="2969">
        <v>0.15</v>
      </c>
      <c r="F366" s="2969">
        <v>0.15</v>
      </c>
      <c r="G366" s="2970">
        <v>0.15</v>
      </c>
    </row>
    <row r="367" spans="1:7">
      <c r="A367" s="2979" t="s">
        <v>2847</v>
      </c>
      <c r="B367" s="2968" t="s">
        <v>2895</v>
      </c>
      <c r="C367" s="2969">
        <v>0.15</v>
      </c>
      <c r="D367" s="2969">
        <v>0.15</v>
      </c>
      <c r="E367" s="2969">
        <v>0.15</v>
      </c>
      <c r="F367" s="2969">
        <v>0.14699999999999999</v>
      </c>
      <c r="G367" s="2970">
        <v>0.15</v>
      </c>
    </row>
    <row r="368" spans="1:7">
      <c r="A368" s="2979" t="s">
        <v>2847</v>
      </c>
      <c r="B368" s="2968" t="s">
        <v>2900</v>
      </c>
      <c r="C368" s="2969">
        <v>0.15</v>
      </c>
      <c r="D368" s="2969">
        <v>0.15</v>
      </c>
      <c r="E368" s="2969">
        <v>0.15</v>
      </c>
      <c r="F368" s="2969">
        <v>0.13600000000000001</v>
      </c>
      <c r="G368" s="2970">
        <v>0.15</v>
      </c>
    </row>
    <row r="369" spans="1:7">
      <c r="A369" s="2979" t="s">
        <v>2847</v>
      </c>
      <c r="B369" s="2968" t="s">
        <v>214</v>
      </c>
      <c r="C369" s="2969">
        <v>0.15</v>
      </c>
      <c r="D369" s="2969">
        <v>0.15</v>
      </c>
      <c r="E369" s="2969">
        <v>0.15</v>
      </c>
      <c r="F369" s="2969">
        <v>0.14399999999999999</v>
      </c>
      <c r="G369" s="2970">
        <v>0.15</v>
      </c>
    </row>
    <row r="370" spans="1:7">
      <c r="A370" s="2979" t="s">
        <v>2847</v>
      </c>
      <c r="B370" s="2968" t="s">
        <v>221</v>
      </c>
      <c r="C370" s="2969">
        <v>0.15</v>
      </c>
      <c r="D370" s="2969">
        <v>0.15</v>
      </c>
      <c r="E370" s="2969">
        <v>0.15</v>
      </c>
      <c r="F370" s="2969">
        <v>0.14599999999999999</v>
      </c>
      <c r="G370" s="2970">
        <v>0.15</v>
      </c>
    </row>
    <row r="371" spans="1:7">
      <c r="A371" s="2979" t="s">
        <v>2847</v>
      </c>
      <c r="B371" s="2968" t="s">
        <v>229</v>
      </c>
      <c r="C371" s="2969">
        <v>0.15</v>
      </c>
      <c r="D371" s="2969">
        <v>0.15</v>
      </c>
      <c r="E371" s="2969">
        <v>0.15</v>
      </c>
      <c r="F371" s="2969">
        <v>0.12</v>
      </c>
      <c r="G371" s="2970">
        <v>0.15</v>
      </c>
    </row>
    <row r="372" spans="1:7">
      <c r="A372" s="2979" t="s">
        <v>2847</v>
      </c>
      <c r="B372" s="2968" t="s">
        <v>2908</v>
      </c>
      <c r="C372" s="2969">
        <v>0.15</v>
      </c>
      <c r="D372" s="2969">
        <v>0.15</v>
      </c>
      <c r="E372" s="2969">
        <v>0.15</v>
      </c>
      <c r="F372" s="2969">
        <v>0.14299999999999999</v>
      </c>
      <c r="G372" s="2970">
        <v>0.15</v>
      </c>
    </row>
    <row r="373" spans="1:7">
      <c r="A373" s="2979" t="s">
        <v>2847</v>
      </c>
      <c r="B373" s="2968" t="s">
        <v>258</v>
      </c>
      <c r="C373" s="2969">
        <v>0.15</v>
      </c>
      <c r="D373" s="2969">
        <v>0.15</v>
      </c>
      <c r="E373" s="2969">
        <v>0.15</v>
      </c>
      <c r="F373" s="2969">
        <v>0.14599999999999999</v>
      </c>
      <c r="G373" s="2970">
        <v>0.15</v>
      </c>
    </row>
    <row r="374" spans="1:7">
      <c r="A374" s="2979" t="s">
        <v>2847</v>
      </c>
      <c r="B374" s="2968" t="s">
        <v>266</v>
      </c>
      <c r="C374" s="2969">
        <v>0.15</v>
      </c>
      <c r="D374" s="2969">
        <v>0.15</v>
      </c>
      <c r="E374" s="2969">
        <v>0.15</v>
      </c>
      <c r="F374" s="2969">
        <v>0.14399999999999999</v>
      </c>
      <c r="G374" s="2970">
        <v>0.15</v>
      </c>
    </row>
    <row r="375" spans="1:7">
      <c r="A375" s="2979" t="s">
        <v>2847</v>
      </c>
      <c r="B375" s="2968" t="s">
        <v>2916</v>
      </c>
      <c r="C375" s="2969">
        <v>0.15</v>
      </c>
      <c r="D375" s="2969">
        <v>0.15</v>
      </c>
      <c r="E375" s="2969">
        <v>0.15</v>
      </c>
      <c r="F375" s="2969">
        <v>0.13</v>
      </c>
      <c r="G375" s="2970">
        <v>0.15</v>
      </c>
    </row>
    <row r="376" spans="1:7">
      <c r="A376" s="2979" t="s">
        <v>2847</v>
      </c>
      <c r="B376" s="2968" t="s">
        <v>277</v>
      </c>
      <c r="C376" s="2969">
        <v>0.15</v>
      </c>
      <c r="D376" s="2969">
        <v>0.15</v>
      </c>
      <c r="E376" s="2969">
        <v>0.15</v>
      </c>
      <c r="F376" s="2969">
        <v>0.14199999999999999</v>
      </c>
      <c r="G376" s="2970">
        <v>0.15</v>
      </c>
    </row>
    <row r="377" spans="1:7" ht="14.25" thickBot="1">
      <c r="A377" s="2982" t="s">
        <v>2847</v>
      </c>
      <c r="B377" s="2972" t="s">
        <v>2922</v>
      </c>
      <c r="C377" s="2973">
        <v>0.15</v>
      </c>
      <c r="D377" s="2973">
        <v>0.15</v>
      </c>
      <c r="E377" s="2973">
        <v>0.15</v>
      </c>
      <c r="F377" s="2973">
        <v>0.14000000000000001</v>
      </c>
      <c r="G377" s="2975">
        <v>0.15</v>
      </c>
    </row>
    <row r="378" spans="1:7">
      <c r="A378" s="2978" t="s">
        <v>2848</v>
      </c>
      <c r="B378" s="2964" t="s">
        <v>2862</v>
      </c>
      <c r="C378" s="2965">
        <v>0.15</v>
      </c>
      <c r="D378" s="2965">
        <v>0.15</v>
      </c>
      <c r="E378" s="2965">
        <v>0.15</v>
      </c>
      <c r="F378" s="2965">
        <v>0.107</v>
      </c>
      <c r="G378" s="2966">
        <v>0.15</v>
      </c>
    </row>
    <row r="379" spans="1:7">
      <c r="A379" s="2979" t="s">
        <v>2848</v>
      </c>
      <c r="B379" s="2968" t="s">
        <v>2868</v>
      </c>
      <c r="C379" s="2969">
        <v>0.15</v>
      </c>
      <c r="D379" s="2969">
        <v>0.15</v>
      </c>
      <c r="E379" s="2969">
        <v>0.15</v>
      </c>
      <c r="F379" s="2969">
        <v>0.115</v>
      </c>
      <c r="G379" s="2970">
        <v>0.14899999999999999</v>
      </c>
    </row>
    <row r="380" spans="1:7">
      <c r="A380" s="2979" t="s">
        <v>2848</v>
      </c>
      <c r="B380" s="2968" t="s">
        <v>2874</v>
      </c>
      <c r="C380" s="2969">
        <v>0.15</v>
      </c>
      <c r="D380" s="2969">
        <v>0.15</v>
      </c>
      <c r="E380" s="2969">
        <v>0.15</v>
      </c>
      <c r="F380" s="2969">
        <v>0.1</v>
      </c>
      <c r="G380" s="2970">
        <v>0.14799999999999999</v>
      </c>
    </row>
    <row r="381" spans="1:7">
      <c r="A381" s="2979" t="s">
        <v>2848</v>
      </c>
      <c r="B381" s="2968" t="s">
        <v>2877</v>
      </c>
      <c r="C381" s="2969">
        <v>0.15</v>
      </c>
      <c r="D381" s="2969">
        <v>0.15</v>
      </c>
      <c r="E381" s="2969">
        <v>0.15</v>
      </c>
      <c r="F381" s="2969">
        <v>0.126</v>
      </c>
      <c r="G381" s="2970">
        <v>0.15</v>
      </c>
    </row>
    <row r="382" spans="1:7">
      <c r="A382" s="2979" t="s">
        <v>2848</v>
      </c>
      <c r="B382" s="2968" t="s">
        <v>2881</v>
      </c>
      <c r="C382" s="2969">
        <v>0.15</v>
      </c>
      <c r="D382" s="2969">
        <v>0.15</v>
      </c>
      <c r="E382" s="2969">
        <v>0.15</v>
      </c>
      <c r="F382" s="2969">
        <v>0.15</v>
      </c>
      <c r="G382" s="2970">
        <v>0.15</v>
      </c>
    </row>
    <row r="383" spans="1:7">
      <c r="A383" s="2979" t="s">
        <v>2848</v>
      </c>
      <c r="B383" s="2968" t="s">
        <v>2886</v>
      </c>
      <c r="C383" s="2969">
        <v>0.15</v>
      </c>
      <c r="D383" s="2969">
        <v>0.15</v>
      </c>
      <c r="E383" s="2969">
        <v>0.15</v>
      </c>
      <c r="F383" s="2969">
        <v>0.14699999999999999</v>
      </c>
      <c r="G383" s="2970">
        <v>0.15</v>
      </c>
    </row>
    <row r="384" spans="1:7" ht="14.25" thickBot="1">
      <c r="A384" s="2989" t="s">
        <v>2848</v>
      </c>
      <c r="B384" s="2990" t="s">
        <v>2890</v>
      </c>
      <c r="C384" s="2991">
        <v>0.15</v>
      </c>
      <c r="D384" s="2991">
        <v>0.15</v>
      </c>
      <c r="E384" s="2991">
        <v>0.15</v>
      </c>
      <c r="F384" s="2991">
        <v>0.15</v>
      </c>
      <c r="G384" s="299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4"/>
  </cols>
  <sheetData>
    <row r="1" spans="1:6">
      <c r="A1" s="3498" t="s">
        <v>3229</v>
      </c>
      <c r="B1" s="3498"/>
      <c r="C1" s="3498"/>
      <c r="D1" s="3498"/>
      <c r="E1" s="3498"/>
      <c r="F1" s="3499"/>
    </row>
    <row r="2" spans="1:6">
      <c r="A2" s="2993" t="s">
        <v>3230</v>
      </c>
    </row>
    <row r="3" spans="1:6">
      <c r="A3" s="2993" t="s">
        <v>3231</v>
      </c>
      <c r="F3" s="2994" t="s">
        <v>3232</v>
      </c>
    </row>
    <row r="4" spans="1:6">
      <c r="A4" s="2995" t="s">
        <v>672</v>
      </c>
      <c r="B4" s="2995" t="s">
        <v>673</v>
      </c>
      <c r="C4" s="2995" t="s">
        <v>21</v>
      </c>
      <c r="D4" s="2995" t="s">
        <v>674</v>
      </c>
      <c r="E4" s="2995" t="s">
        <v>3</v>
      </c>
      <c r="F4" s="2995" t="s">
        <v>3233</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28">
        <f>基准地价修正!G23</f>
        <v>45595</v>
      </c>
      <c r="B1" s="2920" t="s">
        <v>3379</v>
      </c>
      <c r="C1" s="2921"/>
      <c r="D1" s="2921"/>
      <c r="E1" s="2921"/>
      <c r="F1" s="2921"/>
      <c r="G1" s="2921"/>
      <c r="H1" s="2921"/>
      <c r="I1" s="2921"/>
      <c r="J1" s="2887"/>
      <c r="K1" s="2921" t="s">
        <v>454</v>
      </c>
      <c r="L1" s="2921"/>
      <c r="M1" s="2921"/>
      <c r="N1" s="2921"/>
      <c r="O1" s="2921"/>
      <c r="P1" s="2921"/>
      <c r="Q1" s="2887"/>
      <c r="R1" s="3500" t="s">
        <v>456</v>
      </c>
      <c r="S1" s="3501"/>
      <c r="T1" s="3501"/>
      <c r="U1" s="3501"/>
      <c r="V1" s="3501"/>
      <c r="W1" s="3501"/>
      <c r="X1" s="2887"/>
      <c r="Y1" s="3500" t="s">
        <v>457</v>
      </c>
      <c r="Z1" s="3501"/>
      <c r="AA1" s="3501"/>
      <c r="AB1" s="3501"/>
      <c r="AC1" s="3501"/>
      <c r="AD1" s="3501"/>
    </row>
    <row r="2" spans="1:30" s="2002" customFormat="1" ht="14.25" thickBot="1">
      <c r="B2" s="2872"/>
      <c r="C2" s="2873"/>
      <c r="D2" s="2003" t="s">
        <v>2807</v>
      </c>
      <c r="E2" s="2004" t="s">
        <v>2808</v>
      </c>
      <c r="F2" s="2004" t="s">
        <v>2809</v>
      </c>
      <c r="G2" s="2004" t="s">
        <v>2810</v>
      </c>
      <c r="H2" s="2004" t="s">
        <v>2811</v>
      </c>
      <c r="I2" s="2004" t="s">
        <v>2628</v>
      </c>
      <c r="J2" s="2874"/>
      <c r="K2" s="2003" t="s">
        <v>2807</v>
      </c>
      <c r="L2" s="2004" t="s">
        <v>2808</v>
      </c>
      <c r="M2" s="2004" t="s">
        <v>2809</v>
      </c>
      <c r="N2" s="2004" t="s">
        <v>2810</v>
      </c>
      <c r="O2" s="2004" t="s">
        <v>2812</v>
      </c>
      <c r="P2" s="2004" t="s">
        <v>2628</v>
      </c>
      <c r="Q2" s="2874"/>
      <c r="R2" s="2003" t="s">
        <v>2807</v>
      </c>
      <c r="S2" s="2004" t="s">
        <v>2808</v>
      </c>
      <c r="T2" s="2004" t="s">
        <v>2809</v>
      </c>
      <c r="U2" s="2004" t="s">
        <v>2813</v>
      </c>
      <c r="V2" s="2004" t="s">
        <v>2814</v>
      </c>
      <c r="W2" s="2004" t="s">
        <v>2628</v>
      </c>
      <c r="X2" s="2874"/>
      <c r="Y2" s="2003" t="s">
        <v>2807</v>
      </c>
      <c r="Z2" s="2004" t="s">
        <v>2808</v>
      </c>
      <c r="AA2" s="2004" t="s">
        <v>2809</v>
      </c>
      <c r="AB2" s="2004" t="s">
        <v>2815</v>
      </c>
      <c r="AC2" s="2004" t="s">
        <v>2814</v>
      </c>
      <c r="AD2" s="2004" t="s">
        <v>2628</v>
      </c>
    </row>
    <row r="3" spans="1:30" s="2877" customFormat="1" ht="12.75">
      <c r="A3" s="2875" t="s">
        <v>2816</v>
      </c>
      <c r="B3" s="2876"/>
      <c r="D3" s="2877">
        <f>ROUND(AVERAGEIF(D4:D21,"&lt;&gt;0"),2)</f>
        <v>0.47</v>
      </c>
      <c r="E3" s="2877">
        <f t="shared" ref="E3:H3" si="0">ROUND(AVERAGEIF(E4:E21,"&lt;&gt;0"),2)</f>
        <v>0.3</v>
      </c>
      <c r="F3" s="2877">
        <f t="shared" si="0"/>
        <v>0.04</v>
      </c>
      <c r="G3" s="2877">
        <f t="shared" si="0"/>
        <v>0.51</v>
      </c>
      <c r="H3" s="2877">
        <f t="shared" si="0"/>
        <v>0.55000000000000004</v>
      </c>
      <c r="I3" s="2877">
        <f>F3</f>
        <v>0.04</v>
      </c>
      <c r="J3" s="2878"/>
      <c r="K3" s="2879">
        <f>ROUND(AVERAGEIF(K4:K21,"&lt;&gt;0"),4)</f>
        <v>4.7000000000000002E-3</v>
      </c>
      <c r="L3" s="2880">
        <f t="shared" ref="L3:O3" si="1">ROUND(AVERAGEIF(L4:L21,"&lt;&gt;0"),4)</f>
        <v>3.0000000000000001E-3</v>
      </c>
      <c r="M3" s="2880">
        <f t="shared" si="1"/>
        <v>4.0000000000000002E-4</v>
      </c>
      <c r="N3" s="2880">
        <f t="shared" si="1"/>
        <v>5.1000000000000004E-3</v>
      </c>
      <c r="O3" s="2880">
        <f t="shared" si="1"/>
        <v>5.4999999999999997E-3</v>
      </c>
      <c r="P3" s="2880">
        <f>M3</f>
        <v>4.0000000000000002E-4</v>
      </c>
      <c r="Q3" s="2878"/>
      <c r="R3" s="2881">
        <f>ROUND(SUMPRODUCT(PRODUCT(1+K4:K21)),4)</f>
        <v>1.0723</v>
      </c>
      <c r="S3" s="2882">
        <f t="shared" ref="S3:V3" si="2">ROUND(SUMPRODUCT(PRODUCT(1+L4:L21)),4)</f>
        <v>1.0465</v>
      </c>
      <c r="T3" s="2882">
        <f t="shared" si="2"/>
        <v>1.0054000000000001</v>
      </c>
      <c r="U3" s="2882">
        <f t="shared" si="2"/>
        <v>1.0790999999999999</v>
      </c>
      <c r="V3" s="2882">
        <f t="shared" si="2"/>
        <v>1.0857000000000001</v>
      </c>
      <c r="W3" s="2881">
        <f>T3</f>
        <v>1.0054000000000001</v>
      </c>
      <c r="X3" s="2878"/>
      <c r="Y3" s="2883">
        <f>ROUND(AVERAGEIF(Y8:Y21,"&lt;&gt;0"),4)</f>
        <v>8.3999999999999995E-3</v>
      </c>
      <c r="Z3" s="2884">
        <f t="shared" ref="Z3:AC3" si="3">ROUND(AVERAGEIF(Z8:Z21,"&lt;&gt;0"),4)</f>
        <v>3.5000000000000001E-3</v>
      </c>
      <c r="AA3" s="2885">
        <f t="shared" si="3"/>
        <v>8.0000000000000004E-4</v>
      </c>
      <c r="AB3" s="2883">
        <f t="shared" si="3"/>
        <v>9.1000000000000004E-3</v>
      </c>
      <c r="AC3" s="2886">
        <f t="shared" si="3"/>
        <v>6.1000000000000004E-3</v>
      </c>
      <c r="AD3" s="2883">
        <f>AA3</f>
        <v>8.0000000000000004E-4</v>
      </c>
    </row>
    <row r="4" spans="1:30"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30" s="2037" customFormat="1" ht="12.75">
      <c r="A5" s="2032" t="s">
        <v>3375</v>
      </c>
      <c r="B5" s="2023">
        <v>2025</v>
      </c>
      <c r="C5" s="2034">
        <v>1</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M5</f>
        <v>0</v>
      </c>
      <c r="Q5" s="2897"/>
      <c r="R5" s="2019">
        <f>ROUND(IF(项目基本情况!$B$8="出让",SUMPRODUCT(PRODUCT(1+K5:$K$21)),SUMPRODUCT(PRODUCT(1+K5:$K$20))),4)</f>
        <v>1.0620000000000001</v>
      </c>
      <c r="S5" s="2019">
        <f>ROUND(IF(项目基本情况!$B$8="出让",SUMPRODUCT(PRODUCT(1+L5:$L$21)),SUMPRODUCT(PRODUCT(1+L5:$L$20))),4)</f>
        <v>1.0448</v>
      </c>
      <c r="T5" s="2019">
        <f>ROUND(IF(项目基本情况!$B$8="出让",SUMPRODUCT(PRODUCT(1+M5:$M$21)),SUMPRODUCT(PRODUCT(1+M5:$M$20))),4)</f>
        <v>1.0079</v>
      </c>
      <c r="U5" s="2019">
        <f>ROUND(IF(项目基本情况!$B$8="出让",SUMPRODUCT(PRODUCT(1+N5:$N$21)),SUMPRODUCT(PRODUCT(1+N5:$N$20))),4)</f>
        <v>1.0672999999999999</v>
      </c>
      <c r="V5" s="2019">
        <f>ROUND(IF(项目基本情况!$B$8="出让",SUMPRODUCT(PRODUCT(1+O5:$O$21)),SUMPRODUCT(PRODUCT(1+O5:$O$20))),4)</f>
        <v>1.0818000000000001</v>
      </c>
      <c r="W5" s="2019">
        <f>T5</f>
        <v>1.0079</v>
      </c>
      <c r="X5" s="2897"/>
      <c r="Y5" s="2020">
        <f>IF(D5=0,0,ROUND(AVERAGE(D5:D18)/100,4))</f>
        <v>0</v>
      </c>
      <c r="Z5" s="2020">
        <f t="shared" ref="Z5" si="10">IF(E5=0,0,ROUND(AVERAGE(E5:E18)/100,4))</f>
        <v>0</v>
      </c>
      <c r="AA5" s="2020">
        <f t="shared" ref="AA5" si="11">IF(F5=0,0,ROUND(AVERAGE(F5:F18)/100,4))</f>
        <v>0</v>
      </c>
      <c r="AB5" s="2020">
        <f t="shared" ref="AB5" si="12">IF(G5=0,0,ROUND(AVERAGE(G5:G18)/100,4))</f>
        <v>0</v>
      </c>
      <c r="AC5" s="2020">
        <f t="shared" ref="AC5" si="13">IF(H5=0,0,ROUND(AVERAGE(H5:H18)/100,4))</f>
        <v>0</v>
      </c>
      <c r="AD5" s="2020">
        <f t="shared" ref="AD5" si="14">AA5</f>
        <v>0</v>
      </c>
    </row>
    <row r="6" spans="1:30" s="2907" customFormat="1" ht="12.75">
      <c r="A6" s="2898" t="s">
        <v>3384</v>
      </c>
      <c r="B6" s="2899">
        <v>2024</v>
      </c>
      <c r="C6" s="2900">
        <v>4</v>
      </c>
      <c r="D6" s="2901">
        <v>0</v>
      </c>
      <c r="E6" s="2901">
        <v>0</v>
      </c>
      <c r="F6" s="2901">
        <v>0</v>
      </c>
      <c r="G6" s="2901">
        <v>0</v>
      </c>
      <c r="H6" s="2902">
        <v>0</v>
      </c>
      <c r="I6" s="2903">
        <f t="shared" ref="I6" si="15">F6</f>
        <v>0</v>
      </c>
      <c r="J6" s="2904"/>
      <c r="K6" s="2905">
        <f t="shared" ref="K6" si="16">D6/100</f>
        <v>0</v>
      </c>
      <c r="L6" s="2906">
        <f t="shared" ref="L6" si="17">E6/100</f>
        <v>0</v>
      </c>
      <c r="M6" s="2906">
        <f t="shared" ref="M6" si="18">F6/100</f>
        <v>0</v>
      </c>
      <c r="N6" s="2906">
        <f t="shared" ref="N6" si="19">G6/100</f>
        <v>0</v>
      </c>
      <c r="O6" s="2906">
        <f t="shared" ref="O6" si="20">H6/100</f>
        <v>0</v>
      </c>
      <c r="P6" s="2906">
        <f>M6</f>
        <v>0</v>
      </c>
      <c r="Q6" s="2904"/>
      <c r="R6" s="2904">
        <f>ROUND(IF(项目基本情况!$B$8="出让",SUMPRODUCT(PRODUCT(1+K6:$K$21)),SUMPRODUCT(PRODUCT(1+K6:$K$20))),4)</f>
        <v>1.0620000000000001</v>
      </c>
      <c r="S6" s="2904">
        <f>ROUND(IF(项目基本情况!$B$8="出让",SUMPRODUCT(PRODUCT(1+L6:$L$21)),SUMPRODUCT(PRODUCT(1+L6:$L$20))),4)</f>
        <v>1.0448</v>
      </c>
      <c r="T6" s="2904">
        <f>ROUND(IF(项目基本情况!$B$8="出让",SUMPRODUCT(PRODUCT(1+M6:$M$21)),SUMPRODUCT(PRODUCT(1+M6:$M$20))),4)</f>
        <v>1.0079</v>
      </c>
      <c r="U6" s="2904">
        <f>ROUND(IF(项目基本情况!$B$8="出让",SUMPRODUCT(PRODUCT(1+N6:$N$21)),SUMPRODUCT(PRODUCT(1+N6:$N$20))),4)</f>
        <v>1.0672999999999999</v>
      </c>
      <c r="V6" s="2904">
        <f>ROUND(IF(项目基本情况!$B$8="出让",SUMPRODUCT(PRODUCT(1+O6:$O$21)),SUMPRODUCT(PRODUCT(1+O6:$O$20))),4)</f>
        <v>1.0818000000000001</v>
      </c>
      <c r="W6" s="2904">
        <f>T6</f>
        <v>1.0079</v>
      </c>
      <c r="X6" s="2904"/>
      <c r="Y6" s="2906">
        <f>IF(D6=0,0,ROUND(AVERAGE(D6:D19)/100,4))</f>
        <v>0</v>
      </c>
      <c r="Z6" s="2906">
        <f t="shared" ref="Z6" si="21">IF(E6=0,0,ROUND(AVERAGE(E6:E19)/100,4))</f>
        <v>0</v>
      </c>
      <c r="AA6" s="2906">
        <f t="shared" ref="AA6" si="22">IF(F6=0,0,ROUND(AVERAGE(F6:F19)/100,4))</f>
        <v>0</v>
      </c>
      <c r="AB6" s="2906">
        <f t="shared" ref="AB6" si="23">IF(G6=0,0,ROUND(AVERAGE(G6:G19)/100,4))</f>
        <v>0</v>
      </c>
      <c r="AC6" s="2906">
        <f t="shared" ref="AC6" si="24">IF(H6=0,0,ROUND(AVERAGE(H6:H19)/100,4))</f>
        <v>0</v>
      </c>
      <c r="AD6" s="2906">
        <f t="shared" ref="AD6" si="25">AA6</f>
        <v>0</v>
      </c>
    </row>
    <row r="7" spans="1:30" s="2037" customFormat="1" ht="12.75">
      <c r="A7" s="2032" t="s">
        <v>3383</v>
      </c>
      <c r="B7" s="2023">
        <v>2024</v>
      </c>
      <c r="C7" s="2034">
        <v>3</v>
      </c>
      <c r="D7" s="1999">
        <v>-1.19</v>
      </c>
      <c r="E7" s="1999">
        <v>-0.47</v>
      </c>
      <c r="F7" s="1999">
        <v>-0.28999999999999998</v>
      </c>
      <c r="G7" s="1999">
        <v>-0.74</v>
      </c>
      <c r="H7" s="1999">
        <v>-0.21</v>
      </c>
      <c r="I7" s="2000">
        <f t="shared" ref="I7" si="26">F7</f>
        <v>-0.28999999999999998</v>
      </c>
      <c r="J7" s="2897"/>
      <c r="K7" s="2035">
        <f t="shared" ref="K7" si="27">D7/100</f>
        <v>-1.1899999999999999E-2</v>
      </c>
      <c r="L7" s="2020">
        <f t="shared" ref="L7" si="28">E7/100</f>
        <v>-4.6999999999999993E-3</v>
      </c>
      <c r="M7" s="2020">
        <f t="shared" ref="M7" si="29">F7/100</f>
        <v>-2.8999999999999998E-3</v>
      </c>
      <c r="N7" s="2020">
        <f t="shared" ref="N7" si="30">G7/100</f>
        <v>-7.4000000000000003E-3</v>
      </c>
      <c r="O7" s="2020">
        <f t="shared" ref="O7" si="31">H7/100</f>
        <v>-2.0999999999999999E-3</v>
      </c>
      <c r="P7" s="2020">
        <f>M7</f>
        <v>-2.8999999999999998E-3</v>
      </c>
      <c r="Q7" s="2897"/>
      <c r="R7" s="2019">
        <f>ROUND(IF(项目基本情况!$B$8="出让",SUMPRODUCT(PRODUCT(1+K7:$K$21)),SUMPRODUCT(PRODUCT(1+K7:$K$20))),4)</f>
        <v>1.0620000000000001</v>
      </c>
      <c r="S7" s="2019">
        <f>ROUND(IF(项目基本情况!$B$8="出让",SUMPRODUCT(PRODUCT(1+L7:$L$21)),SUMPRODUCT(PRODUCT(1+L7:$L$20))),4)</f>
        <v>1.0448</v>
      </c>
      <c r="T7" s="2019">
        <f>ROUND(IF(项目基本情况!$B$8="出让",SUMPRODUCT(PRODUCT(1+M7:$M$21)),SUMPRODUCT(PRODUCT(1+M7:$M$20))),4)</f>
        <v>1.0079</v>
      </c>
      <c r="U7" s="2019">
        <f>ROUND(IF(项目基本情况!$B$8="出让",SUMPRODUCT(PRODUCT(1+N7:$N$21)),SUMPRODUCT(PRODUCT(1+N7:$N$20))),4)</f>
        <v>1.0672999999999999</v>
      </c>
      <c r="V7" s="2019">
        <f>ROUND(IF(项目基本情况!$B$8="出让",SUMPRODUCT(PRODUCT(1+O7:$O$21)),SUMPRODUCT(PRODUCT(1+O7:$O$20))),4)</f>
        <v>1.0818000000000001</v>
      </c>
      <c r="W7" s="2019">
        <f>T7</f>
        <v>1.0079</v>
      </c>
      <c r="X7" s="2897"/>
      <c r="Y7" s="2020">
        <f>IF(D7=0,0,ROUND(AVERAGE(D7:D20)/100,4))</f>
        <v>4.3E-3</v>
      </c>
      <c r="Z7" s="2020">
        <f t="shared" ref="Z7" si="32">IF(E7=0,0,ROUND(AVERAGE(E7:E20)/100,4))</f>
        <v>3.0999999999999999E-3</v>
      </c>
      <c r="AA7" s="2020">
        <f t="shared" ref="AA7" si="33">IF(F7=0,0,ROUND(AVERAGE(F7:F20)/100,4))</f>
        <v>5.9999999999999995E-4</v>
      </c>
      <c r="AB7" s="2020">
        <f t="shared" ref="AB7" si="34">IF(G7=0,0,ROUND(AVERAGE(G7:G20)/100,4))</f>
        <v>4.7000000000000002E-3</v>
      </c>
      <c r="AC7" s="2020">
        <f t="shared" ref="AC7" si="35">IF(H7=0,0,ROUND(AVERAGE(H7:H20)/100,4))</f>
        <v>5.5999999999999999E-3</v>
      </c>
      <c r="AD7" s="2020">
        <f t="shared" ref="AD7" si="36">AA7</f>
        <v>5.9999999999999995E-4</v>
      </c>
    </row>
    <row r="8" spans="1:30" s="2037" customFormat="1" ht="12.75">
      <c r="A8" s="2896" t="s">
        <v>3376</v>
      </c>
      <c r="B8" s="2023">
        <v>2024</v>
      </c>
      <c r="C8" s="2034">
        <v>2</v>
      </c>
      <c r="D8" s="1999">
        <v>-0.59</v>
      </c>
      <c r="E8" s="1999">
        <v>-0.21</v>
      </c>
      <c r="F8" s="1999">
        <v>-1.38</v>
      </c>
      <c r="G8" s="1999">
        <v>-1.24</v>
      </c>
      <c r="H8" s="2908">
        <v>0.34</v>
      </c>
      <c r="I8" s="2000">
        <f t="shared" ref="I8:I21" si="37">F8</f>
        <v>-1.38</v>
      </c>
      <c r="J8" s="2897"/>
      <c r="K8" s="2035">
        <f t="shared" ref="K8:O21" si="38">D8/100</f>
        <v>-5.8999999999999999E-3</v>
      </c>
      <c r="L8" s="2020">
        <f t="shared" si="38"/>
        <v>-2.0999999999999999E-3</v>
      </c>
      <c r="M8" s="2020">
        <f t="shared" si="38"/>
        <v>-1.38E-2</v>
      </c>
      <c r="N8" s="2020">
        <f t="shared" si="38"/>
        <v>-1.24E-2</v>
      </c>
      <c r="O8" s="2020">
        <f t="shared" si="38"/>
        <v>3.4000000000000002E-3</v>
      </c>
      <c r="P8" s="2020">
        <f>M8</f>
        <v>-1.38E-2</v>
      </c>
      <c r="Q8" s="2897"/>
      <c r="R8" s="2019">
        <f>ROUND(IF(项目基本情况!$B$8="出让",SUMPRODUCT(PRODUCT(1+K8:$K$21)),SUMPRODUCT(PRODUCT(1+K8:$K$20))),4)</f>
        <v>1.0748</v>
      </c>
      <c r="S8" s="2019">
        <f>ROUND(IF(项目基本情况!$B$8="出让",SUMPRODUCT(PRODUCT(1+L8:$L$21)),SUMPRODUCT(PRODUCT(1+L8:$L$20))),4)</f>
        <v>1.0498000000000001</v>
      </c>
      <c r="T8" s="2019">
        <f>ROUND(IF(项目基本情况!$B$8="出让",SUMPRODUCT(PRODUCT(1+M8:$M$21)),SUMPRODUCT(PRODUCT(1+M8:$M$20))),4)</f>
        <v>1.0107999999999999</v>
      </c>
      <c r="U8" s="2019">
        <f>ROUND(IF(项目基本情况!$B$8="出让",SUMPRODUCT(PRODUCT(1+N8:$N$21)),SUMPRODUCT(PRODUCT(1+N8:$N$20))),4)</f>
        <v>1.0752999999999999</v>
      </c>
      <c r="V8" s="2019">
        <f>ROUND(IF(项目基本情况!$B$8="出让",SUMPRODUCT(PRODUCT(1+O8:$O$21)),SUMPRODUCT(PRODUCT(1+O8:$O$20))),4)</f>
        <v>1.0841000000000001</v>
      </c>
      <c r="W8" s="2019">
        <f>T8</f>
        <v>1.0107999999999999</v>
      </c>
      <c r="X8" s="2897"/>
      <c r="Y8" s="2020">
        <f>IF(D8=0,0,ROUND(AVERAGE(D8:D21)/100,4))</f>
        <v>5.8999999999999999E-3</v>
      </c>
      <c r="Z8" s="2020">
        <f t="shared" ref="Z8:AC8" si="39">IF(E8=0,0,ROUND(AVERAGE(E8:E21)/100,4))</f>
        <v>3.5999999999999999E-3</v>
      </c>
      <c r="AA8" s="2020">
        <f t="shared" si="39"/>
        <v>5.9999999999999995E-4</v>
      </c>
      <c r="AB8" s="2020">
        <f t="shared" si="39"/>
        <v>6.0000000000000001E-3</v>
      </c>
      <c r="AC8" s="2020">
        <f t="shared" si="39"/>
        <v>6.0000000000000001E-3</v>
      </c>
      <c r="AD8" s="2020">
        <f t="shared" ref="AD8:AD20" si="40">AA8</f>
        <v>5.9999999999999995E-4</v>
      </c>
    </row>
    <row r="9" spans="1:30" s="2037" customFormat="1" ht="12.75">
      <c r="A9" s="2896" t="s">
        <v>3372</v>
      </c>
      <c r="B9" s="2023">
        <v>2024</v>
      </c>
      <c r="C9" s="2034">
        <v>1</v>
      </c>
      <c r="D9" s="1999">
        <v>0.08</v>
      </c>
      <c r="E9" s="1999">
        <v>0.46</v>
      </c>
      <c r="F9" s="1999">
        <v>-0.16</v>
      </c>
      <c r="G9" s="1999">
        <v>0.26</v>
      </c>
      <c r="H9" s="2908">
        <v>0.59</v>
      </c>
      <c r="I9" s="2000">
        <v>0</v>
      </c>
      <c r="J9" s="2897"/>
      <c r="K9" s="2035">
        <f t="shared" ref="K9" si="41">D9/100</f>
        <v>8.0000000000000004E-4</v>
      </c>
      <c r="L9" s="2020">
        <f t="shared" ref="L9" si="42">E9/100</f>
        <v>4.5999999999999999E-3</v>
      </c>
      <c r="M9" s="2020">
        <f t="shared" ref="M9" si="43">F9/100</f>
        <v>-1.6000000000000001E-3</v>
      </c>
      <c r="N9" s="2020">
        <f t="shared" ref="N9" si="44">G9/100</f>
        <v>2.5999999999999999E-3</v>
      </c>
      <c r="O9" s="2020">
        <f t="shared" ref="O9" si="45">H9/100</f>
        <v>5.8999999999999999E-3</v>
      </c>
      <c r="P9" s="2020">
        <f t="shared" ref="P9" si="46">M9</f>
        <v>-1.6000000000000001E-3</v>
      </c>
      <c r="Q9" s="2897"/>
      <c r="R9" s="2019">
        <f>ROUND(IF(项目基本情况!$B$8="出让",SUMPRODUCT(PRODUCT(1+K9:$K$21)),SUMPRODUCT(PRODUCT(1+K9:$K$20))),4)</f>
        <v>1.0811999999999999</v>
      </c>
      <c r="S9" s="2019">
        <f>ROUND(IF(项目基本情况!$B$8="出让",SUMPRODUCT(PRODUCT(1+L9:$L$21)),SUMPRODUCT(PRODUCT(1+L9:$L$20))),4)</f>
        <v>1.052</v>
      </c>
      <c r="T9" s="2019">
        <f>ROUND(IF(项目基本情况!$B$8="出让",SUMPRODUCT(PRODUCT(1+M9:$M$21)),SUMPRODUCT(PRODUCT(1+M9:$M$20))),4)</f>
        <v>1.0249999999999999</v>
      </c>
      <c r="U9" s="2019">
        <f>ROUND(IF(项目基本情况!$B$8="出让",SUMPRODUCT(PRODUCT(1+N9:$N$21)),SUMPRODUCT(PRODUCT(1+N9:$N$20))),4)</f>
        <v>1.0888</v>
      </c>
      <c r="V9" s="2019">
        <f>ROUND(IF(项目基本情况!$B$8="出让",SUMPRODUCT(PRODUCT(1+O9:$O$21)),SUMPRODUCT(PRODUCT(1+O9:$O$20))),4)</f>
        <v>1.0804</v>
      </c>
      <c r="W9" s="2019">
        <f t="shared" ref="W9" si="47">T9</f>
        <v>1.0249999999999999</v>
      </c>
      <c r="X9" s="2897"/>
      <c r="Y9" s="2020"/>
      <c r="Z9" s="2020"/>
      <c r="AA9" s="2020"/>
      <c r="AB9" s="2020"/>
      <c r="AC9" s="2020"/>
      <c r="AD9" s="2020"/>
    </row>
    <row r="10" spans="1:30" s="2037" customFormat="1" ht="12.75">
      <c r="A10" s="2896" t="s">
        <v>3368</v>
      </c>
      <c r="B10" s="2023">
        <v>2023</v>
      </c>
      <c r="C10" s="2034">
        <v>4</v>
      </c>
      <c r="D10" s="1999">
        <v>0.19</v>
      </c>
      <c r="E10" s="1999">
        <v>0.24</v>
      </c>
      <c r="F10" s="1999">
        <v>-0.16</v>
      </c>
      <c r="G10" s="1999">
        <v>0.17</v>
      </c>
      <c r="H10" s="2908">
        <v>0.61</v>
      </c>
      <c r="I10" s="2000">
        <f>F10</f>
        <v>-0.16</v>
      </c>
      <c r="J10" s="2897"/>
      <c r="K10" s="2035">
        <f t="shared" si="38"/>
        <v>1.9E-3</v>
      </c>
      <c r="L10" s="2020">
        <f t="shared" si="38"/>
        <v>2.3999999999999998E-3</v>
      </c>
      <c r="M10" s="2020">
        <f t="shared" si="38"/>
        <v>-1.6000000000000001E-3</v>
      </c>
      <c r="N10" s="2020">
        <f t="shared" si="38"/>
        <v>1.7000000000000001E-3</v>
      </c>
      <c r="O10" s="2020">
        <f t="shared" si="38"/>
        <v>6.0999999999999995E-3</v>
      </c>
      <c r="P10" s="2020">
        <f t="shared" ref="P10" si="48">M10</f>
        <v>-1.6000000000000001E-3</v>
      </c>
      <c r="Q10" s="2897"/>
      <c r="R10" s="2019">
        <f>ROUND(IF(项目基本情况!$B$8="出让",SUMPRODUCT(PRODUCT(1+K10:$K$21)),SUMPRODUCT(PRODUCT(1+K10:$K$20))),4)</f>
        <v>1.0804</v>
      </c>
      <c r="S10" s="2019">
        <f>ROUND(IF(项目基本情况!$B$8="出让",SUMPRODUCT(PRODUCT(1+L10:$L$21)),SUMPRODUCT(PRODUCT(1+L10:$L$20))),4)</f>
        <v>1.0471999999999999</v>
      </c>
      <c r="T10" s="2019">
        <f>ROUND(IF(项目基本情况!$B$8="出让",SUMPRODUCT(PRODUCT(1+M10:$M$21)),SUMPRODUCT(PRODUCT(1+M10:$M$20))),4)</f>
        <v>1.0266</v>
      </c>
      <c r="U10" s="2019">
        <f>ROUND(IF(项目基本情况!$B$8="出让",SUMPRODUCT(PRODUCT(1+N10:$N$21)),SUMPRODUCT(PRODUCT(1+N10:$N$20))),4)</f>
        <v>1.0859000000000001</v>
      </c>
      <c r="V10" s="2019">
        <f>ROUND(IF(项目基本情况!$B$8="出让",SUMPRODUCT(PRODUCT(1+O10:$O$21)),SUMPRODUCT(PRODUCT(1+O10:$O$20))),4)</f>
        <v>1.0741000000000001</v>
      </c>
      <c r="W10" s="2019">
        <f t="shared" ref="W10" si="49">T10</f>
        <v>1.0266</v>
      </c>
      <c r="X10" s="2897"/>
      <c r="Y10" s="2020"/>
      <c r="Z10" s="2020"/>
      <c r="AA10" s="2020"/>
      <c r="AB10" s="2020"/>
      <c r="AC10" s="2020"/>
      <c r="AD10" s="2020"/>
    </row>
    <row r="11" spans="1:30" s="2037" customFormat="1" ht="12.75">
      <c r="A11" s="2896" t="s">
        <v>3367</v>
      </c>
      <c r="B11" s="2023">
        <v>2023</v>
      </c>
      <c r="C11" s="2034">
        <v>3</v>
      </c>
      <c r="D11" s="1999">
        <v>0.25</v>
      </c>
      <c r="E11" s="1999">
        <v>0.5</v>
      </c>
      <c r="F11" s="1999">
        <v>0.31</v>
      </c>
      <c r="G11" s="1999">
        <v>0.21</v>
      </c>
      <c r="H11" s="2908">
        <v>0.43</v>
      </c>
      <c r="I11" s="2000">
        <f t="shared" si="37"/>
        <v>0.31</v>
      </c>
      <c r="J11" s="2897"/>
      <c r="K11" s="2035">
        <f t="shared" ref="K11:K13" si="50">D11/100</f>
        <v>2.5000000000000001E-3</v>
      </c>
      <c r="L11" s="2020">
        <f t="shared" ref="L11:L13" si="51">E11/100</f>
        <v>5.0000000000000001E-3</v>
      </c>
      <c r="M11" s="2020">
        <f t="shared" ref="M11:M13" si="52">F11/100</f>
        <v>3.0999999999999999E-3</v>
      </c>
      <c r="N11" s="2020">
        <f t="shared" ref="N11:N13" si="53">G11/100</f>
        <v>2.0999999999999999E-3</v>
      </c>
      <c r="O11" s="2020">
        <f t="shared" ref="O11:O13" si="54">H11/100</f>
        <v>4.3E-3</v>
      </c>
      <c r="P11" s="2020">
        <f t="shared" ref="P11:P13" si="55">M11</f>
        <v>3.0999999999999999E-3</v>
      </c>
      <c r="Q11" s="2897"/>
      <c r="R11" s="2019">
        <f>ROUND(IF(项目基本情况!$B$8="出让",SUMPRODUCT(PRODUCT(1+K11:$K$21)),SUMPRODUCT(PRODUCT(1+K11:$K$20))),4)</f>
        <v>1.0783</v>
      </c>
      <c r="S11" s="2019">
        <f>ROUND(IF(项目基本情况!$B$8="出让",SUMPRODUCT(PRODUCT(1+L11:$L$21)),SUMPRODUCT(PRODUCT(1+L11:$L$20))),4)</f>
        <v>1.0447</v>
      </c>
      <c r="T11" s="2019">
        <f>ROUND(IF(项目基本情况!$B$8="出让",SUMPRODUCT(PRODUCT(1+M11:$M$21)),SUMPRODUCT(PRODUCT(1+M11:$M$20))),4)</f>
        <v>1.0282</v>
      </c>
      <c r="U11" s="2019">
        <f>ROUND(IF(项目基本情况!$B$8="出让",SUMPRODUCT(PRODUCT(1+N11:$N$21)),SUMPRODUCT(PRODUCT(1+N11:$N$20))),4)</f>
        <v>1.0841000000000001</v>
      </c>
      <c r="V11" s="2019">
        <f>ROUND(IF(项目基本情况!$B$8="出让",SUMPRODUCT(PRODUCT(1+O11:$O$21)),SUMPRODUCT(PRODUCT(1+O11:$O$20))),4)</f>
        <v>1.0674999999999999</v>
      </c>
      <c r="W11" s="2019">
        <f t="shared" ref="W11:W12" si="56">T11</f>
        <v>1.0282</v>
      </c>
      <c r="X11" s="2897"/>
      <c r="Y11" s="2020"/>
      <c r="Z11" s="2020"/>
      <c r="AA11" s="2020"/>
      <c r="AB11" s="2020"/>
      <c r="AC11" s="2020"/>
      <c r="AD11" s="2020"/>
    </row>
    <row r="12" spans="1:30" s="2037" customFormat="1" ht="12.75">
      <c r="A12" s="2896" t="s">
        <v>3365</v>
      </c>
      <c r="B12" s="2023">
        <v>2023</v>
      </c>
      <c r="C12" s="2034">
        <v>2</v>
      </c>
      <c r="D12" s="1999">
        <v>0.91</v>
      </c>
      <c r="E12" s="1999">
        <v>0.66</v>
      </c>
      <c r="F12" s="1999">
        <v>0.47</v>
      </c>
      <c r="G12" s="1999">
        <v>0.96</v>
      </c>
      <c r="H12" s="2908">
        <v>0.71</v>
      </c>
      <c r="I12" s="2000">
        <f t="shared" si="37"/>
        <v>0.47</v>
      </c>
      <c r="J12" s="2897"/>
      <c r="K12" s="2035">
        <f t="shared" si="50"/>
        <v>9.1000000000000004E-3</v>
      </c>
      <c r="L12" s="2020">
        <f t="shared" si="51"/>
        <v>6.6E-3</v>
      </c>
      <c r="M12" s="2020">
        <f t="shared" si="52"/>
        <v>4.6999999999999993E-3</v>
      </c>
      <c r="N12" s="2020">
        <f t="shared" si="53"/>
        <v>9.5999999999999992E-3</v>
      </c>
      <c r="O12" s="2020">
        <f t="shared" si="54"/>
        <v>7.0999999999999995E-3</v>
      </c>
      <c r="P12" s="2020">
        <f t="shared" si="55"/>
        <v>4.6999999999999993E-3</v>
      </c>
      <c r="Q12" s="2897"/>
      <c r="R12" s="2019">
        <f>ROUND(IF(项目基本情况!$B$8="出让",SUMPRODUCT(PRODUCT(1+K12:$K$21)),SUMPRODUCT(PRODUCT(1+K12:$K$20))),4)</f>
        <v>1.0755999999999999</v>
      </c>
      <c r="S12" s="2019">
        <f>ROUND(IF(项目基本情况!$B$8="出让",SUMPRODUCT(PRODUCT(1+L12:$L$21)),SUMPRODUCT(PRODUCT(1+L12:$L$20))),4)</f>
        <v>1.0395000000000001</v>
      </c>
      <c r="T12" s="2019">
        <f>ROUND(IF(项目基本情况!$B$8="出让",SUMPRODUCT(PRODUCT(1+M12:$M$21)),SUMPRODUCT(PRODUCT(1+M12:$M$20))),4)</f>
        <v>1.0250999999999999</v>
      </c>
      <c r="U12" s="2019">
        <f>ROUND(IF(项目基本情况!$B$8="出让",SUMPRODUCT(PRODUCT(1+N12:$N$21)),SUMPRODUCT(PRODUCT(1+N12:$N$20))),4)</f>
        <v>1.0818000000000001</v>
      </c>
      <c r="V12" s="2019">
        <f>ROUND(IF(项目基本情况!$B$8="出让",SUMPRODUCT(PRODUCT(1+O12:$O$21)),SUMPRODUCT(PRODUCT(1+O12:$O$20))),4)</f>
        <v>1.0629999999999999</v>
      </c>
      <c r="W12" s="2019">
        <f t="shared" si="56"/>
        <v>1.0250999999999999</v>
      </c>
      <c r="X12" s="2897"/>
      <c r="Y12" s="2020"/>
      <c r="Z12" s="2020"/>
      <c r="AA12" s="2020"/>
      <c r="AB12" s="2020"/>
      <c r="AC12" s="2020"/>
      <c r="AD12" s="2020"/>
    </row>
    <row r="13" spans="1:30" s="2037" customFormat="1" ht="12.75">
      <c r="A13" s="2896" t="s">
        <v>3364</v>
      </c>
      <c r="B13" s="2023">
        <v>2023</v>
      </c>
      <c r="C13" s="2034">
        <v>1</v>
      </c>
      <c r="D13" s="1999">
        <v>0.89</v>
      </c>
      <c r="E13" s="1999">
        <v>0.74</v>
      </c>
      <c r="F13" s="1999">
        <v>0.56999999999999995</v>
      </c>
      <c r="G13" s="1999">
        <v>0.92</v>
      </c>
      <c r="H13" s="2908">
        <v>0.5</v>
      </c>
      <c r="I13" s="2000">
        <f t="shared" si="37"/>
        <v>0.56999999999999995</v>
      </c>
      <c r="J13" s="2897"/>
      <c r="K13" s="2035">
        <f t="shared" si="50"/>
        <v>8.8999999999999999E-3</v>
      </c>
      <c r="L13" s="2020">
        <f t="shared" si="51"/>
        <v>7.4000000000000003E-3</v>
      </c>
      <c r="M13" s="2020">
        <f t="shared" si="52"/>
        <v>5.6999999999999993E-3</v>
      </c>
      <c r="N13" s="2020">
        <f t="shared" si="53"/>
        <v>9.1999999999999998E-3</v>
      </c>
      <c r="O13" s="2020">
        <f t="shared" si="54"/>
        <v>5.0000000000000001E-3</v>
      </c>
      <c r="P13" s="2020">
        <f t="shared" si="55"/>
        <v>5.6999999999999993E-3</v>
      </c>
      <c r="Q13" s="2897"/>
      <c r="R13" s="2019">
        <f>ROUND(IF(项目基本情况!$B$8="出让",SUMPRODUCT(PRODUCT(1+K13:$K$21)),SUMPRODUCT(PRODUCT(1+K13:$K$20))),4)</f>
        <v>1.0659000000000001</v>
      </c>
      <c r="S13" s="2019">
        <f>ROUND(IF(项目基本情况!$B$8="出让",SUMPRODUCT(PRODUCT(1+L13:$L$21)),SUMPRODUCT(PRODUCT(1+L13:$L$20))),4)</f>
        <v>1.0326</v>
      </c>
      <c r="T13" s="2019">
        <f>ROUND(IF(项目基本情况!$B$8="出让",SUMPRODUCT(PRODUCT(1+M13:$M$21)),SUMPRODUCT(PRODUCT(1+M13:$M$20))),4)</f>
        <v>1.0203</v>
      </c>
      <c r="U13" s="2019">
        <f>ROUND(IF(项目基本情况!$B$8="出让",SUMPRODUCT(PRODUCT(1+N13:$N$21)),SUMPRODUCT(PRODUCT(1+N13:$N$20))),4)</f>
        <v>1.0714999999999999</v>
      </c>
      <c r="V13" s="2019">
        <f>ROUND(IF(项目基本情况!$B$8="出让",SUMPRODUCT(PRODUCT(1+O13:$O$21)),SUMPRODUCT(PRODUCT(1+O13:$O$20))),4)</f>
        <v>1.0555000000000001</v>
      </c>
      <c r="W13" s="2019">
        <f t="shared" ref="W13:W20" si="57">T13</f>
        <v>1.0203</v>
      </c>
      <c r="X13" s="2897"/>
      <c r="Y13" s="2020"/>
      <c r="Z13" s="2020"/>
      <c r="AA13" s="2020"/>
      <c r="AB13" s="2020"/>
      <c r="AC13" s="2020"/>
      <c r="AD13" s="2020"/>
    </row>
    <row r="14" spans="1:30" s="2037" customFormat="1" ht="12.75">
      <c r="A14" s="2896" t="s">
        <v>3363</v>
      </c>
      <c r="B14" s="2023">
        <v>2022</v>
      </c>
      <c r="C14" s="2034">
        <v>4</v>
      </c>
      <c r="D14" s="1999">
        <v>0.62</v>
      </c>
      <c r="E14" s="1999">
        <v>0.2</v>
      </c>
      <c r="F14" s="1999">
        <v>0.11</v>
      </c>
      <c r="G14" s="1999">
        <v>0.69</v>
      </c>
      <c r="H14" s="2908">
        <v>0.53</v>
      </c>
      <c r="I14" s="2000">
        <f t="shared" si="37"/>
        <v>0.11</v>
      </c>
      <c r="J14" s="2897"/>
      <c r="K14" s="2035">
        <f t="shared" si="38"/>
        <v>6.1999999999999998E-3</v>
      </c>
      <c r="L14" s="2020">
        <f t="shared" si="38"/>
        <v>2E-3</v>
      </c>
      <c r="M14" s="2020">
        <f t="shared" si="38"/>
        <v>1.1000000000000001E-3</v>
      </c>
      <c r="N14" s="2020">
        <f t="shared" si="38"/>
        <v>6.8999999999999999E-3</v>
      </c>
      <c r="O14" s="2020">
        <f t="shared" si="38"/>
        <v>5.3E-3</v>
      </c>
      <c r="P14" s="2020">
        <f t="shared" ref="P14:P21" si="58">M14</f>
        <v>1.1000000000000001E-3</v>
      </c>
      <c r="Q14" s="2897"/>
      <c r="R14" s="2019">
        <f>ROUND(IF(项目基本情况!$B$8="出让",SUMPRODUCT(PRODUCT(1+K14:$K$21)),SUMPRODUCT(PRODUCT(1+K14:$K$20))),4)</f>
        <v>1.0565</v>
      </c>
      <c r="S14" s="2019">
        <f>ROUND(IF(项目基本情况!$B$8="出让",SUMPRODUCT(PRODUCT(1+L14:$L$21)),SUMPRODUCT(PRODUCT(1+L14:$L$20))),4)</f>
        <v>1.0250999999999999</v>
      </c>
      <c r="T14" s="2019">
        <f>ROUND(IF(项目基本情况!$B$8="出让",SUMPRODUCT(PRODUCT(1+M14:$M$21)),SUMPRODUCT(PRODUCT(1+M14:$M$20))),4)</f>
        <v>1.0145</v>
      </c>
      <c r="U14" s="2019">
        <f>ROUND(IF(项目基本情况!$B$8="出让",SUMPRODUCT(PRODUCT(1+N14:$N$21)),SUMPRODUCT(PRODUCT(1+N14:$N$20))),4)</f>
        <v>1.0618000000000001</v>
      </c>
      <c r="V14" s="2019">
        <f>ROUND(IF(项目基本情况!$B$8="出让",SUMPRODUCT(PRODUCT(1+O14:$O$21)),SUMPRODUCT(PRODUCT(1+O14:$O$20))),4)</f>
        <v>1.0502</v>
      </c>
      <c r="W14" s="2019">
        <f t="shared" si="57"/>
        <v>1.0145</v>
      </c>
      <c r="X14" s="2897"/>
      <c r="Y14" s="2020">
        <f>IF(D14=0,0,ROUND(AVERAGE(D14:D22)/100,4))</f>
        <v>8.0999999999999996E-3</v>
      </c>
      <c r="Z14" s="2020">
        <f t="shared" ref="Z14:AC14" si="59">IF(E14=0,0,ROUND(AVERAGE(E14:E21)/100,4))</f>
        <v>3.3E-3</v>
      </c>
      <c r="AA14" s="2020">
        <f t="shared" si="59"/>
        <v>1.5E-3</v>
      </c>
      <c r="AB14" s="2020">
        <f t="shared" si="59"/>
        <v>8.8999999999999999E-3</v>
      </c>
      <c r="AC14" s="2020">
        <f t="shared" si="59"/>
        <v>6.6E-3</v>
      </c>
      <c r="AD14" s="2020">
        <f t="shared" si="40"/>
        <v>1.5E-3</v>
      </c>
    </row>
    <row r="15" spans="1:30" s="2037" customFormat="1" ht="12.75">
      <c r="A15" s="2896" t="s">
        <v>3361</v>
      </c>
      <c r="B15" s="2023">
        <v>2022</v>
      </c>
      <c r="C15" s="2034">
        <v>3</v>
      </c>
      <c r="D15" s="1999">
        <v>0.66</v>
      </c>
      <c r="E15" s="1999">
        <v>0.32</v>
      </c>
      <c r="F15" s="1999">
        <v>0.23</v>
      </c>
      <c r="G15" s="1999">
        <v>0.72</v>
      </c>
      <c r="H15" s="2908">
        <v>0.63</v>
      </c>
      <c r="I15" s="2000">
        <f t="shared" si="37"/>
        <v>0.23</v>
      </c>
      <c r="J15" s="2897"/>
      <c r="K15" s="2035">
        <f t="shared" si="38"/>
        <v>6.6E-3</v>
      </c>
      <c r="L15" s="2020">
        <f t="shared" si="38"/>
        <v>3.2000000000000002E-3</v>
      </c>
      <c r="M15" s="2020">
        <f t="shared" si="38"/>
        <v>2.3E-3</v>
      </c>
      <c r="N15" s="2020">
        <f t="shared" si="38"/>
        <v>7.1999999999999998E-3</v>
      </c>
      <c r="O15" s="2020">
        <f t="shared" si="38"/>
        <v>6.3E-3</v>
      </c>
      <c r="P15" s="2020">
        <f t="shared" si="58"/>
        <v>2.3E-3</v>
      </c>
      <c r="Q15" s="2897"/>
      <c r="R15" s="2019">
        <f>ROUND(IF(项目基本情况!$B$8="出让",SUMPRODUCT(PRODUCT(1+K15:$K$21)),SUMPRODUCT(PRODUCT(1+K15:$K$20))),4)</f>
        <v>1.05</v>
      </c>
      <c r="S15" s="2019">
        <f>ROUND(IF(项目基本情况!$B$8="出让",SUMPRODUCT(PRODUCT(1+L15:$L$21)),SUMPRODUCT(PRODUCT(1+L15:$L$20))),4)</f>
        <v>1.0229999999999999</v>
      </c>
      <c r="T15" s="2019">
        <f>ROUND(IF(项目基本情况!$B$8="出让",SUMPRODUCT(PRODUCT(1+M15:$M$21)),SUMPRODUCT(PRODUCT(1+M15:$M$20))),4)</f>
        <v>1.0134000000000001</v>
      </c>
      <c r="U15" s="2019">
        <f>ROUND(IF(项目基本情况!$B$8="出让",SUMPRODUCT(PRODUCT(1+N15:$N$21)),SUMPRODUCT(PRODUCT(1+N15:$N$20))),4)</f>
        <v>1.0545</v>
      </c>
      <c r="V15" s="2019">
        <f>ROUND(IF(项目基本情况!$B$8="出让",SUMPRODUCT(PRODUCT(1+O15:$O$21)),SUMPRODUCT(PRODUCT(1+O15:$O$20))),4)</f>
        <v>1.0447</v>
      </c>
      <c r="W15" s="2019">
        <f t="shared" si="57"/>
        <v>1.0134000000000001</v>
      </c>
      <c r="X15" s="2897"/>
      <c r="Y15" s="2020">
        <f>IF(D15=0,0,ROUND(AVERAGE(D15:D21)/100,4))</f>
        <v>8.3999999999999995E-3</v>
      </c>
      <c r="Z15" s="2020">
        <f t="shared" ref="Z15:AC15" si="60">IF(E15=0,0,ROUND(AVERAGE(E15:E21)/100,4))</f>
        <v>3.5000000000000001E-3</v>
      </c>
      <c r="AA15" s="2020">
        <f t="shared" si="60"/>
        <v>1.5E-3</v>
      </c>
      <c r="AB15" s="2020">
        <f t="shared" si="60"/>
        <v>9.1999999999999998E-3</v>
      </c>
      <c r="AC15" s="2020">
        <f t="shared" si="60"/>
        <v>6.7999999999999996E-3</v>
      </c>
      <c r="AD15" s="2020">
        <f t="shared" si="40"/>
        <v>1.5E-3</v>
      </c>
    </row>
    <row r="16" spans="1:30" s="2037" customFormat="1" ht="12.75">
      <c r="A16" s="2896" t="s">
        <v>3352</v>
      </c>
      <c r="B16" s="2023">
        <v>2022</v>
      </c>
      <c r="C16" s="2034">
        <v>2</v>
      </c>
      <c r="D16" s="1999">
        <v>0.93</v>
      </c>
      <c r="E16" s="1999">
        <v>0.15</v>
      </c>
      <c r="F16" s="1999">
        <v>0.01</v>
      </c>
      <c r="G16" s="1999">
        <v>1.05</v>
      </c>
      <c r="H16" s="2908">
        <v>1.08</v>
      </c>
      <c r="I16" s="2000">
        <f t="shared" si="37"/>
        <v>0.01</v>
      </c>
      <c r="J16" s="2897"/>
      <c r="K16" s="2035">
        <f t="shared" si="38"/>
        <v>9.300000000000001E-3</v>
      </c>
      <c r="L16" s="2020">
        <f t="shared" si="38"/>
        <v>1.5E-3</v>
      </c>
      <c r="M16" s="2020">
        <f t="shared" si="38"/>
        <v>1E-4</v>
      </c>
      <c r="N16" s="2020">
        <f t="shared" si="38"/>
        <v>1.0500000000000001E-2</v>
      </c>
      <c r="O16" s="2020">
        <f t="shared" si="38"/>
        <v>1.0800000000000001E-2</v>
      </c>
      <c r="P16" s="2020">
        <f t="shared" si="58"/>
        <v>1E-4</v>
      </c>
      <c r="Q16" s="2897"/>
      <c r="R16" s="2019">
        <f>ROUND(IF(项目基本情况!$B$8="出让",SUMPRODUCT(PRODUCT(1+K16:$K$21)),SUMPRODUCT(PRODUCT(1+K16:$K$20))),4)</f>
        <v>1.0430999999999999</v>
      </c>
      <c r="S16" s="2019">
        <f>ROUND(IF(项目基本情况!$B$8="出让",SUMPRODUCT(PRODUCT(1+L16:$L$21)),SUMPRODUCT(PRODUCT(1+L16:$L$20))),4)</f>
        <v>1.0197000000000001</v>
      </c>
      <c r="T16" s="2019">
        <f>ROUND(IF(项目基本情况!$B$8="出让",SUMPRODUCT(PRODUCT(1+M16:$M$21)),SUMPRODUCT(PRODUCT(1+M16:$M$20))),4)</f>
        <v>1.0109999999999999</v>
      </c>
      <c r="U16" s="2019">
        <f>ROUND(IF(项目基本情况!$B$8="出让",SUMPRODUCT(PRODUCT(1+N16:$N$21)),SUMPRODUCT(PRODUCT(1+N16:$N$20))),4)</f>
        <v>1.0468999999999999</v>
      </c>
      <c r="V16" s="2019">
        <f>ROUND(IF(项目基本情况!$B$8="出让",SUMPRODUCT(PRODUCT(1+O16:$O$21)),SUMPRODUCT(PRODUCT(1+O16:$O$20))),4)</f>
        <v>1.0382</v>
      </c>
      <c r="W16" s="2019">
        <f t="shared" si="57"/>
        <v>1.0109999999999999</v>
      </c>
      <c r="X16" s="2897"/>
      <c r="Y16" s="2020">
        <f>IF(D16=0,0,ROUND(AVERAGE(D16:D21)/100,4))</f>
        <v>8.6999999999999994E-3</v>
      </c>
      <c r="Z16" s="2020">
        <f t="shared" ref="Z16:AC16" si="61">IF(E16=0,0,ROUND(AVERAGE(E16:E21)/100,4))</f>
        <v>3.5000000000000001E-3</v>
      </c>
      <c r="AA16" s="2020">
        <f t="shared" si="61"/>
        <v>1.4E-3</v>
      </c>
      <c r="AB16" s="2020">
        <f t="shared" si="61"/>
        <v>9.4999999999999998E-3</v>
      </c>
      <c r="AC16" s="2020">
        <f t="shared" si="61"/>
        <v>6.8999999999999999E-3</v>
      </c>
      <c r="AD16" s="2020">
        <f t="shared" si="40"/>
        <v>1.4E-3</v>
      </c>
    </row>
    <row r="17" spans="1:30" s="2037" customFormat="1" ht="12.75">
      <c r="A17" s="2896" t="s">
        <v>2817</v>
      </c>
      <c r="B17" s="2023">
        <v>2022</v>
      </c>
      <c r="C17" s="2034">
        <v>1</v>
      </c>
      <c r="D17" s="1999">
        <v>0.89</v>
      </c>
      <c r="E17" s="1999">
        <v>0.44</v>
      </c>
      <c r="F17" s="1999">
        <v>0.37</v>
      </c>
      <c r="G17" s="1999">
        <v>0.96</v>
      </c>
      <c r="H17" s="2908">
        <v>0.64</v>
      </c>
      <c r="I17" s="2000">
        <f t="shared" si="37"/>
        <v>0.37</v>
      </c>
      <c r="J17" s="2897"/>
      <c r="K17" s="2035">
        <f t="shared" si="38"/>
        <v>8.8999999999999999E-3</v>
      </c>
      <c r="L17" s="2020">
        <f t="shared" si="38"/>
        <v>4.4000000000000003E-3</v>
      </c>
      <c r="M17" s="2020">
        <f t="shared" si="38"/>
        <v>3.7000000000000002E-3</v>
      </c>
      <c r="N17" s="2020">
        <f t="shared" si="38"/>
        <v>9.5999999999999992E-3</v>
      </c>
      <c r="O17" s="2020">
        <f t="shared" si="38"/>
        <v>6.4000000000000003E-3</v>
      </c>
      <c r="P17" s="2020">
        <f t="shared" si="58"/>
        <v>3.7000000000000002E-3</v>
      </c>
      <c r="Q17" s="2897"/>
      <c r="R17" s="2019">
        <f>ROUND(IF(项目基本情况!$B$8="出让",SUMPRODUCT(PRODUCT(1+K17:$K$21)),SUMPRODUCT(PRODUCT(1+K17:$K$20))),4)</f>
        <v>1.0335000000000001</v>
      </c>
      <c r="S17" s="2019">
        <f>ROUND(IF(项目基本情况!$B$8="出让",SUMPRODUCT(PRODUCT(1+L17:$L$21)),SUMPRODUCT(PRODUCT(1+L17:$L$20))),4)</f>
        <v>1.0182</v>
      </c>
      <c r="T17" s="2019">
        <f>ROUND(IF(项目基本情况!$B$8="出让",SUMPRODUCT(PRODUCT(1+M17:$M$21)),SUMPRODUCT(PRODUCT(1+M17:$M$20))),4)</f>
        <v>1.0108999999999999</v>
      </c>
      <c r="U17" s="2019">
        <f>ROUND(IF(项目基本情况!$B$8="出让",SUMPRODUCT(PRODUCT(1+N17:$N$21)),SUMPRODUCT(PRODUCT(1+N17:$N$20))),4)</f>
        <v>1.0361</v>
      </c>
      <c r="V17" s="2019">
        <f>ROUND(IF(项目基本情况!$B$8="出让",SUMPRODUCT(PRODUCT(1+O17:$O$21)),SUMPRODUCT(PRODUCT(1+O17:$O$20))),4)</f>
        <v>1.0270999999999999</v>
      </c>
      <c r="W17" s="2019">
        <f t="shared" si="57"/>
        <v>1.0108999999999999</v>
      </c>
      <c r="X17" s="2897"/>
      <c r="Y17" s="2020">
        <f>IF(D17=0,0,ROUND(AVERAGE(D17:D21)/100,4))</f>
        <v>8.6E-3</v>
      </c>
      <c r="Z17" s="2020">
        <f t="shared" ref="Z17:AC17" si="62">IF(E17=0,0,ROUND(AVERAGE(E17:E21)/100,4))</f>
        <v>3.8999999999999998E-3</v>
      </c>
      <c r="AA17" s="2020">
        <f t="shared" si="62"/>
        <v>1.6999999999999999E-3</v>
      </c>
      <c r="AB17" s="2020">
        <f t="shared" si="62"/>
        <v>9.2999999999999992E-3</v>
      </c>
      <c r="AC17" s="2020">
        <f t="shared" si="62"/>
        <v>6.1000000000000004E-3</v>
      </c>
      <c r="AD17" s="2020">
        <f t="shared" si="40"/>
        <v>1.6999999999999999E-3</v>
      </c>
    </row>
    <row r="18" spans="1:30" s="2037" customFormat="1" ht="12.75">
      <c r="A18" s="2896" t="s">
        <v>2818</v>
      </c>
      <c r="B18" s="2023">
        <v>2021</v>
      </c>
      <c r="C18" s="2034">
        <v>4</v>
      </c>
      <c r="D18" s="1999">
        <v>1.03</v>
      </c>
      <c r="E18" s="1999">
        <v>0.24</v>
      </c>
      <c r="F18" s="1999">
        <v>7.0000000000000007E-2</v>
      </c>
      <c r="G18" s="1999">
        <v>1.17</v>
      </c>
      <c r="H18" s="2908">
        <v>0.55000000000000004</v>
      </c>
      <c r="I18" s="2000">
        <f t="shared" si="37"/>
        <v>7.0000000000000007E-2</v>
      </c>
      <c r="J18" s="2897"/>
      <c r="K18" s="2035">
        <f t="shared" si="38"/>
        <v>1.03E-2</v>
      </c>
      <c r="L18" s="2020">
        <f t="shared" si="38"/>
        <v>2.3999999999999998E-3</v>
      </c>
      <c r="M18" s="2020">
        <f t="shared" si="38"/>
        <v>7.000000000000001E-4</v>
      </c>
      <c r="N18" s="2020">
        <f t="shared" si="38"/>
        <v>1.1699999999999999E-2</v>
      </c>
      <c r="O18" s="2020">
        <f t="shared" si="38"/>
        <v>5.5000000000000005E-3</v>
      </c>
      <c r="P18" s="2020">
        <f t="shared" si="58"/>
        <v>7.000000000000001E-4</v>
      </c>
      <c r="Q18" s="2897"/>
      <c r="R18" s="2019">
        <f>ROUND(IF(项目基本情况!$B$8="出让",SUMPRODUCT(PRODUCT(1+K18:$K$21)),SUMPRODUCT(PRODUCT(1+K18:$K$20))),4)</f>
        <v>1.0244</v>
      </c>
      <c r="S18" s="2019">
        <f>ROUND(IF(项目基本情况!$B$8="出让",SUMPRODUCT(PRODUCT(1+L18:$L$21)),SUMPRODUCT(PRODUCT(1+L18:$L$20))),4)</f>
        <v>1.0138</v>
      </c>
      <c r="T18" s="2019">
        <f>ROUND(IF(项目基本情况!$B$8="出让",SUMPRODUCT(PRODUCT(1+M18:$M$21)),SUMPRODUCT(PRODUCT(1+M18:$M$20))),4)</f>
        <v>1.0072000000000001</v>
      </c>
      <c r="U18" s="2019">
        <f>ROUND(IF(项目基本情况!$B$8="出让",SUMPRODUCT(PRODUCT(1+N18:$N$21)),SUMPRODUCT(PRODUCT(1+N18:$N$20))),4)</f>
        <v>1.0262</v>
      </c>
      <c r="V18" s="2019">
        <f>ROUND(IF(项目基本情况!$B$8="出让",SUMPRODUCT(PRODUCT(1+O18:$O$21)),SUMPRODUCT(PRODUCT(1+O18:$O$20))),4)</f>
        <v>1.0205</v>
      </c>
      <c r="W18" s="2019">
        <f t="shared" si="57"/>
        <v>1.0072000000000001</v>
      </c>
      <c r="X18" s="2897"/>
      <c r="Y18" s="2020">
        <f>IF(D18=0,0,ROUND(AVERAGE(D18:D21)/100,4))</f>
        <v>8.5000000000000006E-3</v>
      </c>
      <c r="Z18" s="2020">
        <f t="shared" ref="Z18:AC18" si="63">IF(E18=0,0,ROUND(AVERAGE(E18:E21)/100,4))</f>
        <v>3.8E-3</v>
      </c>
      <c r="AA18" s="2020">
        <f t="shared" si="63"/>
        <v>1.1999999999999999E-3</v>
      </c>
      <c r="AB18" s="2020">
        <f t="shared" si="63"/>
        <v>9.2999999999999992E-3</v>
      </c>
      <c r="AC18" s="2020">
        <f t="shared" si="63"/>
        <v>6.0000000000000001E-3</v>
      </c>
      <c r="AD18" s="2020">
        <f t="shared" si="40"/>
        <v>1.1999999999999999E-3</v>
      </c>
    </row>
    <row r="19" spans="1:30" s="2037" customFormat="1" ht="12.75">
      <c r="A19" s="2896" t="s">
        <v>2819</v>
      </c>
      <c r="B19" s="2023">
        <v>2021</v>
      </c>
      <c r="C19" s="2034">
        <v>3</v>
      </c>
      <c r="D19" s="1999">
        <v>0.47</v>
      </c>
      <c r="E19" s="1999">
        <v>0.41</v>
      </c>
      <c r="F19" s="1999">
        <v>0.24</v>
      </c>
      <c r="G19" s="1999">
        <v>0.48</v>
      </c>
      <c r="H19" s="2908">
        <v>0.48</v>
      </c>
      <c r="I19" s="2000">
        <f t="shared" si="37"/>
        <v>0.24</v>
      </c>
      <c r="J19" s="2897"/>
      <c r="K19" s="2035">
        <f t="shared" si="38"/>
        <v>4.6999999999999993E-3</v>
      </c>
      <c r="L19" s="2020">
        <f t="shared" si="38"/>
        <v>4.0999999999999995E-3</v>
      </c>
      <c r="M19" s="2020">
        <f t="shared" si="38"/>
        <v>2.3999999999999998E-3</v>
      </c>
      <c r="N19" s="2020">
        <f t="shared" si="38"/>
        <v>4.7999999999999996E-3</v>
      </c>
      <c r="O19" s="2020">
        <f t="shared" si="38"/>
        <v>4.7999999999999996E-3</v>
      </c>
      <c r="P19" s="2020">
        <f t="shared" si="58"/>
        <v>2.3999999999999998E-3</v>
      </c>
      <c r="Q19" s="2897"/>
      <c r="R19" s="2019">
        <f>ROUND(IF(项目基本情况!$B$8="出让",SUMPRODUCT(PRODUCT(1+K19:$K$21)),SUMPRODUCT(PRODUCT(1+K19:$K$20))),4)</f>
        <v>1.0139</v>
      </c>
      <c r="S19" s="2019">
        <f>ROUND(IF(项目基本情况!$B$8="出让",SUMPRODUCT(PRODUCT(1+L19:$L$21)),SUMPRODUCT(PRODUCT(1+L19:$L$20))),4)</f>
        <v>1.0113000000000001</v>
      </c>
      <c r="T19" s="2019">
        <f>ROUND(IF(项目基本情况!$B$8="出让",SUMPRODUCT(PRODUCT(1+M19:$M$21)),SUMPRODUCT(PRODUCT(1+M19:$M$20))),4)</f>
        <v>1.0065</v>
      </c>
      <c r="U19" s="2019">
        <f>ROUND(IF(项目基本情况!$B$8="出让",SUMPRODUCT(PRODUCT(1+N19:$N$21)),SUMPRODUCT(PRODUCT(1+N19:$N$20))),4)</f>
        <v>1.0143</v>
      </c>
      <c r="V19" s="2019">
        <f>ROUND(IF(项目基本情况!$B$8="出让",SUMPRODUCT(PRODUCT(1+O19:$O$21)),SUMPRODUCT(PRODUCT(1+O19:$O$20))),4)</f>
        <v>1.0148999999999999</v>
      </c>
      <c r="W19" s="2019">
        <f t="shared" si="57"/>
        <v>1.0065</v>
      </c>
      <c r="X19" s="2897"/>
      <c r="Y19" s="2020">
        <f>IF(D19=0,0,ROUND(AVERAGE(D19:D21)/100,4))</f>
        <v>7.9000000000000008E-3</v>
      </c>
      <c r="Z19" s="2020">
        <f>IF(E19=0,0,ROUND(AVERAGE(E19:E21)/100,4))</f>
        <v>4.3E-3</v>
      </c>
      <c r="AA19" s="2020">
        <f>IF(F19=0,0,ROUND(AVERAGE(F19:F21)/100,4))</f>
        <v>1.2999999999999999E-3</v>
      </c>
      <c r="AB19" s="2020">
        <f>IF(G19=0,0,ROUND(AVERAGE(G19:G21)/100,4))</f>
        <v>8.5000000000000006E-3</v>
      </c>
      <c r="AC19" s="2020">
        <f>IF(H19=0,0,ROUND(AVERAGE(H19:H21)/100,4))</f>
        <v>6.1999999999999998E-3</v>
      </c>
      <c r="AD19" s="2020">
        <f t="shared" si="40"/>
        <v>1.2999999999999999E-3</v>
      </c>
    </row>
    <row r="20" spans="1:30" s="2037" customFormat="1" ht="12.75">
      <c r="A20" s="2896" t="s">
        <v>2820</v>
      </c>
      <c r="B20" s="2023">
        <v>2021</v>
      </c>
      <c r="C20" s="2034">
        <v>2</v>
      </c>
      <c r="D20" s="1999">
        <v>0.92</v>
      </c>
      <c r="E20" s="1999">
        <v>0.72</v>
      </c>
      <c r="F20" s="1999">
        <v>0.41</v>
      </c>
      <c r="G20" s="1999">
        <v>0.95</v>
      </c>
      <c r="H20" s="2908">
        <v>1.01</v>
      </c>
      <c r="I20" s="2000">
        <f t="shared" si="37"/>
        <v>0.41</v>
      </c>
      <c r="J20" s="2897"/>
      <c r="K20" s="2035">
        <f t="shared" si="38"/>
        <v>9.1999999999999998E-3</v>
      </c>
      <c r="L20" s="2020">
        <f t="shared" si="38"/>
        <v>7.1999999999999998E-3</v>
      </c>
      <c r="M20" s="2020">
        <f t="shared" si="38"/>
        <v>4.0999999999999995E-3</v>
      </c>
      <c r="N20" s="2020">
        <f t="shared" si="38"/>
        <v>9.4999999999999998E-3</v>
      </c>
      <c r="O20" s="2020">
        <f t="shared" si="38"/>
        <v>1.01E-2</v>
      </c>
      <c r="P20" s="2020">
        <f t="shared" si="58"/>
        <v>4.0999999999999995E-3</v>
      </c>
      <c r="Q20" s="2897"/>
      <c r="R20" s="2019">
        <f>ROUND(IF(项目基本情况!$B$8="出让",SUMPRODUCT(PRODUCT(1+K20:$K$21)),SUMPRODUCT(PRODUCT(1+K20:$K$20))),4)</f>
        <v>1.0092000000000001</v>
      </c>
      <c r="S20" s="2019">
        <f>ROUND(IF(项目基本情况!$B$8="出让",SUMPRODUCT(PRODUCT(1+L20:$L$21)),SUMPRODUCT(PRODUCT(1+L20:$L$20))),4)</f>
        <v>1.0072000000000001</v>
      </c>
      <c r="T20" s="2019">
        <f>ROUND(IF(项目基本情况!$B$8="出让",SUMPRODUCT(PRODUCT(1+M20:$M$21)),SUMPRODUCT(PRODUCT(1+M20:$M$20))),4)</f>
        <v>1.0041</v>
      </c>
      <c r="U20" s="2019">
        <f>ROUND(IF(项目基本情况!$B$8="出让",SUMPRODUCT(PRODUCT(1+N20:$N$21)),SUMPRODUCT(PRODUCT(1+N20:$N$20))),4)</f>
        <v>1.0095000000000001</v>
      </c>
      <c r="V20" s="2019">
        <f>ROUND(IF(项目基本情况!$B$8="出让",SUMPRODUCT(PRODUCT(1+O20:$O$21)),SUMPRODUCT(PRODUCT(1+O20:$O$20))),4)</f>
        <v>1.0101</v>
      </c>
      <c r="W20" s="2019">
        <f t="shared" si="57"/>
        <v>1.0041</v>
      </c>
      <c r="X20" s="2897"/>
      <c r="Y20" s="2020">
        <f>IF(D20=0,0,ROUND(AVERAGE(D20:D21)/100,4))</f>
        <v>9.4999999999999998E-3</v>
      </c>
      <c r="Z20" s="2020">
        <f>IF(E20=0,0,ROUND(AVERAGE(E20:E21)/100,4))</f>
        <v>4.4000000000000003E-3</v>
      </c>
      <c r="AA20" s="2020">
        <f>IF(F20=0,0,ROUND(AVERAGE(F20:F21)/100,4))</f>
        <v>8.0000000000000004E-4</v>
      </c>
      <c r="AB20" s="2020">
        <f>IF(G20=0,0,ROUND(AVERAGE(G20:G21)/100,4))</f>
        <v>1.03E-2</v>
      </c>
      <c r="AC20" s="2020">
        <f>IF(H20=0,0,ROUND(AVERAGE(H20:H21)/100,4))</f>
        <v>6.8999999999999999E-3</v>
      </c>
      <c r="AD20" s="2020">
        <f t="shared" si="40"/>
        <v>8.0000000000000004E-4</v>
      </c>
    </row>
    <row r="21" spans="1:30" s="2919" customFormat="1" thickBot="1">
      <c r="A21" s="2909" t="s">
        <v>2821</v>
      </c>
      <c r="B21" s="2910">
        <v>2021</v>
      </c>
      <c r="C21" s="2911">
        <v>1</v>
      </c>
      <c r="D21" s="2912">
        <v>0.97</v>
      </c>
      <c r="E21" s="2912">
        <v>0.16</v>
      </c>
      <c r="F21" s="2912">
        <v>-0.25</v>
      </c>
      <c r="G21" s="2912">
        <v>1.1100000000000001</v>
      </c>
      <c r="H21" s="2913">
        <v>0.36</v>
      </c>
      <c r="I21" s="2914">
        <f t="shared" si="37"/>
        <v>-0.25</v>
      </c>
      <c r="J21" s="2915"/>
      <c r="K21" s="2916">
        <f t="shared" si="38"/>
        <v>9.7000000000000003E-3</v>
      </c>
      <c r="L21" s="2917">
        <f t="shared" si="38"/>
        <v>1.6000000000000001E-3</v>
      </c>
      <c r="M21" s="2917">
        <f>F21/100</f>
        <v>-2.5000000000000001E-3</v>
      </c>
      <c r="N21" s="2917">
        <f t="shared" si="38"/>
        <v>1.11E-2</v>
      </c>
      <c r="O21" s="2917">
        <f t="shared" si="38"/>
        <v>3.5999999999999999E-3</v>
      </c>
      <c r="P21" s="2917">
        <f t="shared" si="58"/>
        <v>-2.5000000000000001E-3</v>
      </c>
      <c r="Q21" s="2915"/>
      <c r="R21" s="2918">
        <v>1</v>
      </c>
      <c r="S21" s="2918">
        <v>1</v>
      </c>
      <c r="T21" s="2918">
        <v>1</v>
      </c>
      <c r="U21" s="2918">
        <v>1</v>
      </c>
      <c r="V21" s="2918">
        <v>1</v>
      </c>
      <c r="W21" s="2918">
        <f t="shared" ref="W21" si="64">T21</f>
        <v>1</v>
      </c>
      <c r="X21" s="2915"/>
      <c r="Y21" s="2917">
        <f>IF(D21=0,0,ROUND(AVERAGE(D21:D21)/100,4))</f>
        <v>9.7000000000000003E-3</v>
      </c>
      <c r="Z21" s="2917">
        <f>IF(E21=0,0,ROUND(AVERAGE(E21:E21)/100,4))</f>
        <v>1.6000000000000001E-3</v>
      </c>
      <c r="AA21" s="2917">
        <f>IF(F21=0,0,ROUND(AVERAGE(F21:F21)/100,4))</f>
        <v>-2.5000000000000001E-3</v>
      </c>
      <c r="AB21" s="2917">
        <f>IF(G21=0,0,ROUND(AVERAGE(G21:G21)/100,4))</f>
        <v>1.11E-2</v>
      </c>
      <c r="AC21" s="2917">
        <f>IF(H21=0,0,ROUND(AVERAGE(H21:H21)/100,4))</f>
        <v>3.5999999999999999E-3</v>
      </c>
      <c r="AD21" s="2917">
        <f>AA21</f>
        <v>-2.5000000000000001E-3</v>
      </c>
    </row>
    <row r="22" spans="1:30" ht="14.25" thickTop="1"/>
    <row r="23" spans="1:30">
      <c r="A23" s="3132" t="s">
        <v>3382</v>
      </c>
    </row>
    <row r="24" spans="1:30">
      <c r="I24" s="1399" t="s">
        <v>2822</v>
      </c>
    </row>
    <row r="26" spans="1:30" s="2001" customFormat="1" ht="12.75">
      <c r="B26" s="2920" t="s">
        <v>3380</v>
      </c>
      <c r="C26" s="2921"/>
      <c r="D26" s="2921"/>
      <c r="E26" s="2921"/>
      <c r="F26" s="2921"/>
      <c r="G26" s="2921"/>
      <c r="H26" s="2921"/>
      <c r="I26" s="2921"/>
      <c r="J26" s="2887"/>
      <c r="K26" s="2921" t="s">
        <v>2823</v>
      </c>
      <c r="L26" s="2921"/>
      <c r="M26" s="2921"/>
      <c r="N26" s="2921"/>
      <c r="O26" s="2921"/>
      <c r="P26" s="2921"/>
      <c r="Q26" s="2887"/>
      <c r="R26" s="3500" t="s">
        <v>2824</v>
      </c>
      <c r="S26" s="3501"/>
      <c r="T26" s="3501"/>
      <c r="U26" s="3501"/>
      <c r="V26" s="3501"/>
      <c r="W26" s="3501"/>
      <c r="X26" s="2887"/>
      <c r="Y26" s="3500" t="s">
        <v>2825</v>
      </c>
      <c r="Z26" s="3501"/>
      <c r="AA26" s="3501"/>
      <c r="AB26" s="3501"/>
      <c r="AC26" s="3501"/>
      <c r="AD26" s="3501"/>
    </row>
    <row r="27" spans="1:30" s="2002" customFormat="1" ht="14.25" thickBot="1">
      <c r="B27" s="2872"/>
      <c r="C27" s="2873"/>
      <c r="D27" s="2003" t="s">
        <v>2826</v>
      </c>
      <c r="E27" s="2004" t="s">
        <v>2827</v>
      </c>
      <c r="F27" s="2004" t="s">
        <v>2828</v>
      </c>
      <c r="G27" s="2004" t="s">
        <v>2829</v>
      </c>
      <c r="H27" s="2004"/>
      <c r="I27" s="2004" t="s">
        <v>2830</v>
      </c>
      <c r="J27" s="2874"/>
      <c r="K27" s="2003" t="s">
        <v>2826</v>
      </c>
      <c r="L27" s="2004" t="s">
        <v>2827</v>
      </c>
      <c r="M27" s="2004" t="s">
        <v>2828</v>
      </c>
      <c r="N27" s="2004" t="s">
        <v>2829</v>
      </c>
      <c r="O27" s="2004"/>
      <c r="P27" s="2004" t="s">
        <v>2830</v>
      </c>
      <c r="Q27" s="2874"/>
      <c r="R27" s="2003" t="s">
        <v>2826</v>
      </c>
      <c r="S27" s="2004" t="s">
        <v>2827</v>
      </c>
      <c r="T27" s="2004" t="s">
        <v>2828</v>
      </c>
      <c r="U27" s="2004" t="s">
        <v>2829</v>
      </c>
      <c r="V27" s="2004"/>
      <c r="W27" s="2004" t="s">
        <v>2830</v>
      </c>
      <c r="X27" s="2874"/>
      <c r="Y27" s="2003" t="s">
        <v>2826</v>
      </c>
      <c r="Z27" s="2004" t="s">
        <v>2827</v>
      </c>
      <c r="AA27" s="2004" t="s">
        <v>2828</v>
      </c>
      <c r="AB27" s="2004" t="s">
        <v>2829</v>
      </c>
      <c r="AC27" s="2004"/>
      <c r="AD27" s="2004" t="s">
        <v>2830</v>
      </c>
    </row>
    <row r="28" spans="1:30" s="2877" customFormat="1" ht="12.75">
      <c r="A28" s="2875" t="s">
        <v>2831</v>
      </c>
      <c r="B28" s="2876"/>
      <c r="E28" s="2877">
        <f t="shared" ref="E28:G28" si="65">ROUND(AVERAGEIF(E29:E46,"&lt;&gt;0"),2)</f>
        <v>0.26</v>
      </c>
      <c r="F28" s="2877">
        <f t="shared" si="65"/>
        <v>0.19</v>
      </c>
      <c r="G28" s="2877">
        <f t="shared" si="65"/>
        <v>0.38</v>
      </c>
      <c r="I28" s="2877">
        <f>F28</f>
        <v>0.19</v>
      </c>
      <c r="J28" s="2878"/>
      <c r="K28" s="2879"/>
      <c r="L28" s="2880">
        <f t="shared" ref="L28:N28" si="66">ROUND(AVERAGEIF(L29:L46,"&lt;&gt;0"),4)</f>
        <v>2.5999999999999999E-3</v>
      </c>
      <c r="M28" s="2880">
        <f t="shared" si="66"/>
        <v>1.9E-3</v>
      </c>
      <c r="N28" s="2880">
        <f t="shared" si="66"/>
        <v>3.8E-3</v>
      </c>
      <c r="O28" s="2880"/>
      <c r="P28" s="2880">
        <f>M28</f>
        <v>1.9E-3</v>
      </c>
      <c r="Q28" s="2878"/>
      <c r="R28" s="2881"/>
      <c r="S28" s="2882">
        <f>ROUND(SUMPRODUCT(PRODUCT(1+L29:L46)),4)</f>
        <v>1.04</v>
      </c>
      <c r="T28" s="2882">
        <f t="shared" ref="T28:U28" si="67">ROUND(SUMPRODUCT(PRODUCT(1+M29:M46)),4)</f>
        <v>1.0293000000000001</v>
      </c>
      <c r="U28" s="2882">
        <f t="shared" si="67"/>
        <v>1.0583</v>
      </c>
      <c r="V28" s="2882"/>
      <c r="W28" s="2881">
        <f>T28</f>
        <v>1.0293000000000001</v>
      </c>
      <c r="X28" s="2878"/>
      <c r="Y28" s="2883"/>
      <c r="Z28" s="2884">
        <f t="shared" ref="Z28:AB28" si="68">ROUND(AVERAGEIF(Z29:Z46,"&lt;&gt;0"),4)</f>
        <v>4.1000000000000003E-3</v>
      </c>
      <c r="AA28" s="2885">
        <f t="shared" si="68"/>
        <v>3.3E-3</v>
      </c>
      <c r="AB28" s="2883">
        <f t="shared" si="68"/>
        <v>8.0999999999999996E-3</v>
      </c>
      <c r="AC28" s="2886"/>
      <c r="AD28" s="2883">
        <f>AA28</f>
        <v>3.3E-3</v>
      </c>
    </row>
    <row r="29" spans="1:30" s="2001" customFormat="1" ht="12.75">
      <c r="B29" s="2017"/>
      <c r="J29" s="2887"/>
      <c r="K29" s="2888"/>
      <c r="L29" s="2889"/>
      <c r="M29" s="2889"/>
      <c r="N29" s="2889"/>
      <c r="O29" s="2889"/>
      <c r="P29" s="2889"/>
      <c r="Q29" s="2887"/>
      <c r="R29" s="2019"/>
      <c r="S29" s="2890"/>
      <c r="T29" s="2891"/>
      <c r="U29" s="2019"/>
      <c r="V29" s="2892"/>
      <c r="W29" s="2019"/>
      <c r="X29" s="2887"/>
      <c r="Y29" s="2020"/>
      <c r="Z29" s="2893"/>
      <c r="AA29" s="2894"/>
      <c r="AB29" s="2020"/>
      <c r="AC29" s="2895"/>
      <c r="AD29" s="2020"/>
    </row>
    <row r="30" spans="1:30" s="2037" customFormat="1" ht="12.75">
      <c r="A30" s="2032" t="s">
        <v>3375</v>
      </c>
      <c r="B30" s="2023">
        <v>2025</v>
      </c>
      <c r="C30" s="2034">
        <v>1</v>
      </c>
      <c r="D30" s="1999"/>
      <c r="E30" s="1999">
        <v>0</v>
      </c>
      <c r="F30" s="1999">
        <v>0</v>
      </c>
      <c r="G30" s="1999">
        <v>0</v>
      </c>
      <c r="H30" s="1999"/>
      <c r="I30" s="2000">
        <f t="shared" ref="I30" si="69">F30</f>
        <v>0</v>
      </c>
      <c r="J30" s="2897"/>
      <c r="K30" s="2035"/>
      <c r="L30" s="2020">
        <f t="shared" ref="L30" si="70">E30/100</f>
        <v>0</v>
      </c>
      <c r="M30" s="2020">
        <f t="shared" ref="M30" si="71">F30/100</f>
        <v>0</v>
      </c>
      <c r="N30" s="2020">
        <f t="shared" ref="N30" si="72">G30/100</f>
        <v>0</v>
      </c>
      <c r="O30" s="2020"/>
      <c r="P30" s="2020">
        <f>M30</f>
        <v>0</v>
      </c>
      <c r="Q30" s="2897"/>
      <c r="R30" s="2019"/>
      <c r="S30" s="2019">
        <f>ROUND(IF(项目基本情况!$B$8="出让",SUMPRODUCT(PRODUCT(1+L30:L$46)),SUMPRODUCT(PRODUCT(1+L30:L$45))),4)</f>
        <v>1.0364</v>
      </c>
      <c r="T30" s="2019">
        <f>ROUND(IF(项目基本情况!$B$8="出让",SUMPRODUCT(PRODUCT(1+M30:M$46)),SUMPRODUCT(PRODUCT(1+M30:M$45))),4)</f>
        <v>1.0244</v>
      </c>
      <c r="U30" s="2019">
        <f>ROUND(IF(项目基本情况!$B$8="出让",SUMPRODUCT(PRODUCT(1+N30:N$46)),SUMPRODUCT(PRODUCT(1+N30:N$45))),4)</f>
        <v>1.048</v>
      </c>
      <c r="V30" s="2019"/>
      <c r="W30" s="2019">
        <f>T30</f>
        <v>1.0244</v>
      </c>
      <c r="X30" s="2897"/>
      <c r="Y30" s="2020"/>
      <c r="Z30" s="2893">
        <f t="shared" ref="Z30" si="73">IF(E30=0,0,ROUND(AVERAGE(E30:E43)/100,4))</f>
        <v>0</v>
      </c>
      <c r="AA30" s="2893">
        <f t="shared" ref="AA30" si="74">IF(F30=0,0,ROUND(AVERAGE(F30:F43)/100,4))</f>
        <v>0</v>
      </c>
      <c r="AB30" s="2893">
        <f t="shared" ref="AB30" si="75">IF(G30=0,0,ROUND(AVERAGE(G30:G43)/100,4))</f>
        <v>0</v>
      </c>
      <c r="AC30" s="2895"/>
      <c r="AD30" s="2020">
        <f>IF(I30=0,0,ROUND(AVERAGE(I30:I43)/100,4))</f>
        <v>0</v>
      </c>
    </row>
    <row r="31" spans="1:30" s="2907" customFormat="1" ht="12.75">
      <c r="A31" s="2898" t="s">
        <v>3377</v>
      </c>
      <c r="B31" s="2899">
        <v>2024</v>
      </c>
      <c r="C31" s="2900">
        <v>4</v>
      </c>
      <c r="D31" s="2901"/>
      <c r="E31" s="2901">
        <v>0</v>
      </c>
      <c r="F31" s="2901">
        <v>0</v>
      </c>
      <c r="G31" s="2901">
        <v>0</v>
      </c>
      <c r="H31" s="2902"/>
      <c r="I31" s="2903">
        <f t="shared" ref="I31" si="76">F31</f>
        <v>0</v>
      </c>
      <c r="J31" s="2904"/>
      <c r="K31" s="2905"/>
      <c r="L31" s="2906">
        <f t="shared" ref="L31" si="77">E31/100</f>
        <v>0</v>
      </c>
      <c r="M31" s="2906">
        <f t="shared" ref="M31" si="78">F31/100</f>
        <v>0</v>
      </c>
      <c r="N31" s="2906">
        <f t="shared" ref="N31" si="79">G31/100</f>
        <v>0</v>
      </c>
      <c r="O31" s="2906"/>
      <c r="P31" s="2906">
        <f>M31</f>
        <v>0</v>
      </c>
      <c r="Q31" s="2904"/>
      <c r="R31" s="2904"/>
      <c r="S31" s="2904">
        <f>ROUND(IF(项目基本情况!$B$8="出让",SUMPRODUCT(PRODUCT(1+L31:L$46)),SUMPRODUCT(PRODUCT(1+L31:L$45))),4)</f>
        <v>1.0364</v>
      </c>
      <c r="T31" s="2904">
        <f>ROUND(IF(项目基本情况!$B$8="出让",SUMPRODUCT(PRODUCT(1+M31:M$46)),SUMPRODUCT(PRODUCT(1+M31:M$45))),4)</f>
        <v>1.0244</v>
      </c>
      <c r="U31" s="2904">
        <f>ROUND(IF(项目基本情况!$B$8="出让",SUMPRODUCT(PRODUCT(1+N31:N$46)),SUMPRODUCT(PRODUCT(1+N31:N$45))),4)</f>
        <v>1.048</v>
      </c>
      <c r="V31" s="2904"/>
      <c r="W31" s="2904">
        <f>T31</f>
        <v>1.0244</v>
      </c>
      <c r="X31" s="2904"/>
      <c r="Y31" s="2906"/>
      <c r="Z31" s="2922">
        <f t="shared" ref="Z31" si="80">IF(E31=0,0,ROUND(AVERAGE(E31:E44)/100,4))</f>
        <v>0</v>
      </c>
      <c r="AA31" s="2923">
        <f t="shared" ref="AA31" si="81">IF(F31=0,0,ROUND(AVERAGE(F31:F44)/100,4))</f>
        <v>0</v>
      </c>
      <c r="AB31" s="2906">
        <f t="shared" ref="AB31" si="82">IF(G31=0,0,ROUND(AVERAGE(G31:G44)/100,4))</f>
        <v>0</v>
      </c>
      <c r="AC31" s="2924"/>
      <c r="AD31" s="2906">
        <f>IF(I31=0,0,ROUND(AVERAGE(I31:I44)/100,4))</f>
        <v>0</v>
      </c>
    </row>
    <row r="32" spans="1:30" s="2037" customFormat="1" ht="12.75">
      <c r="A32" s="2032" t="s">
        <v>3370</v>
      </c>
      <c r="B32" s="2023">
        <v>2024</v>
      </c>
      <c r="C32" s="2034">
        <v>3</v>
      </c>
      <c r="D32" s="1999"/>
      <c r="E32" s="1999">
        <v>-0.66</v>
      </c>
      <c r="F32" s="1999">
        <v>-0.52</v>
      </c>
      <c r="G32" s="1999">
        <v>-2.87</v>
      </c>
      <c r="H32" s="1999"/>
      <c r="I32" s="2000">
        <f t="shared" ref="I32" si="83">F32</f>
        <v>-0.52</v>
      </c>
      <c r="J32" s="2897"/>
      <c r="K32" s="2035"/>
      <c r="L32" s="2020">
        <f t="shared" ref="L32" si="84">E32/100</f>
        <v>-6.6E-3</v>
      </c>
      <c r="M32" s="2020">
        <f t="shared" ref="M32" si="85">F32/100</f>
        <v>-5.1999999999999998E-3</v>
      </c>
      <c r="N32" s="2020">
        <f t="shared" ref="N32" si="86">G32/100</f>
        <v>-2.87E-2</v>
      </c>
      <c r="O32" s="2020"/>
      <c r="P32" s="2020">
        <f>M32</f>
        <v>-5.1999999999999998E-3</v>
      </c>
      <c r="Q32" s="2897"/>
      <c r="R32" s="2019"/>
      <c r="S32" s="2019">
        <f>ROUND(IF(项目基本情况!$B$8="出让",SUMPRODUCT(PRODUCT(1+L32:L$46)),SUMPRODUCT(PRODUCT(1+L32:L$45))),4)</f>
        <v>1.0364</v>
      </c>
      <c r="T32" s="2019">
        <f>ROUND(IF(项目基本情况!$B$8="出让",SUMPRODUCT(PRODUCT(1+M32:M$46)),SUMPRODUCT(PRODUCT(1+M32:M$45))),4)</f>
        <v>1.0244</v>
      </c>
      <c r="U32" s="2019">
        <f>ROUND(IF(项目基本情况!$B$8="出让",SUMPRODUCT(PRODUCT(1+N32:N$46)),SUMPRODUCT(PRODUCT(1+N32:N$45))),4)</f>
        <v>1.048</v>
      </c>
      <c r="V32" s="2019"/>
      <c r="W32" s="2019">
        <f>T32</f>
        <v>1.0244</v>
      </c>
      <c r="X32" s="2897"/>
      <c r="Y32" s="2020"/>
      <c r="Z32" s="2893">
        <f t="shared" ref="Z32:AB33" si="87">IF(E32=0,0,ROUND(AVERAGE(E32:E45)/100,4))</f>
        <v>2.5999999999999999E-3</v>
      </c>
      <c r="AA32" s="2893">
        <f t="shared" si="87"/>
        <v>1.6999999999999999E-3</v>
      </c>
      <c r="AB32" s="2893">
        <f t="shared" si="87"/>
        <v>3.3999999999999998E-3</v>
      </c>
      <c r="AC32" s="2895"/>
      <c r="AD32" s="2020">
        <f>IF(I32=0,0,ROUND(AVERAGE(I32:I45)/100,4))</f>
        <v>1.6999999999999999E-3</v>
      </c>
    </row>
    <row r="33" spans="1:30" s="2037" customFormat="1" ht="12.75">
      <c r="A33" s="2896" t="s">
        <v>3378</v>
      </c>
      <c r="B33" s="2023">
        <v>2024</v>
      </c>
      <c r="C33" s="2034">
        <v>2</v>
      </c>
      <c r="D33" s="1999"/>
      <c r="E33" s="1999">
        <v>-0.31</v>
      </c>
      <c r="F33" s="1999">
        <v>-0.39</v>
      </c>
      <c r="G33" s="1999">
        <v>1.23</v>
      </c>
      <c r="H33" s="2908"/>
      <c r="I33" s="2000">
        <f t="shared" ref="I33:I46" si="88">F33</f>
        <v>-0.39</v>
      </c>
      <c r="J33" s="2897"/>
      <c r="K33" s="2035"/>
      <c r="L33" s="2020">
        <f t="shared" ref="L33:N46" si="89">E33/100</f>
        <v>-3.0999999999999999E-3</v>
      </c>
      <c r="M33" s="2020">
        <f t="shared" si="89"/>
        <v>-3.9000000000000003E-3</v>
      </c>
      <c r="N33" s="2020">
        <f t="shared" si="89"/>
        <v>1.23E-2</v>
      </c>
      <c r="O33" s="2020"/>
      <c r="P33" s="2020">
        <f>M33</f>
        <v>-3.9000000000000003E-3</v>
      </c>
      <c r="Q33" s="2897"/>
      <c r="R33" s="2019"/>
      <c r="S33" s="2019">
        <f>ROUND(IF(项目基本情况!$B$8="出让",SUMPRODUCT(PRODUCT(1+L33:L$46)),SUMPRODUCT(PRODUCT(1+L33:L$45))),4)</f>
        <v>1.0432999999999999</v>
      </c>
      <c r="T33" s="2019">
        <f>ROUND(IF(项目基本情况!$B$8="出让",SUMPRODUCT(PRODUCT(1+M33:M$46)),SUMPRODUCT(PRODUCT(1+M33:M$45))),4)</f>
        <v>1.0298</v>
      </c>
      <c r="U33" s="2019">
        <f>ROUND(IF(项目基本情况!$B$8="出让",SUMPRODUCT(PRODUCT(1+N33:N$46)),SUMPRODUCT(PRODUCT(1+N33:N$45))),4)</f>
        <v>1.079</v>
      </c>
      <c r="V33" s="2019"/>
      <c r="W33" s="2019">
        <f>T33</f>
        <v>1.0298</v>
      </c>
      <c r="X33" s="2897"/>
      <c r="Y33" s="2020"/>
      <c r="Z33" s="2893">
        <f t="shared" si="87"/>
        <v>3.3E-3</v>
      </c>
      <c r="AA33" s="2894">
        <f t="shared" si="87"/>
        <v>2.3999999999999998E-3</v>
      </c>
      <c r="AB33" s="2020">
        <f t="shared" si="87"/>
        <v>6.1999999999999998E-3</v>
      </c>
      <c r="AC33" s="2895"/>
      <c r="AD33" s="2020">
        <f>IF(I33=0,0,ROUND(AVERAGE(I33:I46)/100,4))</f>
        <v>2.3999999999999998E-3</v>
      </c>
    </row>
    <row r="34" spans="1:30" s="2037" customFormat="1" ht="12.75">
      <c r="A34" s="2896" t="s">
        <v>3371</v>
      </c>
      <c r="B34" s="2023">
        <v>2024</v>
      </c>
      <c r="C34" s="2034">
        <v>1</v>
      </c>
      <c r="D34" s="1999"/>
      <c r="E34" s="1999">
        <v>0.25</v>
      </c>
      <c r="F34" s="1999">
        <v>0.4</v>
      </c>
      <c r="G34" s="1999">
        <v>-0.63</v>
      </c>
      <c r="H34" s="2908"/>
      <c r="I34" s="2000">
        <f t="shared" ref="I34:I35" si="90">F34</f>
        <v>0.4</v>
      </c>
      <c r="J34" s="2897"/>
      <c r="K34" s="2035"/>
      <c r="L34" s="2020">
        <f t="shared" ref="L34" si="91">E34/100</f>
        <v>2.5000000000000001E-3</v>
      </c>
      <c r="M34" s="2020">
        <f t="shared" ref="M34" si="92">F34/100</f>
        <v>4.0000000000000001E-3</v>
      </c>
      <c r="N34" s="2020">
        <f t="shared" ref="N34" si="93">G34/100</f>
        <v>-6.3E-3</v>
      </c>
      <c r="O34" s="2020"/>
      <c r="P34" s="2020">
        <f t="shared" ref="P34" si="94">M34</f>
        <v>4.0000000000000001E-3</v>
      </c>
      <c r="Q34" s="2897"/>
      <c r="R34" s="2019"/>
      <c r="S34" s="2019">
        <f>ROUND(IF(项目基本情况!$B$8="出让",SUMPRODUCT(PRODUCT(1+L34:L$46)),SUMPRODUCT(PRODUCT(1+L34:L$45))),4)</f>
        <v>1.0465</v>
      </c>
      <c r="T34" s="2019">
        <f>ROUND(IF(项目基本情况!$B$8="出让",SUMPRODUCT(PRODUCT(1+M34:M$46)),SUMPRODUCT(PRODUCT(1+M34:M$45))),4)</f>
        <v>1.0338000000000001</v>
      </c>
      <c r="U34" s="2019">
        <f>ROUND(IF(项目基本情况!$B$8="出让",SUMPRODUCT(PRODUCT(1+N34:N$46)),SUMPRODUCT(PRODUCT(1+N34:N$45))),4)</f>
        <v>1.0659000000000001</v>
      </c>
      <c r="V34" s="2019"/>
      <c r="W34" s="2019">
        <f t="shared" ref="W34" si="95">T34</f>
        <v>1.0338000000000001</v>
      </c>
      <c r="X34" s="2897"/>
      <c r="Y34" s="2020"/>
      <c r="Z34" s="2893"/>
      <c r="AA34" s="2894"/>
      <c r="AB34" s="2020"/>
      <c r="AC34" s="2895"/>
      <c r="AD34" s="2020"/>
    </row>
    <row r="35" spans="1:30" s="2037" customFormat="1" ht="12.75">
      <c r="A35" s="2896" t="s">
        <v>3369</v>
      </c>
      <c r="B35" s="2023">
        <v>2023</v>
      </c>
      <c r="C35" s="2034">
        <v>4</v>
      </c>
      <c r="D35" s="1999"/>
      <c r="E35" s="1999">
        <v>7.0000000000000007E-2</v>
      </c>
      <c r="F35" s="1999">
        <v>0.09</v>
      </c>
      <c r="G35" s="1999">
        <v>0.03</v>
      </c>
      <c r="H35" s="2908"/>
      <c r="I35" s="2000">
        <f t="shared" si="90"/>
        <v>0.09</v>
      </c>
      <c r="J35" s="2897"/>
      <c r="K35" s="2035"/>
      <c r="L35" s="2020">
        <f t="shared" si="89"/>
        <v>7.000000000000001E-4</v>
      </c>
      <c r="M35" s="2020">
        <f t="shared" si="89"/>
        <v>8.9999999999999998E-4</v>
      </c>
      <c r="N35" s="2020">
        <f t="shared" si="89"/>
        <v>2.9999999999999997E-4</v>
      </c>
      <c r="O35" s="2020"/>
      <c r="P35" s="2020">
        <f t="shared" ref="P35" si="96">M35</f>
        <v>8.9999999999999998E-4</v>
      </c>
      <c r="Q35" s="2897"/>
      <c r="R35" s="2019"/>
      <c r="S35" s="2019">
        <f>ROUND(IF(项目基本情况!$B$8="出让",SUMPRODUCT(PRODUCT(1+L35:L$46)),SUMPRODUCT(PRODUCT(1+L35:L$45))),4)</f>
        <v>1.0439000000000001</v>
      </c>
      <c r="T35" s="2019">
        <f>ROUND(IF(项目基本情况!$B$8="出让",SUMPRODUCT(PRODUCT(1+M35:M$46)),SUMPRODUCT(PRODUCT(1+M35:M$45))),4)</f>
        <v>1.0297000000000001</v>
      </c>
      <c r="U35" s="2019">
        <f>ROUND(IF(项目基本情况!$B$8="出让",SUMPRODUCT(PRODUCT(1+N35:N$46)),SUMPRODUCT(PRODUCT(1+N35:N$45))),4)</f>
        <v>1.0727</v>
      </c>
      <c r="V35" s="2019"/>
      <c r="W35" s="2019">
        <f t="shared" ref="W35" si="97">T35</f>
        <v>1.0297000000000001</v>
      </c>
      <c r="X35" s="2897"/>
      <c r="Y35" s="2020"/>
      <c r="Z35" s="2893"/>
      <c r="AA35" s="2894"/>
      <c r="AB35" s="2020"/>
      <c r="AC35" s="2895"/>
      <c r="AD35" s="2020"/>
    </row>
    <row r="36" spans="1:30" s="2037" customFormat="1" ht="12.75">
      <c r="A36" s="2896" t="s">
        <v>3367</v>
      </c>
      <c r="B36" s="2023">
        <v>2023</v>
      </c>
      <c r="C36" s="2034">
        <v>3</v>
      </c>
      <c r="D36" s="1999"/>
      <c r="E36" s="1999">
        <v>0.35</v>
      </c>
      <c r="F36" s="1999">
        <v>0.17</v>
      </c>
      <c r="G36" s="1999">
        <v>0.52</v>
      </c>
      <c r="H36" s="2908"/>
      <c r="I36" s="2000">
        <f t="shared" si="88"/>
        <v>0.17</v>
      </c>
      <c r="J36" s="2897"/>
      <c r="K36" s="2035"/>
      <c r="L36" s="2020">
        <f t="shared" ref="L36:L38" si="98">E36/100</f>
        <v>3.4999999999999996E-3</v>
      </c>
      <c r="M36" s="2020">
        <f t="shared" ref="M36:M38" si="99">F36/100</f>
        <v>1.7000000000000001E-3</v>
      </c>
      <c r="N36" s="2020">
        <f t="shared" ref="N36:N38" si="100">G36/100</f>
        <v>5.1999999999999998E-3</v>
      </c>
      <c r="O36" s="2020"/>
      <c r="P36" s="2020">
        <f t="shared" ref="P36:P38" si="101">M36</f>
        <v>1.7000000000000001E-3</v>
      </c>
      <c r="Q36" s="2897"/>
      <c r="R36" s="2019"/>
      <c r="S36" s="2019">
        <f>ROUND(IF(项目基本情况!$B$8="出让",SUMPRODUCT(PRODUCT(1+L36:L$46)),SUMPRODUCT(PRODUCT(1+L36:L$45))),4)</f>
        <v>1.0431999999999999</v>
      </c>
      <c r="T36" s="2019">
        <f>ROUND(IF(项目基本情况!$B$8="出让",SUMPRODUCT(PRODUCT(1+M36:M$46)),SUMPRODUCT(PRODUCT(1+M36:M$45))),4)</f>
        <v>1.0286999999999999</v>
      </c>
      <c r="U36" s="2019">
        <f>ROUND(IF(项目基本情况!$B$8="出让",SUMPRODUCT(PRODUCT(1+N36:N$46)),SUMPRODUCT(PRODUCT(1+N36:N$45))),4)</f>
        <v>1.0723</v>
      </c>
      <c r="V36" s="2019"/>
      <c r="W36" s="2019">
        <f t="shared" ref="W36:W38" si="102">T36</f>
        <v>1.0286999999999999</v>
      </c>
      <c r="X36" s="2897"/>
      <c r="Y36" s="2020"/>
      <c r="Z36" s="2893"/>
      <c r="AA36" s="2894"/>
      <c r="AB36" s="2020"/>
      <c r="AC36" s="2895"/>
      <c r="AD36" s="2020"/>
    </row>
    <row r="37" spans="1:30" s="2037" customFormat="1" ht="12.75">
      <c r="A37" s="2896" t="s">
        <v>3366</v>
      </c>
      <c r="B37" s="2023">
        <v>2023</v>
      </c>
      <c r="C37" s="2034">
        <v>2</v>
      </c>
      <c r="D37" s="1999"/>
      <c r="E37" s="1999">
        <v>0.5</v>
      </c>
      <c r="F37" s="1999">
        <v>0.45</v>
      </c>
      <c r="G37" s="1999">
        <v>0.89</v>
      </c>
      <c r="H37" s="2908"/>
      <c r="I37" s="2000">
        <f t="shared" si="88"/>
        <v>0.45</v>
      </c>
      <c r="J37" s="2897"/>
      <c r="K37" s="2035"/>
      <c r="L37" s="2020">
        <f t="shared" si="98"/>
        <v>5.0000000000000001E-3</v>
      </c>
      <c r="M37" s="2020">
        <f t="shared" si="99"/>
        <v>4.5000000000000005E-3</v>
      </c>
      <c r="N37" s="2020">
        <f t="shared" si="100"/>
        <v>8.8999999999999999E-3</v>
      </c>
      <c r="O37" s="2020"/>
      <c r="P37" s="2020">
        <f t="shared" si="101"/>
        <v>4.5000000000000005E-3</v>
      </c>
      <c r="Q37" s="2897"/>
      <c r="R37" s="2019"/>
      <c r="S37" s="2019">
        <f>ROUND(IF(项目基本情况!$B$8="出让",SUMPRODUCT(PRODUCT(1+L37:L$46)),SUMPRODUCT(PRODUCT(1+L37:L$45))),4)</f>
        <v>1.0396000000000001</v>
      </c>
      <c r="T37" s="2019">
        <f>ROUND(IF(项目基本情况!$B$8="出让",SUMPRODUCT(PRODUCT(1+M37:M$46)),SUMPRODUCT(PRODUCT(1+M37:M$45))),4)</f>
        <v>1.0269999999999999</v>
      </c>
      <c r="U37" s="2019">
        <f>ROUND(IF(项目基本情况!$B$8="出让",SUMPRODUCT(PRODUCT(1+N37:N$46)),SUMPRODUCT(PRODUCT(1+N37:N$45))),4)</f>
        <v>1.0668</v>
      </c>
      <c r="V37" s="2019"/>
      <c r="W37" s="2019">
        <f t="shared" si="102"/>
        <v>1.0269999999999999</v>
      </c>
      <c r="X37" s="2897"/>
      <c r="Y37" s="2020"/>
      <c r="Z37" s="2893"/>
      <c r="AA37" s="2894"/>
      <c r="AB37" s="2020"/>
      <c r="AC37" s="2895"/>
      <c r="AD37" s="2020"/>
    </row>
    <row r="38" spans="1:30" s="2037" customFormat="1" ht="12.75">
      <c r="A38" s="2896" t="s">
        <v>3364</v>
      </c>
      <c r="B38" s="2023">
        <v>2023</v>
      </c>
      <c r="C38" s="2034">
        <v>1</v>
      </c>
      <c r="D38" s="1999"/>
      <c r="E38" s="1999">
        <v>0.55000000000000004</v>
      </c>
      <c r="F38" s="1999">
        <v>0.59</v>
      </c>
      <c r="G38" s="1999">
        <v>0.64</v>
      </c>
      <c r="H38" s="2908"/>
      <c r="I38" s="2000">
        <f t="shared" si="88"/>
        <v>0.59</v>
      </c>
      <c r="J38" s="2897"/>
      <c r="K38" s="2035"/>
      <c r="L38" s="2020">
        <f t="shared" si="98"/>
        <v>5.5000000000000005E-3</v>
      </c>
      <c r="M38" s="2020">
        <f t="shared" si="99"/>
        <v>5.8999999999999999E-3</v>
      </c>
      <c r="N38" s="2020">
        <f t="shared" si="100"/>
        <v>6.4000000000000003E-3</v>
      </c>
      <c r="O38" s="2020"/>
      <c r="P38" s="2020">
        <f t="shared" si="101"/>
        <v>5.8999999999999999E-3</v>
      </c>
      <c r="Q38" s="2897"/>
      <c r="R38" s="2019"/>
      <c r="S38" s="2019">
        <f>ROUND(IF(项目基本情况!$B$8="出让",SUMPRODUCT(PRODUCT(1+L38:L$46)),SUMPRODUCT(PRODUCT(1+L38:L$45))),4)</f>
        <v>1.0344</v>
      </c>
      <c r="T38" s="2019">
        <f>ROUND(IF(项目基本情况!$B$8="出让",SUMPRODUCT(PRODUCT(1+M38:M$46)),SUMPRODUCT(PRODUCT(1+M38:M$45))),4)</f>
        <v>1.0224</v>
      </c>
      <c r="U38" s="2019">
        <f>ROUND(IF(项目基本情况!$B$8="出让",SUMPRODUCT(PRODUCT(1+N38:N$46)),SUMPRODUCT(PRODUCT(1+N38:N$45))),4)</f>
        <v>1.0573999999999999</v>
      </c>
      <c r="V38" s="2019"/>
      <c r="W38" s="2019">
        <f t="shared" si="102"/>
        <v>1.0224</v>
      </c>
      <c r="X38" s="2897"/>
      <c r="Y38" s="2020"/>
      <c r="Z38" s="2893"/>
      <c r="AA38" s="2894"/>
      <c r="AB38" s="2020"/>
      <c r="AC38" s="2895"/>
      <c r="AD38" s="2020"/>
    </row>
    <row r="39" spans="1:30" s="2037" customFormat="1" ht="12.75">
      <c r="A39" s="2896" t="s">
        <v>3363</v>
      </c>
      <c r="B39" s="2023">
        <v>2022</v>
      </c>
      <c r="C39" s="2034">
        <v>4</v>
      </c>
      <c r="D39" s="1999"/>
      <c r="E39" s="1999">
        <v>0.45</v>
      </c>
      <c r="F39" s="1999">
        <v>0.2</v>
      </c>
      <c r="G39" s="1999">
        <v>0.38</v>
      </c>
      <c r="H39" s="2908"/>
      <c r="I39" s="2000">
        <f t="shared" si="88"/>
        <v>0.2</v>
      </c>
      <c r="J39" s="2897"/>
      <c r="K39" s="2035"/>
      <c r="L39" s="2020">
        <f t="shared" si="89"/>
        <v>4.5000000000000005E-3</v>
      </c>
      <c r="M39" s="2020">
        <f t="shared" si="89"/>
        <v>2E-3</v>
      </c>
      <c r="N39" s="2020">
        <f t="shared" si="89"/>
        <v>3.8E-3</v>
      </c>
      <c r="O39" s="2020"/>
      <c r="P39" s="2020">
        <f t="shared" ref="P39:P46" si="103">M39</f>
        <v>2E-3</v>
      </c>
      <c r="Q39" s="2897"/>
      <c r="R39" s="2019"/>
      <c r="S39" s="2019">
        <f>ROUND(IF(项目基本情况!$B$8="出让",SUMPRODUCT(PRODUCT(1+L39:L$46)),SUMPRODUCT(PRODUCT(1+L39:L$45))),4)</f>
        <v>1.0286999999999999</v>
      </c>
      <c r="T39" s="2019">
        <f>ROUND(IF(项目基本情况!$B$8="出让",SUMPRODUCT(PRODUCT(1+M39:M$46)),SUMPRODUCT(PRODUCT(1+M39:M$45))),4)</f>
        <v>1.0164</v>
      </c>
      <c r="U39" s="2019">
        <f>ROUND(IF(项目基本情况!$B$8="出让",SUMPRODUCT(PRODUCT(1+N39:N$46)),SUMPRODUCT(PRODUCT(1+N39:N$45))),4)</f>
        <v>1.0506</v>
      </c>
      <c r="V39" s="2019"/>
      <c r="W39" s="2019">
        <f t="shared" ref="W39:W46" si="104">T39</f>
        <v>1.0164</v>
      </c>
      <c r="X39" s="2897"/>
      <c r="Y39" s="2020"/>
      <c r="Z39" s="2893">
        <f t="shared" ref="Z39:AD46" si="105">IF(E39=0,0,ROUND(AVERAGE(E39:E47)/100,4))</f>
        <v>4.0000000000000001E-3</v>
      </c>
      <c r="AA39" s="2894">
        <f t="shared" si="105"/>
        <v>2.5999999999999999E-3</v>
      </c>
      <c r="AB39" s="2020">
        <f t="shared" si="105"/>
        <v>7.4000000000000003E-3</v>
      </c>
      <c r="AC39" s="2895"/>
      <c r="AD39" s="2020">
        <f t="shared" si="105"/>
        <v>2.5999999999999999E-3</v>
      </c>
    </row>
    <row r="40" spans="1:30" s="2037" customFormat="1" ht="12.75">
      <c r="A40" s="2896" t="s">
        <v>3362</v>
      </c>
      <c r="B40" s="2023">
        <v>2022</v>
      </c>
      <c r="C40" s="2034">
        <v>3</v>
      </c>
      <c r="D40" s="1999"/>
      <c r="E40" s="1999">
        <v>0.3</v>
      </c>
      <c r="F40" s="1999">
        <v>0.28999999999999998</v>
      </c>
      <c r="G40" s="1999">
        <v>0.83</v>
      </c>
      <c r="H40" s="2908"/>
      <c r="I40" s="2000">
        <f t="shared" si="88"/>
        <v>0.28999999999999998</v>
      </c>
      <c r="J40" s="2897"/>
      <c r="K40" s="2035"/>
      <c r="L40" s="2020">
        <f t="shared" si="89"/>
        <v>3.0000000000000001E-3</v>
      </c>
      <c r="M40" s="2020">
        <f t="shared" si="89"/>
        <v>2.8999999999999998E-3</v>
      </c>
      <c r="N40" s="2020">
        <f t="shared" si="89"/>
        <v>8.3000000000000001E-3</v>
      </c>
      <c r="O40" s="2020"/>
      <c r="P40" s="2020">
        <f t="shared" si="103"/>
        <v>2.8999999999999998E-3</v>
      </c>
      <c r="Q40" s="2897"/>
      <c r="R40" s="2019"/>
      <c r="S40" s="2019">
        <f>ROUND(IF(项目基本情况!$B$8="出让",SUMPRODUCT(PRODUCT(1+L40:L$46)),SUMPRODUCT(PRODUCT(1+L40:L$45))),4)</f>
        <v>1.0241</v>
      </c>
      <c r="T40" s="2019">
        <f>ROUND(IF(项目基本情况!$B$8="出让",SUMPRODUCT(PRODUCT(1+M40:M$46)),SUMPRODUCT(PRODUCT(1+M40:M$45))),4)</f>
        <v>1.0144</v>
      </c>
      <c r="U40" s="2019">
        <f>ROUND(IF(项目基本情况!$B$8="出让",SUMPRODUCT(PRODUCT(1+N40:N$46)),SUMPRODUCT(PRODUCT(1+N40:N$45))),4)</f>
        <v>1.0467</v>
      </c>
      <c r="V40" s="2019"/>
      <c r="W40" s="2019">
        <f t="shared" si="104"/>
        <v>1.0144</v>
      </c>
      <c r="X40" s="2897"/>
      <c r="Y40" s="2020"/>
      <c r="Z40" s="2893">
        <f t="shared" si="105"/>
        <v>3.8999999999999998E-3</v>
      </c>
      <c r="AA40" s="2894">
        <f t="shared" si="105"/>
        <v>2.7000000000000001E-3</v>
      </c>
      <c r="AB40" s="2020">
        <f t="shared" si="105"/>
        <v>7.9000000000000008E-3</v>
      </c>
      <c r="AC40" s="2895"/>
      <c r="AD40" s="2020">
        <f t="shared" si="105"/>
        <v>2.7000000000000001E-3</v>
      </c>
    </row>
    <row r="41" spans="1:30" s="2037" customFormat="1" ht="12.75">
      <c r="A41" s="2896" t="s">
        <v>3352</v>
      </c>
      <c r="B41" s="2023">
        <v>2022</v>
      </c>
      <c r="C41" s="2034">
        <v>2</v>
      </c>
      <c r="D41" s="1999"/>
      <c r="E41" s="1999">
        <v>-0.11</v>
      </c>
      <c r="F41" s="1999">
        <v>-0.13</v>
      </c>
      <c r="G41" s="1999">
        <v>0.53</v>
      </c>
      <c r="H41" s="2908"/>
      <c r="I41" s="2000">
        <f t="shared" si="88"/>
        <v>-0.13</v>
      </c>
      <c r="J41" s="2897"/>
      <c r="K41" s="2035"/>
      <c r="L41" s="2020">
        <f t="shared" si="89"/>
        <v>-1.1000000000000001E-3</v>
      </c>
      <c r="M41" s="2020">
        <f t="shared" si="89"/>
        <v>-1.2999999999999999E-3</v>
      </c>
      <c r="N41" s="2020">
        <f t="shared" si="89"/>
        <v>5.3E-3</v>
      </c>
      <c r="O41" s="2020"/>
      <c r="P41" s="2020">
        <f t="shared" si="103"/>
        <v>-1.2999999999999999E-3</v>
      </c>
      <c r="Q41" s="2897"/>
      <c r="R41" s="2019"/>
      <c r="S41" s="2019">
        <f>ROUND(IF(项目基本情况!$B$8="出让",SUMPRODUCT(PRODUCT(1+L41:L$46)),SUMPRODUCT(PRODUCT(1+L41:L$45))),4)</f>
        <v>1.0210999999999999</v>
      </c>
      <c r="T41" s="2019">
        <f>ROUND(IF(项目基本情况!$B$8="出让",SUMPRODUCT(PRODUCT(1+M41:M$46)),SUMPRODUCT(PRODUCT(1+M41:M$45))),4)</f>
        <v>1.0114000000000001</v>
      </c>
      <c r="U41" s="2019">
        <f>ROUND(IF(项目基本情况!$B$8="出让",SUMPRODUCT(PRODUCT(1+N41:N$46)),SUMPRODUCT(PRODUCT(1+N41:N$45))),4)</f>
        <v>1.0381</v>
      </c>
      <c r="V41" s="2019"/>
      <c r="W41" s="2019">
        <f t="shared" si="104"/>
        <v>1.0114000000000001</v>
      </c>
      <c r="X41" s="2897"/>
      <c r="Y41" s="2020"/>
      <c r="Z41" s="2893">
        <f t="shared" si="105"/>
        <v>4.1000000000000003E-3</v>
      </c>
      <c r="AA41" s="2894">
        <f t="shared" si="105"/>
        <v>2.7000000000000001E-3</v>
      </c>
      <c r="AB41" s="2020">
        <f t="shared" si="105"/>
        <v>7.9000000000000008E-3</v>
      </c>
      <c r="AC41" s="2895"/>
      <c r="AD41" s="2020">
        <f t="shared" si="105"/>
        <v>2.7000000000000001E-3</v>
      </c>
    </row>
    <row r="42" spans="1:30" s="2037" customFormat="1" ht="12.75">
      <c r="A42" s="2896" t="s">
        <v>2832</v>
      </c>
      <c r="B42" s="2023">
        <v>2022</v>
      </c>
      <c r="C42" s="2034">
        <v>1</v>
      </c>
      <c r="D42" s="1999"/>
      <c r="E42" s="1999">
        <v>0.6</v>
      </c>
      <c r="F42" s="1999">
        <v>0.45</v>
      </c>
      <c r="G42" s="1999">
        <v>0.53</v>
      </c>
      <c r="H42" s="2908"/>
      <c r="I42" s="2000">
        <f t="shared" si="88"/>
        <v>0.45</v>
      </c>
      <c r="J42" s="2897"/>
      <c r="K42" s="2035"/>
      <c r="L42" s="2020">
        <f t="shared" si="89"/>
        <v>6.0000000000000001E-3</v>
      </c>
      <c r="M42" s="2020">
        <f t="shared" si="89"/>
        <v>4.5000000000000005E-3</v>
      </c>
      <c r="N42" s="2020">
        <f t="shared" si="89"/>
        <v>5.3E-3</v>
      </c>
      <c r="O42" s="2020"/>
      <c r="P42" s="2020">
        <f t="shared" si="103"/>
        <v>4.5000000000000005E-3</v>
      </c>
      <c r="Q42" s="2897"/>
      <c r="R42" s="2019"/>
      <c r="S42" s="2019">
        <f>ROUND(IF(项目基本情况!$B$8="出让",SUMPRODUCT(PRODUCT(1+L42:L$46)),SUMPRODUCT(PRODUCT(1+L42:L$45))),4)</f>
        <v>1.0222</v>
      </c>
      <c r="T42" s="2019">
        <f>ROUND(IF(项目基本情况!$B$8="出让",SUMPRODUCT(PRODUCT(1+M42:M$46)),SUMPRODUCT(PRODUCT(1+M42:M$45))),4)</f>
        <v>1.0127999999999999</v>
      </c>
      <c r="U42" s="2019">
        <f>ROUND(IF(项目基本情况!$B$8="出让",SUMPRODUCT(PRODUCT(1+N42:N$46)),SUMPRODUCT(PRODUCT(1+N42:N$45))),4)</f>
        <v>1.0326</v>
      </c>
      <c r="V42" s="2019"/>
      <c r="W42" s="2019">
        <f t="shared" si="104"/>
        <v>1.0127999999999999</v>
      </c>
      <c r="X42" s="2897"/>
      <c r="Y42" s="2020"/>
      <c r="Z42" s="2893">
        <f t="shared" si="105"/>
        <v>5.1000000000000004E-3</v>
      </c>
      <c r="AA42" s="2894">
        <f t="shared" si="105"/>
        <v>3.5000000000000001E-3</v>
      </c>
      <c r="AB42" s="2020">
        <f t="shared" si="105"/>
        <v>8.3999999999999995E-3</v>
      </c>
      <c r="AC42" s="2895"/>
      <c r="AD42" s="2020">
        <f t="shared" si="105"/>
        <v>3.5000000000000001E-3</v>
      </c>
    </row>
    <row r="43" spans="1:30" s="2037" customFormat="1" ht="12.75">
      <c r="A43" s="2896" t="s">
        <v>2833</v>
      </c>
      <c r="B43" s="2023">
        <v>2021</v>
      </c>
      <c r="C43" s="2034">
        <v>4</v>
      </c>
      <c r="D43" s="1999"/>
      <c r="E43" s="1999">
        <v>0.57999999999999996</v>
      </c>
      <c r="F43" s="1999">
        <v>0.08</v>
      </c>
      <c r="G43" s="1999">
        <v>0.68</v>
      </c>
      <c r="H43" s="2908"/>
      <c r="I43" s="2000">
        <f t="shared" si="88"/>
        <v>0.08</v>
      </c>
      <c r="J43" s="2897"/>
      <c r="K43" s="2035"/>
      <c r="L43" s="2020">
        <f t="shared" si="89"/>
        <v>5.7999999999999996E-3</v>
      </c>
      <c r="M43" s="2020">
        <f t="shared" si="89"/>
        <v>8.0000000000000004E-4</v>
      </c>
      <c r="N43" s="2020">
        <f t="shared" si="89"/>
        <v>6.8000000000000005E-3</v>
      </c>
      <c r="O43" s="2020"/>
      <c r="P43" s="2020">
        <f t="shared" si="103"/>
        <v>8.0000000000000004E-4</v>
      </c>
      <c r="Q43" s="2897"/>
      <c r="R43" s="2019"/>
      <c r="S43" s="2019">
        <f>ROUND(IF(项目基本情况!$B$8="出让",SUMPRODUCT(PRODUCT(1+L43:L$46)),SUMPRODUCT(PRODUCT(1+L43:L$45))),4)</f>
        <v>1.0161</v>
      </c>
      <c r="T43" s="2019">
        <f>ROUND(IF(项目基本情况!$B$8="出让",SUMPRODUCT(PRODUCT(1+M43:M$46)),SUMPRODUCT(PRODUCT(1+M43:M$45))),4)</f>
        <v>1.0082</v>
      </c>
      <c r="U43" s="2019">
        <f>ROUND(IF(项目基本情况!$B$8="出让",SUMPRODUCT(PRODUCT(1+N43:N$46)),SUMPRODUCT(PRODUCT(1+N43:N$45))),4)</f>
        <v>1.0270999999999999</v>
      </c>
      <c r="V43" s="2019"/>
      <c r="W43" s="2019">
        <f t="shared" si="104"/>
        <v>1.0082</v>
      </c>
      <c r="X43" s="2897"/>
      <c r="Y43" s="2020"/>
      <c r="Z43" s="2893">
        <f t="shared" si="105"/>
        <v>4.8999999999999998E-3</v>
      </c>
      <c r="AA43" s="2894">
        <f t="shared" si="105"/>
        <v>3.3E-3</v>
      </c>
      <c r="AB43" s="2020">
        <f t="shared" si="105"/>
        <v>9.1999999999999998E-3</v>
      </c>
      <c r="AC43" s="2895"/>
      <c r="AD43" s="2020">
        <f t="shared" si="105"/>
        <v>3.3E-3</v>
      </c>
    </row>
    <row r="44" spans="1:30" s="2037" customFormat="1" ht="12.75">
      <c r="A44" s="2896" t="s">
        <v>2834</v>
      </c>
      <c r="B44" s="2023">
        <v>2021</v>
      </c>
      <c r="C44" s="2034">
        <v>3</v>
      </c>
      <c r="D44" s="1999"/>
      <c r="E44" s="1999">
        <v>0.47</v>
      </c>
      <c r="F44" s="1999">
        <v>0.28000000000000003</v>
      </c>
      <c r="G44" s="1999">
        <v>0.91</v>
      </c>
      <c r="H44" s="2908"/>
      <c r="I44" s="2000">
        <f t="shared" si="88"/>
        <v>0.28000000000000003</v>
      </c>
      <c r="J44" s="2897"/>
      <c r="K44" s="2035"/>
      <c r="L44" s="2020">
        <f t="shared" si="89"/>
        <v>4.6999999999999993E-3</v>
      </c>
      <c r="M44" s="2020">
        <f t="shared" si="89"/>
        <v>2.8000000000000004E-3</v>
      </c>
      <c r="N44" s="2020">
        <f t="shared" si="89"/>
        <v>9.1000000000000004E-3</v>
      </c>
      <c r="O44" s="2020"/>
      <c r="P44" s="2020">
        <f t="shared" si="103"/>
        <v>2.8000000000000004E-3</v>
      </c>
      <c r="Q44" s="2897"/>
      <c r="R44" s="2019"/>
      <c r="S44" s="2019">
        <f>ROUND(IF(项目基本情况!$B$8="出让",SUMPRODUCT(PRODUCT(1+L44:L$46)),SUMPRODUCT(PRODUCT(1+L44:L$45))),4)</f>
        <v>1.0102</v>
      </c>
      <c r="T44" s="2019">
        <f>ROUND(IF(项目基本情况!$B$8="出让",SUMPRODUCT(PRODUCT(1+M44:M$46)),SUMPRODUCT(PRODUCT(1+M44:M$45))),4)</f>
        <v>1.0074000000000001</v>
      </c>
      <c r="U44" s="2019">
        <f>ROUND(IF(项目基本情况!$B$8="出让",SUMPRODUCT(PRODUCT(1+N44:N$46)),SUMPRODUCT(PRODUCT(1+N44:N$45))),4)</f>
        <v>1.0202</v>
      </c>
      <c r="V44" s="2019"/>
      <c r="W44" s="2019">
        <f t="shared" si="104"/>
        <v>1.0074000000000001</v>
      </c>
      <c r="X44" s="2897"/>
      <c r="Y44" s="2020"/>
      <c r="Z44" s="2893">
        <f t="shared" si="105"/>
        <v>4.5999999999999999E-3</v>
      </c>
      <c r="AA44" s="2894">
        <f t="shared" si="105"/>
        <v>4.1000000000000003E-3</v>
      </c>
      <c r="AB44" s="2020">
        <f t="shared" si="105"/>
        <v>0.01</v>
      </c>
      <c r="AC44" s="2895"/>
      <c r="AD44" s="2020">
        <f t="shared" si="105"/>
        <v>4.1000000000000003E-3</v>
      </c>
    </row>
    <row r="45" spans="1:30" s="2037" customFormat="1" ht="12.75">
      <c r="A45" s="2896" t="s">
        <v>2835</v>
      </c>
      <c r="B45" s="2023">
        <v>2021</v>
      </c>
      <c r="C45" s="2034">
        <v>2</v>
      </c>
      <c r="D45" s="1999"/>
      <c r="E45" s="1999">
        <v>0.55000000000000004</v>
      </c>
      <c r="F45" s="1999">
        <v>0.46</v>
      </c>
      <c r="G45" s="1999">
        <v>1.1000000000000001</v>
      </c>
      <c r="H45" s="2908"/>
      <c r="I45" s="2000">
        <f t="shared" si="88"/>
        <v>0.46</v>
      </c>
      <c r="J45" s="2897"/>
      <c r="K45" s="2035"/>
      <c r="L45" s="2020">
        <f t="shared" si="89"/>
        <v>5.5000000000000005E-3</v>
      </c>
      <c r="M45" s="2020">
        <f t="shared" si="89"/>
        <v>4.5999999999999999E-3</v>
      </c>
      <c r="N45" s="2020">
        <f t="shared" si="89"/>
        <v>1.1000000000000001E-2</v>
      </c>
      <c r="O45" s="2020"/>
      <c r="P45" s="2020">
        <f t="shared" si="103"/>
        <v>4.5999999999999999E-3</v>
      </c>
      <c r="Q45" s="2897"/>
      <c r="R45" s="2019"/>
      <c r="S45" s="2019">
        <f>ROUND(IF(项目基本情况!$B$8="出让",SUMPRODUCT(PRODUCT(1+L45:L$46)),SUMPRODUCT(PRODUCT(1+L45:L$45))),4)</f>
        <v>1.0055000000000001</v>
      </c>
      <c r="T45" s="2019">
        <f>ROUND(IF(项目基本情况!$B$8="出让",SUMPRODUCT(PRODUCT(1+M45:M$46)),SUMPRODUCT(PRODUCT(1+M45:M$45))),4)</f>
        <v>1.0045999999999999</v>
      </c>
      <c r="U45" s="2019">
        <f>ROUND(IF(项目基本情况!$B$8="出让",SUMPRODUCT(PRODUCT(1+N45:N$46)),SUMPRODUCT(PRODUCT(1+N45:N$45))),4)</f>
        <v>1.0109999999999999</v>
      </c>
      <c r="V45" s="2019"/>
      <c r="W45" s="2019">
        <f t="shared" si="104"/>
        <v>1.0045999999999999</v>
      </c>
      <c r="X45" s="2897"/>
      <c r="Y45" s="2020"/>
      <c r="Z45" s="2893">
        <f t="shared" si="105"/>
        <v>4.4999999999999997E-3</v>
      </c>
      <c r="AA45" s="2894">
        <f t="shared" si="105"/>
        <v>4.7000000000000002E-3</v>
      </c>
      <c r="AB45" s="2020">
        <f t="shared" si="105"/>
        <v>1.04E-2</v>
      </c>
      <c r="AC45" s="2895"/>
      <c r="AD45" s="2020">
        <f t="shared" si="105"/>
        <v>4.7000000000000002E-3</v>
      </c>
    </row>
    <row r="46" spans="1:30" s="2919" customFormat="1" thickBot="1">
      <c r="A46" s="2909" t="s">
        <v>2821</v>
      </c>
      <c r="B46" s="2910">
        <v>2021</v>
      </c>
      <c r="C46" s="2911">
        <v>1</v>
      </c>
      <c r="D46" s="2912"/>
      <c r="E46" s="2912">
        <v>0.35</v>
      </c>
      <c r="F46" s="2912">
        <v>0.48</v>
      </c>
      <c r="G46" s="2912">
        <v>0.98</v>
      </c>
      <c r="H46" s="2913"/>
      <c r="I46" s="2914">
        <f t="shared" si="88"/>
        <v>0.48</v>
      </c>
      <c r="J46" s="2915"/>
      <c r="K46" s="2916"/>
      <c r="L46" s="2917">
        <f t="shared" si="89"/>
        <v>3.4999999999999996E-3</v>
      </c>
      <c r="M46" s="2917">
        <f>F46/100</f>
        <v>4.7999999999999996E-3</v>
      </c>
      <c r="N46" s="2917">
        <f t="shared" si="89"/>
        <v>9.7999999999999997E-3</v>
      </c>
      <c r="O46" s="2917"/>
      <c r="P46" s="2917">
        <f t="shared" si="103"/>
        <v>4.7999999999999996E-3</v>
      </c>
      <c r="Q46" s="2915"/>
      <c r="R46" s="2918"/>
      <c r="S46" s="2918">
        <v>1</v>
      </c>
      <c r="T46" s="2918">
        <v>1</v>
      </c>
      <c r="U46" s="2918">
        <v>1</v>
      </c>
      <c r="V46" s="2918"/>
      <c r="W46" s="2918">
        <f t="shared" si="104"/>
        <v>1</v>
      </c>
      <c r="X46" s="2915"/>
      <c r="Y46" s="2917"/>
      <c r="Z46" s="2925">
        <f t="shared" si="105"/>
        <v>3.5000000000000001E-3</v>
      </c>
      <c r="AA46" s="2926">
        <f t="shared" si="105"/>
        <v>4.7999999999999996E-3</v>
      </c>
      <c r="AB46" s="2917">
        <f t="shared" si="105"/>
        <v>9.7999999999999997E-3</v>
      </c>
      <c r="AC46" s="2927"/>
      <c r="AD46" s="2917">
        <f t="shared" si="105"/>
        <v>4.7999999999999996E-3</v>
      </c>
    </row>
    <row r="47" spans="1:30" ht="14.25" thickTop="1"/>
    <row r="48" spans="1:30">
      <c r="A48" s="313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3360</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3357</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3358</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3359</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2433</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2310</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2309</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2308</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2305</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2304</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03">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03"/>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03"/>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10"/>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506">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03"/>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03"/>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10"/>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06">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03"/>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03"/>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04"/>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502">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03"/>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03"/>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04"/>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502">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03"/>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03"/>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04"/>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507">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08"/>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08"/>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09"/>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502">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03"/>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03"/>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504"/>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502">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03">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03">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04">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502">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03">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03">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04">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502">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03">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03">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04">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502">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03">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03">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04">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502">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03">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03">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04">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502">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03">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03">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04">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502">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03">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03">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04">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502">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03">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03">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04">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502">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03">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03">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504">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502">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03">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03">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504">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45595</v>
      </c>
      <c r="D1" s="1211" t="s">
        <v>603</v>
      </c>
      <c r="E1" s="1206">
        <f>'数据-取费表'!B22</f>
        <v>2.5</v>
      </c>
      <c r="F1" s="1211" t="s">
        <v>604</v>
      </c>
      <c r="G1" s="1207">
        <f ca="1">INDIRECT("d"&amp;$K$1)/100</f>
        <v>3.1E-2</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3.1</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3.1</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3.1</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3.1</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3.6</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6">
        <v>45586</v>
      </c>
      <c r="D13" s="1195">
        <v>3.1</v>
      </c>
      <c r="E13" s="1195">
        <f>D13</f>
        <v>3.1</v>
      </c>
      <c r="F13" s="1195">
        <f>D13</f>
        <v>3.1</v>
      </c>
      <c r="G13" s="1195">
        <f>D13</f>
        <v>3.1</v>
      </c>
      <c r="H13" s="1195">
        <v>3.6</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45495</v>
      </c>
      <c r="D14" s="1199">
        <v>3.35</v>
      </c>
      <c r="E14" s="1199">
        <f>D14</f>
        <v>3.35</v>
      </c>
      <c r="F14" s="1199">
        <f>D14</f>
        <v>3.35</v>
      </c>
      <c r="G14" s="1199">
        <f>D14</f>
        <v>3.35</v>
      </c>
      <c r="H14" s="1199">
        <v>3.85</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45342</v>
      </c>
      <c r="D15" s="1199">
        <v>3.45</v>
      </c>
      <c r="E15" s="1199">
        <f>D15</f>
        <v>3.45</v>
      </c>
      <c r="F15" s="1199">
        <f>D15</f>
        <v>3.45</v>
      </c>
      <c r="G15" s="1199">
        <f>D15</f>
        <v>3.45</v>
      </c>
      <c r="H15" s="1199">
        <v>3.95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45159</v>
      </c>
      <c r="D16" s="1199">
        <v>3.45</v>
      </c>
      <c r="E16" s="1199">
        <f>D16</f>
        <v>3.45</v>
      </c>
      <c r="F16" s="1199">
        <f>D16</f>
        <v>3.45</v>
      </c>
      <c r="G16" s="1199">
        <f>D16</f>
        <v>3.45</v>
      </c>
      <c r="H16" s="1199">
        <v>4.2</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45097</v>
      </c>
      <c r="D17" s="1199">
        <v>3.55</v>
      </c>
      <c r="E17" s="1199">
        <f>D17</f>
        <v>3.55</v>
      </c>
      <c r="F17" s="1199">
        <f>D17</f>
        <v>3.55</v>
      </c>
      <c r="G17" s="1199">
        <f>D17</f>
        <v>3.55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44795</v>
      </c>
      <c r="D18" s="1199">
        <v>3.65</v>
      </c>
      <c r="E18" s="1199">
        <v>3.65</v>
      </c>
      <c r="F18" s="1199">
        <v>3.65</v>
      </c>
      <c r="G18" s="1199">
        <v>3.65</v>
      </c>
      <c r="H18" s="1199">
        <v>4.3</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44701</v>
      </c>
      <c r="D19" s="1199">
        <v>3.7</v>
      </c>
      <c r="E19" s="1199">
        <f>D19</f>
        <v>3.7</v>
      </c>
      <c r="F19" s="1199">
        <f>D19</f>
        <v>3.7</v>
      </c>
      <c r="G19" s="1199">
        <f>D19</f>
        <v>3.7</v>
      </c>
      <c r="H19" s="1199">
        <v>4.45</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44581</v>
      </c>
      <c r="D20" s="1199">
        <v>3.7</v>
      </c>
      <c r="E20" s="1199">
        <f>D20</f>
        <v>3.7</v>
      </c>
      <c r="F20" s="1199">
        <f>D20</f>
        <v>3.7</v>
      </c>
      <c r="G20" s="1199">
        <f>D20</f>
        <v>3.7</v>
      </c>
      <c r="H20" s="1199">
        <v>4.5999999999999996</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9"/>
      <c r="C21" s="1200">
        <v>44550</v>
      </c>
      <c r="D21" s="1199">
        <v>3.8</v>
      </c>
      <c r="E21" s="1199">
        <f>D21</f>
        <v>3.8</v>
      </c>
      <c r="F21" s="1199">
        <f>D21</f>
        <v>3.8</v>
      </c>
      <c r="G21" s="1199">
        <f>D21</f>
        <v>3.8</v>
      </c>
      <c r="H21" s="1199">
        <v>4.6500000000000004</v>
      </c>
      <c r="I21" s="1199"/>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43941</v>
      </c>
      <c r="D22" s="1199">
        <v>3.85</v>
      </c>
      <c r="E22" s="1199">
        <v>3.85</v>
      </c>
      <c r="F22" s="1199">
        <v>3.85</v>
      </c>
      <c r="G22" s="1199">
        <v>3.85</v>
      </c>
      <c r="H22" s="1199">
        <v>4.6500000000000004</v>
      </c>
      <c r="I22" s="1199"/>
      <c r="J22" s="1199"/>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7"/>
      <c r="B23" s="1199"/>
      <c r="C23" s="1200">
        <v>43881</v>
      </c>
      <c r="D23" s="1199">
        <v>4.05</v>
      </c>
      <c r="E23" s="1199">
        <v>4.05</v>
      </c>
      <c r="F23" s="1199">
        <v>4.05</v>
      </c>
      <c r="G23" s="1199">
        <v>4.05</v>
      </c>
      <c r="H23" s="1199">
        <v>4.75</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43789</v>
      </c>
      <c r="D24" s="1199">
        <v>4.1500000000000004</v>
      </c>
      <c r="E24" s="1199">
        <v>4.1500000000000004</v>
      </c>
      <c r="F24" s="1199">
        <v>4.1500000000000004</v>
      </c>
      <c r="G24" s="1199">
        <v>4.1500000000000004</v>
      </c>
      <c r="H24" s="1199">
        <v>4.8</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43728</v>
      </c>
      <c r="D25" s="1199">
        <v>4.2</v>
      </c>
      <c r="E25" s="1199">
        <v>4.2</v>
      </c>
      <c r="F25" s="1199">
        <v>4.2</v>
      </c>
      <c r="G25" s="1199">
        <v>4.2</v>
      </c>
      <c r="H25" s="1199">
        <v>4.8499999999999996</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ht="14.25">
      <c r="B26" s="1194" t="s">
        <v>2306</v>
      </c>
      <c r="C26" s="1201">
        <v>43697</v>
      </c>
      <c r="D26" s="2565">
        <v>4.25</v>
      </c>
      <c r="E26" s="2565">
        <v>4.25</v>
      </c>
      <c r="F26" s="2565">
        <v>4.25</v>
      </c>
      <c r="G26" s="2565">
        <v>4.25</v>
      </c>
      <c r="H26" s="2565">
        <v>4.8499999999999996</v>
      </c>
      <c r="I26" s="2565"/>
      <c r="J26" s="2565"/>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2568"/>
      <c r="C27" s="2569">
        <v>42301</v>
      </c>
      <c r="D27" s="2570">
        <v>4.3499999999999996</v>
      </c>
      <c r="E27" s="2570">
        <v>4.3499999999999996</v>
      </c>
      <c r="F27" s="2570">
        <v>4.75</v>
      </c>
      <c r="G27" s="2570">
        <v>4.75</v>
      </c>
      <c r="H27" s="2570">
        <v>4.9000000000000004</v>
      </c>
      <c r="I27" s="2570"/>
      <c r="J27" s="2570"/>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c r="B28" s="1199"/>
      <c r="C28" s="1200">
        <v>42242</v>
      </c>
      <c r="D28" s="1199">
        <v>4.5999999999999996</v>
      </c>
      <c r="E28" s="1199">
        <v>4.5999999999999996</v>
      </c>
      <c r="F28" s="1199">
        <v>5</v>
      </c>
      <c r="G28" s="1199">
        <v>5</v>
      </c>
      <c r="H28" s="1199">
        <v>5.15</v>
      </c>
      <c r="I28" s="1199">
        <v>2.75</v>
      </c>
      <c r="J28" s="1199">
        <v>3.25</v>
      </c>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42183</v>
      </c>
      <c r="D29" s="1199">
        <v>4.8499999999999996</v>
      </c>
      <c r="E29" s="1199">
        <v>4.8499999999999996</v>
      </c>
      <c r="F29" s="1199">
        <v>5.25</v>
      </c>
      <c r="G29" s="1199">
        <v>5.25</v>
      </c>
      <c r="H29" s="1199">
        <v>5.4</v>
      </c>
      <c r="I29" s="1199">
        <v>3</v>
      </c>
      <c r="J29" s="1199">
        <v>3.5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42135</v>
      </c>
      <c r="D30" s="1199">
        <v>5.0999999999999996</v>
      </c>
      <c r="E30" s="1199">
        <v>5.0999999999999996</v>
      </c>
      <c r="F30" s="1199">
        <v>5.5</v>
      </c>
      <c r="G30" s="1199">
        <v>5.5</v>
      </c>
      <c r="H30" s="1199">
        <v>5.65</v>
      </c>
      <c r="I30" s="1199">
        <v>3.25</v>
      </c>
      <c r="J30" s="1199">
        <v>3.75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42064</v>
      </c>
      <c r="D31" s="1199">
        <v>5.35</v>
      </c>
      <c r="E31" s="1199">
        <v>5.35</v>
      </c>
      <c r="F31" s="1199">
        <v>5.75</v>
      </c>
      <c r="G31" s="1199">
        <v>5.75</v>
      </c>
      <c r="H31" s="1199">
        <v>5.9</v>
      </c>
      <c r="I31" s="1199"/>
      <c r="J31" s="1199"/>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41965</v>
      </c>
      <c r="D32" s="1199">
        <v>5.6</v>
      </c>
      <c r="E32" s="1199">
        <v>5.6</v>
      </c>
      <c r="F32" s="1199">
        <v>6</v>
      </c>
      <c r="G32" s="1199">
        <v>6</v>
      </c>
      <c r="H32" s="1199">
        <v>6.15</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41096</v>
      </c>
      <c r="D33" s="1199">
        <v>5.6</v>
      </c>
      <c r="E33" s="1199">
        <v>6</v>
      </c>
      <c r="F33" s="1199">
        <v>6.15</v>
      </c>
      <c r="G33" s="1199">
        <v>6.4</v>
      </c>
      <c r="H33" s="1199">
        <v>6.55</v>
      </c>
      <c r="I33" s="1199">
        <v>4</v>
      </c>
      <c r="J33" s="1199">
        <v>4.5</v>
      </c>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41068</v>
      </c>
      <c r="D34" s="1199">
        <v>5.85</v>
      </c>
      <c r="E34" s="1199">
        <v>6.31</v>
      </c>
      <c r="F34" s="1199">
        <v>6.4</v>
      </c>
      <c r="G34" s="1199">
        <v>6.65</v>
      </c>
      <c r="H34" s="1199">
        <v>6.8</v>
      </c>
      <c r="I34" s="1199">
        <v>4.2</v>
      </c>
      <c r="J34" s="1199">
        <v>4.7</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40731</v>
      </c>
      <c r="D35" s="1199">
        <v>6.1</v>
      </c>
      <c r="E35" s="1199">
        <v>6.56</v>
      </c>
      <c r="F35" s="1199">
        <v>6.65</v>
      </c>
      <c r="G35" s="1199">
        <v>6.9</v>
      </c>
      <c r="H35" s="1199">
        <v>7.05</v>
      </c>
      <c r="I35" s="1199">
        <v>4.45</v>
      </c>
      <c r="J35" s="1199">
        <v>4.9000000000000004</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40639</v>
      </c>
      <c r="D36" s="1199">
        <v>5.85</v>
      </c>
      <c r="E36" s="1199">
        <v>6.31</v>
      </c>
      <c r="F36" s="1199">
        <v>6.4</v>
      </c>
      <c r="G36" s="1199">
        <v>6.65</v>
      </c>
      <c r="H36" s="1199">
        <v>6.8</v>
      </c>
      <c r="I36" s="1199">
        <v>4.2</v>
      </c>
      <c r="J36" s="1199">
        <v>4.7</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40583</v>
      </c>
      <c r="D37" s="1199">
        <v>5.6</v>
      </c>
      <c r="E37" s="1199">
        <v>6.06</v>
      </c>
      <c r="F37" s="1199">
        <v>6.1</v>
      </c>
      <c r="G37" s="1199">
        <v>6.45</v>
      </c>
      <c r="H37" s="1199">
        <v>6.6</v>
      </c>
      <c r="I37" s="1199">
        <v>4</v>
      </c>
      <c r="J37" s="1199">
        <v>4.5</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40538</v>
      </c>
      <c r="D38" s="1199">
        <v>5.35</v>
      </c>
      <c r="E38" s="1199">
        <v>5.81</v>
      </c>
      <c r="F38" s="1199">
        <v>5.85</v>
      </c>
      <c r="G38" s="1199">
        <v>6.22</v>
      </c>
      <c r="H38" s="1199">
        <v>6.4</v>
      </c>
      <c r="I38" s="1199">
        <v>3.75</v>
      </c>
      <c r="J38" s="1199">
        <v>4.3</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40471</v>
      </c>
      <c r="D39" s="1199">
        <v>5.0999999999999996</v>
      </c>
      <c r="E39" s="1199">
        <v>5.56</v>
      </c>
      <c r="F39" s="1199">
        <v>5.6</v>
      </c>
      <c r="G39" s="1199">
        <v>5.96</v>
      </c>
      <c r="H39" s="1199">
        <v>6.14</v>
      </c>
      <c r="I39" s="1199">
        <v>3.5</v>
      </c>
      <c r="J39" s="1199">
        <v>4.05</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39805</v>
      </c>
      <c r="D40" s="1199">
        <v>4.8600000000000003</v>
      </c>
      <c r="E40" s="1199">
        <v>5.31</v>
      </c>
      <c r="F40" s="1199">
        <v>5.4</v>
      </c>
      <c r="G40" s="1199">
        <v>5.76</v>
      </c>
      <c r="H40" s="1199">
        <v>5.94</v>
      </c>
      <c r="I40" s="1199">
        <v>3.33</v>
      </c>
      <c r="J40" s="1199">
        <v>3.87</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39779</v>
      </c>
      <c r="D41" s="1199">
        <v>5.04</v>
      </c>
      <c r="E41" s="1199">
        <v>5.58</v>
      </c>
      <c r="F41" s="1199">
        <v>5.67</v>
      </c>
      <c r="G41" s="1199">
        <v>5.94</v>
      </c>
      <c r="H41" s="1199">
        <v>6.12</v>
      </c>
      <c r="I41" s="1199">
        <v>3.51</v>
      </c>
      <c r="J41" s="1199">
        <v>4.05</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39751</v>
      </c>
      <c r="D42" s="1199">
        <v>6.03</v>
      </c>
      <c r="E42" s="1199">
        <v>6.66</v>
      </c>
      <c r="F42" s="1199">
        <v>6.75</v>
      </c>
      <c r="G42" s="1199">
        <v>7.02</v>
      </c>
      <c r="H42" s="1199">
        <v>7.2</v>
      </c>
      <c r="I42" s="1199">
        <v>4.05</v>
      </c>
      <c r="J42" s="1199">
        <v>4.59</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1">
        <v>39748</v>
      </c>
      <c r="D43" s="1199">
        <v>6.12</v>
      </c>
      <c r="E43" s="1199">
        <v>6.93</v>
      </c>
      <c r="F43" s="1199">
        <v>7.02</v>
      </c>
      <c r="G43" s="1199">
        <v>7.29</v>
      </c>
      <c r="H43" s="1199">
        <v>7.47</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0">
        <v>39730</v>
      </c>
      <c r="D44" s="1199">
        <v>6.12</v>
      </c>
      <c r="E44" s="1199">
        <v>6.93</v>
      </c>
      <c r="F44" s="1199">
        <v>7.02</v>
      </c>
      <c r="G44" s="1199">
        <v>7.29</v>
      </c>
      <c r="H44" s="1199">
        <v>7.47</v>
      </c>
      <c r="I44" s="1199">
        <v>4.32</v>
      </c>
      <c r="J44" s="1199">
        <v>4.8600000000000003</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39707</v>
      </c>
      <c r="D45" s="1199">
        <v>6.21</v>
      </c>
      <c r="E45" s="1199">
        <v>7.2</v>
      </c>
      <c r="F45" s="1199">
        <v>7.29</v>
      </c>
      <c r="G45" s="1199">
        <v>7.56</v>
      </c>
      <c r="H45" s="1199">
        <v>7.74</v>
      </c>
      <c r="I45" s="1199">
        <v>4.59</v>
      </c>
      <c r="J45" s="1199">
        <v>5.13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39437</v>
      </c>
      <c r="D46" s="1199">
        <v>6.57</v>
      </c>
      <c r="E46" s="1199">
        <v>7.47</v>
      </c>
      <c r="F46" s="1199">
        <v>7.56</v>
      </c>
      <c r="G46" s="1199">
        <v>7.74</v>
      </c>
      <c r="H46" s="1199">
        <v>7.83</v>
      </c>
      <c r="I46" s="1199">
        <v>4.7699999999999996</v>
      </c>
      <c r="J46" s="1199">
        <v>5.22</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39340</v>
      </c>
      <c r="D47" s="1199">
        <v>6.48</v>
      </c>
      <c r="E47" s="1199">
        <v>7.29</v>
      </c>
      <c r="F47" s="1199">
        <v>7.47</v>
      </c>
      <c r="G47" s="1199">
        <v>7.65</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39316</v>
      </c>
      <c r="D48" s="1199">
        <v>6.21</v>
      </c>
      <c r="E48" s="1199">
        <v>7.02</v>
      </c>
      <c r="F48" s="1199">
        <v>7.2</v>
      </c>
      <c r="G48" s="1199">
        <v>7.38</v>
      </c>
      <c r="H48" s="1199">
        <v>7.56</v>
      </c>
      <c r="I48" s="1199">
        <v>4.59</v>
      </c>
      <c r="J48" s="1199">
        <v>5.04</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39284</v>
      </c>
      <c r="D49" s="1199">
        <v>6.03</v>
      </c>
      <c r="E49" s="1199">
        <v>6.84</v>
      </c>
      <c r="F49" s="1199">
        <v>7.02</v>
      </c>
      <c r="G49" s="1199">
        <v>7.2</v>
      </c>
      <c r="H49" s="1199">
        <v>7.38</v>
      </c>
      <c r="I49" s="1199">
        <v>4.5</v>
      </c>
      <c r="J49" s="1199">
        <v>4.95</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39221</v>
      </c>
      <c r="D50" s="1199">
        <v>5.85</v>
      </c>
      <c r="E50" s="1199">
        <v>6.57</v>
      </c>
      <c r="F50" s="1199">
        <v>6.75</v>
      </c>
      <c r="G50" s="1199">
        <v>6.93</v>
      </c>
      <c r="H50" s="1199">
        <v>7.2</v>
      </c>
      <c r="I50" s="1199">
        <v>4.41</v>
      </c>
      <c r="J50" s="1199">
        <v>4.8600000000000003</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39159</v>
      </c>
      <c r="D51" s="1199">
        <v>5.67</v>
      </c>
      <c r="E51" s="1199">
        <v>6.39</v>
      </c>
      <c r="F51" s="1199">
        <v>6.57</v>
      </c>
      <c r="G51" s="1199">
        <v>6.75</v>
      </c>
      <c r="H51" s="1199">
        <v>7.11</v>
      </c>
      <c r="I51" s="1199">
        <v>4.32</v>
      </c>
      <c r="J51" s="1199">
        <v>4.7699999999999996</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38948</v>
      </c>
      <c r="D52" s="1199">
        <v>5.58</v>
      </c>
      <c r="E52" s="1199">
        <v>6.12</v>
      </c>
      <c r="F52" s="1199">
        <v>6.3</v>
      </c>
      <c r="G52" s="1199">
        <v>6.48</v>
      </c>
      <c r="H52" s="1199">
        <v>6.84</v>
      </c>
      <c r="I52" s="1199">
        <v>4.1399999999999997</v>
      </c>
      <c r="J52" s="1199">
        <v>4.59</v>
      </c>
      <c r="L52" s="1199"/>
      <c r="M52" s="1200"/>
      <c r="N52" s="1199"/>
      <c r="O52" s="1199"/>
      <c r="P52" s="1199"/>
      <c r="Q52" s="1199"/>
      <c r="R52" s="1199"/>
      <c r="S52" s="1199"/>
      <c r="T52" s="1199"/>
      <c r="U52" s="1199"/>
      <c r="V52" s="1199"/>
      <c r="W52" s="1199"/>
      <c r="X52" s="1199"/>
      <c r="Y52" s="1199"/>
      <c r="Z52" s="1199"/>
    </row>
    <row r="53" spans="2:26">
      <c r="B53" s="1199"/>
      <c r="C53" s="1200">
        <v>38835</v>
      </c>
      <c r="D53" s="1199">
        <v>5.4</v>
      </c>
      <c r="E53" s="1199">
        <v>5.85</v>
      </c>
      <c r="F53" s="1199">
        <v>6.03</v>
      </c>
      <c r="G53" s="1199">
        <v>6.12</v>
      </c>
      <c r="H53" s="1199">
        <v>6.39</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38428</v>
      </c>
      <c r="D54" s="1199">
        <v>5.22</v>
      </c>
      <c r="E54" s="1199">
        <v>5.58</v>
      </c>
      <c r="F54" s="1199">
        <v>5.76</v>
      </c>
      <c r="G54" s="1199">
        <v>5.85</v>
      </c>
      <c r="H54" s="1199">
        <v>6.12</v>
      </c>
      <c r="I54" s="1199">
        <v>3.96</v>
      </c>
      <c r="J54" s="1199">
        <v>4.41</v>
      </c>
      <c r="L54" s="1199"/>
      <c r="M54" s="1200"/>
      <c r="N54" s="1199"/>
      <c r="O54" s="1199"/>
      <c r="P54" s="1199"/>
      <c r="Q54" s="1199"/>
      <c r="R54" s="1199"/>
      <c r="S54" s="1199"/>
      <c r="T54" s="1199"/>
      <c r="U54" s="1199"/>
      <c r="V54" s="1199"/>
      <c r="W54" s="1199"/>
      <c r="X54" s="1199"/>
      <c r="Y54" s="1199"/>
      <c r="Z54" s="1199"/>
    </row>
    <row r="55" spans="2:26">
      <c r="B55" s="1199"/>
      <c r="C55" s="1200">
        <v>38289</v>
      </c>
      <c r="D55" s="1199">
        <v>5.22</v>
      </c>
      <c r="E55" s="1199">
        <v>5.58</v>
      </c>
      <c r="F55" s="1199">
        <v>5.76</v>
      </c>
      <c r="G55" s="1199">
        <v>5.85</v>
      </c>
      <c r="H55" s="1199">
        <v>6.12</v>
      </c>
      <c r="I55" s="1199">
        <v>3.78</v>
      </c>
      <c r="J55" s="1199">
        <v>4.2300000000000004</v>
      </c>
      <c r="L55" s="1199"/>
      <c r="M55" s="1200"/>
      <c r="N55" s="1199"/>
      <c r="O55" s="1199"/>
      <c r="P55" s="1199"/>
      <c r="Q55" s="1199"/>
      <c r="R55" s="1199"/>
      <c r="S55" s="1199"/>
      <c r="T55" s="1199"/>
      <c r="U55" s="1199"/>
      <c r="V55" s="1199"/>
      <c r="W55" s="1199"/>
      <c r="X55" s="1199"/>
      <c r="Y55" s="1199"/>
      <c r="Z55" s="1199"/>
    </row>
    <row r="56" spans="2:26">
      <c r="B56" s="1199"/>
      <c r="C56" s="1200">
        <v>37308</v>
      </c>
      <c r="D56" s="1199">
        <v>5.04</v>
      </c>
      <c r="E56" s="1199">
        <v>5.31</v>
      </c>
      <c r="F56" s="1199">
        <v>5.49</v>
      </c>
      <c r="G56" s="1199">
        <v>5.58</v>
      </c>
      <c r="H56" s="1199">
        <v>5.76</v>
      </c>
      <c r="I56" s="1199">
        <v>3.6</v>
      </c>
      <c r="J56" s="1199">
        <v>4.05</v>
      </c>
      <c r="L56" s="1199"/>
      <c r="M56" s="1200"/>
      <c r="N56" s="1199"/>
      <c r="O56" s="1199"/>
      <c r="P56" s="1199"/>
      <c r="Q56" s="1199"/>
      <c r="R56" s="1199"/>
      <c r="S56" s="1199"/>
      <c r="T56" s="1199"/>
      <c r="U56" s="1199"/>
      <c r="V56" s="1199"/>
      <c r="W56" s="1199"/>
      <c r="X56" s="1199"/>
      <c r="Y56" s="1199"/>
      <c r="Z56" s="1199"/>
    </row>
    <row r="57" spans="2:26">
      <c r="B57" s="1199"/>
      <c r="C57" s="1200">
        <v>36321</v>
      </c>
      <c r="D57" s="1199">
        <v>5.58</v>
      </c>
      <c r="E57" s="1199">
        <v>5.85</v>
      </c>
      <c r="F57" s="1199">
        <v>5.94</v>
      </c>
      <c r="G57" s="1199">
        <v>6.03</v>
      </c>
      <c r="H57" s="1199">
        <v>6.21</v>
      </c>
      <c r="I57" s="1199">
        <v>4.1399999999999997</v>
      </c>
      <c r="J57" s="1199">
        <v>4.59</v>
      </c>
      <c r="L57" s="1199"/>
      <c r="M57" s="1200"/>
      <c r="N57" s="1199"/>
      <c r="O57" s="1199"/>
      <c r="P57" s="1199"/>
      <c r="Q57" s="1199"/>
      <c r="R57" s="1199"/>
      <c r="S57" s="1199"/>
      <c r="T57" s="1199"/>
      <c r="U57" s="1199"/>
      <c r="V57" s="1199"/>
      <c r="W57" s="1199"/>
      <c r="X57" s="1199"/>
      <c r="Y57" s="1199"/>
      <c r="Z57" s="1199"/>
    </row>
    <row r="58" spans="2:26">
      <c r="B58" s="1199"/>
      <c r="C58" s="1200">
        <v>36136</v>
      </c>
      <c r="D58" s="1199">
        <v>6.12</v>
      </c>
      <c r="E58" s="1199">
        <v>6.39</v>
      </c>
      <c r="F58" s="1199">
        <v>6.66</v>
      </c>
      <c r="G58" s="1199">
        <v>7.2</v>
      </c>
      <c r="H58" s="1199">
        <v>7.56</v>
      </c>
      <c r="I58" s="1199">
        <v>0</v>
      </c>
      <c r="J58" s="1199">
        <v>0</v>
      </c>
    </row>
    <row r="59" spans="2:26">
      <c r="B59" s="1199"/>
      <c r="C59" s="1200">
        <v>35977</v>
      </c>
      <c r="D59" s="1199">
        <v>6.57</v>
      </c>
      <c r="E59" s="1199">
        <v>6.93</v>
      </c>
      <c r="F59" s="1199">
        <v>7.11</v>
      </c>
      <c r="G59" s="1199">
        <v>7.65</v>
      </c>
      <c r="H59" s="1199">
        <v>8.01</v>
      </c>
      <c r="I59" s="1199">
        <v>0</v>
      </c>
      <c r="J59" s="1199">
        <v>0</v>
      </c>
    </row>
    <row r="60" spans="2:26">
      <c r="B60" s="1199"/>
      <c r="C60" s="1200">
        <v>35879</v>
      </c>
      <c r="D60" s="1199">
        <v>7.02</v>
      </c>
      <c r="E60" s="1199">
        <v>7.92</v>
      </c>
      <c r="F60" s="1199">
        <v>9</v>
      </c>
      <c r="G60" s="1199">
        <v>9.7200000000000006</v>
      </c>
      <c r="H60" s="1199">
        <v>10.35</v>
      </c>
      <c r="I60" s="1199">
        <v>0</v>
      </c>
      <c r="J60" s="1199">
        <v>0</v>
      </c>
    </row>
    <row r="61" spans="2:26">
      <c r="B61" s="1199"/>
      <c r="C61" s="1200">
        <v>35726</v>
      </c>
      <c r="D61" s="1199">
        <v>7.65</v>
      </c>
      <c r="E61" s="1199">
        <v>8.64</v>
      </c>
      <c r="F61" s="1199">
        <v>9.36</v>
      </c>
      <c r="G61" s="1199">
        <v>9.9</v>
      </c>
      <c r="H61" s="1199">
        <v>10.53</v>
      </c>
      <c r="I61" s="1199">
        <v>0</v>
      </c>
      <c r="J61" s="1199">
        <v>0</v>
      </c>
    </row>
    <row r="62" spans="2:26">
      <c r="B62" s="1199"/>
      <c r="C62" s="1200">
        <v>35300</v>
      </c>
      <c r="D62" s="1199">
        <v>9.18</v>
      </c>
      <c r="E62" s="1199">
        <v>10.08</v>
      </c>
      <c r="F62" s="1199">
        <v>10.98</v>
      </c>
      <c r="G62" s="1199">
        <v>11.7</v>
      </c>
      <c r="H62" s="1199">
        <v>12.42</v>
      </c>
      <c r="I62" s="1199">
        <v>0</v>
      </c>
      <c r="J62" s="1199">
        <v>0</v>
      </c>
    </row>
    <row r="63" spans="2:26">
      <c r="B63" s="1199"/>
      <c r="C63" s="1200">
        <v>35186</v>
      </c>
      <c r="D63" s="1199">
        <v>9.7200000000000006</v>
      </c>
      <c r="E63" s="1199">
        <v>10.98</v>
      </c>
      <c r="F63" s="1199">
        <v>13.14</v>
      </c>
      <c r="G63" s="1199">
        <v>14.94</v>
      </c>
      <c r="H63" s="1199">
        <v>15.12</v>
      </c>
      <c r="I63" s="1199">
        <v>0</v>
      </c>
      <c r="J63" s="1199">
        <v>0</v>
      </c>
    </row>
    <row r="64" spans="2:26">
      <c r="B64" s="1199"/>
      <c r="C64" s="1200">
        <v>34881</v>
      </c>
      <c r="D64" s="1199">
        <v>10.08</v>
      </c>
      <c r="E64" s="1199">
        <v>12.06</v>
      </c>
      <c r="F64" s="1199">
        <v>13.5</v>
      </c>
      <c r="G64" s="1199">
        <v>15.12</v>
      </c>
      <c r="H64" s="1199">
        <v>15.3</v>
      </c>
      <c r="I64" s="1199">
        <v>0</v>
      </c>
      <c r="J64" s="1199">
        <v>0</v>
      </c>
    </row>
    <row r="65" spans="2:10">
      <c r="B65" s="1199"/>
      <c r="C65" s="1200">
        <v>34700</v>
      </c>
      <c r="D65" s="1199">
        <v>9</v>
      </c>
      <c r="E65" s="1199">
        <v>10.98</v>
      </c>
      <c r="F65" s="1199">
        <v>12.96</v>
      </c>
      <c r="G65" s="1199">
        <v>14.58</v>
      </c>
      <c r="H65" s="1199">
        <v>14.76</v>
      </c>
      <c r="I65" s="1199">
        <v>0</v>
      </c>
      <c r="J65" s="1199">
        <v>0</v>
      </c>
    </row>
    <row r="66" spans="2:10">
      <c r="B66" s="1199"/>
      <c r="C66" s="1200">
        <v>34161</v>
      </c>
      <c r="D66" s="1199">
        <v>9</v>
      </c>
      <c r="E66" s="1199">
        <v>10.98</v>
      </c>
      <c r="F66" s="1199">
        <v>12.24</v>
      </c>
      <c r="G66" s="1199">
        <v>13.86</v>
      </c>
      <c r="H66" s="1199">
        <v>14.04</v>
      </c>
      <c r="I66" s="1199">
        <v>0</v>
      </c>
      <c r="J66" s="1199">
        <v>0</v>
      </c>
    </row>
    <row r="67" spans="2:10">
      <c r="B67" s="1199"/>
      <c r="C67" s="1200">
        <v>34104</v>
      </c>
      <c r="D67" s="1199">
        <v>8.82</v>
      </c>
      <c r="E67" s="1199">
        <v>9.36</v>
      </c>
      <c r="F67" s="1199">
        <v>10.8</v>
      </c>
      <c r="G67" s="1199">
        <v>12.06</v>
      </c>
      <c r="H67" s="1199">
        <v>12.24</v>
      </c>
      <c r="I67" s="1199">
        <v>0</v>
      </c>
      <c r="J67" s="1199">
        <v>0</v>
      </c>
    </row>
    <row r="68" spans="2:10">
      <c r="B68" s="1199"/>
      <c r="C68" s="1200">
        <v>33349</v>
      </c>
      <c r="D68" s="1199">
        <v>8.1</v>
      </c>
      <c r="E68" s="1199">
        <v>8.64</v>
      </c>
      <c r="F68" s="1199">
        <v>9</v>
      </c>
      <c r="G68" s="1199">
        <v>9.5399999999999991</v>
      </c>
      <c r="H68" s="1199">
        <v>9.7200000000000006</v>
      </c>
      <c r="I68" s="1199">
        <v>0</v>
      </c>
      <c r="J68" s="1199">
        <v>0</v>
      </c>
    </row>
    <row r="69" spans="2:10">
      <c r="B69" s="1199"/>
      <c r="C69" s="1200">
        <v>33318</v>
      </c>
      <c r="D69" s="1199">
        <v>9</v>
      </c>
      <c r="E69" s="1199">
        <v>10.08</v>
      </c>
      <c r="F69" s="1199">
        <v>10.8</v>
      </c>
      <c r="G69" s="1199">
        <v>11.52</v>
      </c>
      <c r="H69" s="1199">
        <v>11.88</v>
      </c>
      <c r="I69" s="1199" t="s">
        <v>633</v>
      </c>
      <c r="J69" s="1199" t="s">
        <v>633</v>
      </c>
    </row>
    <row r="70" spans="2:10">
      <c r="B70" s="1199"/>
      <c r="C70" s="1200">
        <v>33106</v>
      </c>
      <c r="D70" s="1199">
        <v>8.64</v>
      </c>
      <c r="E70" s="1199">
        <v>9.36</v>
      </c>
      <c r="F70" s="1199">
        <v>10.08</v>
      </c>
      <c r="G70" s="1199">
        <v>10.8</v>
      </c>
      <c r="H70" s="1199">
        <v>11.16</v>
      </c>
      <c r="I70" s="1199">
        <v>0</v>
      </c>
      <c r="J70" s="1199">
        <v>0</v>
      </c>
    </row>
    <row r="71" spans="2:10">
      <c r="B71" s="1199"/>
      <c r="C71" s="1200">
        <v>32540</v>
      </c>
      <c r="D71" s="1199">
        <v>11.34</v>
      </c>
      <c r="E71" s="1199">
        <v>11.34</v>
      </c>
      <c r="F71" s="1199">
        <v>12.78</v>
      </c>
      <c r="G71" s="1199">
        <v>14.4</v>
      </c>
      <c r="H71" s="1199">
        <v>19.260000000000002</v>
      </c>
      <c r="I71" s="1199">
        <v>0</v>
      </c>
      <c r="J71" s="1199">
        <v>0</v>
      </c>
    </row>
    <row r="72" spans="2:10">
      <c r="B72" s="1199"/>
      <c r="C72" s="1200"/>
      <c r="D72" s="1199"/>
      <c r="E72" s="1199"/>
      <c r="F72" s="1199"/>
      <c r="G72" s="1199"/>
      <c r="H72" s="1199"/>
      <c r="I72" s="1199"/>
      <c r="J72" s="1199"/>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795" t="s">
        <v>925</v>
      </c>
      <c r="E3" s="795" t="s">
        <v>931</v>
      </c>
      <c r="F3" s="795" t="s">
        <v>925</v>
      </c>
      <c r="G3" s="795" t="s">
        <v>926</v>
      </c>
      <c r="H3" s="795" t="s">
        <v>925</v>
      </c>
      <c r="I3" s="795" t="s">
        <v>926</v>
      </c>
    </row>
    <row r="4" spans="1:9" ht="45">
      <c r="A4" s="1397" t="str">
        <f>项目基本情况!S2</f>
        <v>北京市房山区城关中心区出让国有建设用地使用权及在建建筑物房地产</v>
      </c>
      <c r="B4" s="795">
        <f>项目基本情况!C17</f>
        <v>64756.12</v>
      </c>
      <c r="C4" s="795">
        <f>项目基本情况!C18</f>
        <v>15478.33</v>
      </c>
      <c r="D4" s="795">
        <f ca="1">结果表!D118</f>
        <v>85609</v>
      </c>
      <c r="E4" s="795">
        <f ca="1">结果表!E118</f>
        <v>13220</v>
      </c>
      <c r="F4" s="795">
        <f ca="1">结果表!F118</f>
        <v>22757</v>
      </c>
      <c r="G4" s="795">
        <f ca="1">结果表!G118</f>
        <v>3514</v>
      </c>
      <c r="H4" s="795">
        <f ca="1">结果表!H118</f>
        <v>108366</v>
      </c>
      <c r="I4" s="795">
        <f ca="1">结果表!I118</f>
        <v>16734</v>
      </c>
    </row>
    <row r="5" spans="1:9" ht="30" customHeight="1">
      <c r="A5" s="3188" t="s">
        <v>927</v>
      </c>
      <c r="B5" s="3188"/>
      <c r="C5" s="3188"/>
      <c r="D5" s="3188" t="str">
        <f ca="1">结果表!D119</f>
        <v>捌亿伍仟陆佰零玖万元整</v>
      </c>
      <c r="E5" s="3188"/>
      <c r="F5" s="3188" t="str">
        <f ca="1">结果表!F119</f>
        <v>贰亿贰仟柒佰伍拾柒万元整</v>
      </c>
      <c r="G5" s="3188"/>
      <c r="H5" s="3188" t="str">
        <f ca="1">结果表!H119</f>
        <v>壹拾亿捌仟叁佰陆拾陆万元整</v>
      </c>
      <c r="I5" s="3188"/>
    </row>
    <row r="6" spans="1:9" ht="15.75">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房地产抵押价值</v>
      </c>
      <c r="B8" s="3187"/>
      <c r="C8" s="3187"/>
      <c r="D8" s="3187">
        <f ca="1">结果表!D122</f>
        <v>108366</v>
      </c>
      <c r="E8" s="3187"/>
      <c r="F8" s="3187"/>
      <c r="G8" s="3187"/>
      <c r="H8" s="3187"/>
      <c r="I8" s="3187"/>
    </row>
    <row r="9" spans="1:9" ht="15">
      <c r="A9" s="3188" t="s">
        <v>927</v>
      </c>
      <c r="B9" s="3188"/>
      <c r="C9" s="3188"/>
      <c r="D9" s="3188" t="str">
        <f ca="1">结果表!D123</f>
        <v>壹拾亿捌仟叁佰陆拾陆万元整</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398"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0" t="s">
        <v>949</v>
      </c>
      <c r="B1" s="3200"/>
      <c r="C1" s="3200"/>
      <c r="D1" s="3200"/>
    </row>
    <row r="2" spans="1:4" ht="18">
      <c r="A2" s="3201" t="s">
        <v>933</v>
      </c>
      <c r="B2" s="3201"/>
      <c r="C2" s="3201"/>
      <c r="D2" s="3201"/>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201" t="s">
        <v>939</v>
      </c>
      <c r="B6" s="3201"/>
      <c r="C6" s="3201"/>
      <c r="D6" s="3201"/>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09"/>
      <c r="B23" s="458"/>
      <c r="C23" s="458"/>
      <c r="D23" s="458"/>
    </row>
    <row r="24" spans="1:4">
      <c r="A24" s="1409"/>
      <c r="B24" s="458"/>
      <c r="C24" s="458"/>
      <c r="D24" s="458"/>
    </row>
    <row r="25" spans="1:4" ht="18.75">
      <c r="A25" s="1410" t="s">
        <v>946</v>
      </c>
    </row>
    <row r="26" spans="1:4" ht="18">
      <c r="A26" s="1381"/>
    </row>
    <row r="27" spans="1:4" ht="18.75">
      <c r="A27" s="1381" t="s">
        <v>947</v>
      </c>
    </row>
    <row r="30" spans="1:4" ht="18.75">
      <c r="D30" s="1410"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208" t="s">
        <v>956</v>
      </c>
      <c r="B15" s="3203" t="s">
        <v>109</v>
      </c>
      <c r="C15" s="3204"/>
    </row>
    <row r="16" spans="1:7" ht="13.5">
      <c r="A16" s="3209"/>
      <c r="B16" s="3203" t="s">
        <v>42</v>
      </c>
      <c r="C16" s="3204"/>
    </row>
    <row r="17" spans="1:3" ht="13.5">
      <c r="A17" s="3209"/>
      <c r="B17" s="3206" t="s">
        <v>957</v>
      </c>
      <c r="C17" s="1423" t="s">
        <v>956</v>
      </c>
    </row>
    <row r="18" spans="1:3" ht="13.5">
      <c r="A18" s="3209"/>
      <c r="B18" s="3206"/>
      <c r="C18" s="1423" t="s">
        <v>958</v>
      </c>
    </row>
    <row r="19" spans="1:3" ht="13.5">
      <c r="A19" s="3209"/>
      <c r="B19" s="3206"/>
      <c r="C19" s="1423" t="s">
        <v>959</v>
      </c>
    </row>
    <row r="20" spans="1:3" ht="13.5">
      <c r="A20" s="3210"/>
      <c r="B20" s="3205" t="s">
        <v>960</v>
      </c>
      <c r="C20" s="3204"/>
    </row>
    <row r="21" spans="1:3" ht="13.5">
      <c r="A21" s="1424" t="s">
        <v>961</v>
      </c>
      <c r="B21" s="1425"/>
      <c r="C21" s="1426"/>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3" t="s">
        <v>967</v>
      </c>
    </row>
    <row r="26" spans="1:3" ht="13.5">
      <c r="A26" s="3207"/>
      <c r="B26" s="3206"/>
      <c r="C26" s="1423" t="s">
        <v>968</v>
      </c>
    </row>
    <row r="27" spans="1:3" ht="13.5">
      <c r="A27" s="3207"/>
      <c r="B27" s="3206"/>
      <c r="C27" s="1423" t="s">
        <v>969</v>
      </c>
    </row>
    <row r="28" spans="1:3" ht="13.5">
      <c r="A28" s="3207"/>
      <c r="B28" s="3206"/>
      <c r="C28" s="1423" t="s">
        <v>970</v>
      </c>
    </row>
    <row r="29" spans="1:3" ht="13.5">
      <c r="A29" s="3207"/>
      <c r="B29" s="3206"/>
      <c r="C29" s="1423" t="s">
        <v>971</v>
      </c>
    </row>
    <row r="30" spans="1:3" ht="13.5">
      <c r="A30" s="3207"/>
      <c r="B30" s="3206"/>
      <c r="C30" s="1423" t="s">
        <v>972</v>
      </c>
    </row>
    <row r="31" spans="1:3" ht="13.5">
      <c r="A31" s="3207"/>
      <c r="B31" s="3206"/>
      <c r="C31" s="1423" t="s">
        <v>973</v>
      </c>
    </row>
    <row r="32" spans="1:3" ht="13.5">
      <c r="A32" s="3207"/>
      <c r="B32" s="3206"/>
      <c r="C32" s="1423" t="s">
        <v>974</v>
      </c>
    </row>
    <row r="33" spans="1:3" ht="13.5">
      <c r="A33" s="3207"/>
      <c r="B33" s="3206"/>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45600</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f ca="1">IF(C10&lt;B2,"已过期",1120100036)</f>
        <v>1120100036</v>
      </c>
      <c r="C10" s="2159">
        <v>45752</v>
      </c>
      <c r="D10" s="2155" t="str">
        <f t="shared" ca="1" si="0"/>
        <v>崔锴（注册号：1120100036）</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2434</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211" t="s">
        <v>2159</v>
      </c>
      <c r="B17" s="3211"/>
      <c r="C17" s="3211"/>
      <c r="D17" s="3211"/>
      <c r="E17" s="3211"/>
      <c r="F17" s="3211"/>
      <c r="G17" s="3211"/>
      <c r="H17" s="3211"/>
    </row>
    <row r="18" spans="1:8" ht="24" customHeight="1">
      <c r="A18" s="3212" t="s">
        <v>2160</v>
      </c>
      <c r="B18" s="3212"/>
      <c r="C18" s="3212"/>
      <c r="D18" s="2152"/>
      <c r="E18" s="3213" t="s">
        <v>2161</v>
      </c>
      <c r="F18" s="3212"/>
      <c r="G18" s="3212"/>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2435</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收益法车</vt:lpstr>
      <vt:lpstr>收益法机</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收益法机!Print_Area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2024-11-04T01:59:27Z</dcterms:modified>
</cp:coreProperties>
</file>