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1670" yWindow="165" windowWidth="11370" windowHeight="9450" tabRatio="885" firstSheet="7"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住宅 (租金)" sheetId="65" r:id="rId36"/>
    <sheet name="地价" sheetId="59" r:id="rId37"/>
    <sheet name="存贷款利率" sheetId="61" state="hidden" r:id="rId38"/>
    <sheet name="Sheet1" sheetId="63" r:id="rId39"/>
    <sheet name="Sheet2" sheetId="64" r:id="rId40"/>
    <sheet name="Sheet3"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'比较法-住宅 (租金)'!$A$1:$L$49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'比较法-住宅 (租金)'!$B$88:$M$88</definedName>
    <definedName name="住宅朝向">'比较法-住宅'!$B$88:$M$88</definedName>
    <definedName name="住宅房型" localSheetId="35">'比较法-住宅 (租金)'!$B$118:$M$118</definedName>
    <definedName name="住宅房型">'比较法-住宅'!$B$118:$M$118</definedName>
    <definedName name="住宅公共部分装修" localSheetId="35">'比较法-住宅 (租金)'!$B$109:$M$109</definedName>
    <definedName name="住宅公共部分装修">'比较法-住宅'!$B$109:$M$109</definedName>
    <definedName name="住宅基础设施水平" localSheetId="35">'比较法-住宅 (租金)'!$B$116:$M$116</definedName>
    <definedName name="住宅基础设施水平">'比较法-住宅'!$B$116:$M$116</definedName>
    <definedName name="住宅建筑结构" localSheetId="35">'比较法-住宅 (租金)'!$B$105:$M$105</definedName>
    <definedName name="住宅建筑结构">'比较法-住宅'!$B$105:$M$105</definedName>
    <definedName name="住宅建筑类型" localSheetId="35">'比较法-住宅 (租金)'!$B$100:$M$100</definedName>
    <definedName name="住宅建筑类型">'比较法-住宅'!$B$100:$M$100</definedName>
    <definedName name="住宅建筑品质" localSheetId="35">'比较法-住宅 (租金)'!$B$107:$M$107</definedName>
    <definedName name="住宅建筑品质">'比较法-住宅'!$B$107:$M$107</definedName>
    <definedName name="住宅交易情况" localSheetId="35">'比较法-住宅 (租金)'!$A$61:$M$61</definedName>
    <definedName name="住宅交易情况">'比较法-住宅'!$A$61:$M$61</definedName>
    <definedName name="住宅楼层" localSheetId="35">'比较法-住宅 (租金)'!$B$86:$M$86</definedName>
    <definedName name="住宅楼层">'比较法-住宅'!$B$86:$M$86</definedName>
    <definedName name="住宅内部装修" localSheetId="35">'比较法-住宅 (租金)'!$B$122:$M$122</definedName>
    <definedName name="住宅内部装修">'比较法-住宅'!$B$122:$M$122</definedName>
    <definedName name="住宅物业管理" localSheetId="35">'比较法-住宅 (租金)'!$B$114:$M$114</definedName>
    <definedName name="住宅物业管理">'比较法-住宅'!$B$114:$M$114</definedName>
    <definedName name="住宅用途" localSheetId="35">'比较法-住宅 (租金)'!$B$63:$M$63</definedName>
    <definedName name="住宅用途">'比较法-住宅'!$B$63:$M$63</definedName>
    <definedName name="住宅主力户型面积" localSheetId="35">'比较法-住宅 (租金)'!$B$120:$M$120</definedName>
    <definedName name="住宅主力户型面积">'比较法-住宅'!$B$120:$M$120</definedName>
    <definedName name="注册房地产估价师">估价师及机构信息!$A$3:$A$24</definedName>
  </definedNames>
  <calcPr calcId="152511" iterate="1"/>
</workbook>
</file>

<file path=xl/calcChain.xml><?xml version="1.0" encoding="utf-8"?>
<calcChain xmlns="http://schemas.openxmlformats.org/spreadsheetml/2006/main">
  <c r="E8" i="66" l="1"/>
  <c r="E9" i="66"/>
  <c r="D8" i="66"/>
  <c r="D9" i="66"/>
  <c r="D7" i="66"/>
  <c r="C145" i="65" l="1"/>
  <c r="J142" i="65"/>
  <c r="J140" i="65"/>
  <c r="K139" i="65"/>
  <c r="K143" i="65" s="1"/>
  <c r="B130" i="65"/>
  <c r="B128" i="65"/>
  <c r="B126" i="65"/>
  <c r="J44" i="65" s="1"/>
  <c r="AC44" i="65" s="1"/>
  <c r="E125" i="65"/>
  <c r="F125" i="65" s="1"/>
  <c r="G125" i="65" s="1"/>
  <c r="D125" i="65"/>
  <c r="D123" i="65"/>
  <c r="E123" i="65" s="1"/>
  <c r="F123" i="65" s="1"/>
  <c r="G123" i="65" s="1"/>
  <c r="H123" i="65" s="1"/>
  <c r="I123" i="65" s="1"/>
  <c r="J123" i="65" s="1"/>
  <c r="K123" i="65" s="1"/>
  <c r="L123" i="65" s="1"/>
  <c r="M123" i="65" s="1"/>
  <c r="D119" i="65"/>
  <c r="E119" i="65" s="1"/>
  <c r="F119" i="65" s="1"/>
  <c r="G119" i="65" s="1"/>
  <c r="H119" i="65" s="1"/>
  <c r="I119" i="65" s="1"/>
  <c r="J119" i="65" s="1"/>
  <c r="K119" i="65" s="1"/>
  <c r="L119" i="65" s="1"/>
  <c r="M119" i="65" s="1"/>
  <c r="D117" i="65"/>
  <c r="E117" i="65" s="1"/>
  <c r="F117" i="65" s="1"/>
  <c r="G117" i="65" s="1"/>
  <c r="D115" i="65"/>
  <c r="E115" i="65" s="1"/>
  <c r="F115" i="65" s="1"/>
  <c r="G115" i="65" s="1"/>
  <c r="H115" i="65" s="1"/>
  <c r="I115" i="65" s="1"/>
  <c r="J115" i="65" s="1"/>
  <c r="K115" i="65" s="1"/>
  <c r="L115" i="65" s="1"/>
  <c r="M115" i="65" s="1"/>
  <c r="D113" i="65"/>
  <c r="E113" i="65" s="1"/>
  <c r="F113" i="65" s="1"/>
  <c r="G113" i="65" s="1"/>
  <c r="H113" i="65" s="1"/>
  <c r="H111" i="65"/>
  <c r="G111" i="65"/>
  <c r="F111" i="65"/>
  <c r="E111" i="65"/>
  <c r="D111" i="65"/>
  <c r="C111" i="65"/>
  <c r="D110" i="65"/>
  <c r="E110" i="65" s="1"/>
  <c r="F110" i="65" s="1"/>
  <c r="G110" i="65" s="1"/>
  <c r="H110" i="65" s="1"/>
  <c r="I110" i="65" s="1"/>
  <c r="J110" i="65" s="1"/>
  <c r="K110" i="65" s="1"/>
  <c r="L110" i="65" s="1"/>
  <c r="M110" i="65" s="1"/>
  <c r="D108" i="65"/>
  <c r="E108" i="65" s="1"/>
  <c r="F108" i="65" s="1"/>
  <c r="G108" i="65" s="1"/>
  <c r="H108" i="65" s="1"/>
  <c r="I108" i="65" s="1"/>
  <c r="J108" i="65" s="1"/>
  <c r="K108" i="65" s="1"/>
  <c r="L108" i="65" s="1"/>
  <c r="M108" i="65" s="1"/>
  <c r="D106" i="65"/>
  <c r="E106" i="65" s="1"/>
  <c r="F106" i="65" s="1"/>
  <c r="G106" i="65" s="1"/>
  <c r="H106" i="65" s="1"/>
  <c r="I106" i="65" s="1"/>
  <c r="J106" i="65" s="1"/>
  <c r="K106" i="65" s="1"/>
  <c r="L106" i="65" s="1"/>
  <c r="M106" i="65" s="1"/>
  <c r="M102" i="65"/>
  <c r="L102" i="65"/>
  <c r="K102" i="65"/>
  <c r="J102" i="65"/>
  <c r="I102" i="65"/>
  <c r="H102" i="65"/>
  <c r="G102" i="65"/>
  <c r="F102" i="65"/>
  <c r="E102" i="65"/>
  <c r="D102" i="65"/>
  <c r="C102" i="65"/>
  <c r="D101" i="65"/>
  <c r="E101" i="65" s="1"/>
  <c r="F101" i="65" s="1"/>
  <c r="G101" i="65" s="1"/>
  <c r="H101" i="65" s="1"/>
  <c r="I101" i="65" s="1"/>
  <c r="J101" i="65" s="1"/>
  <c r="K101" i="65" s="1"/>
  <c r="L101" i="65" s="1"/>
  <c r="M101" i="65" s="1"/>
  <c r="B98" i="65"/>
  <c r="H31" i="65" s="1"/>
  <c r="AB31" i="65" s="1"/>
  <c r="B96" i="65"/>
  <c r="B94" i="65"/>
  <c r="H29" i="65" s="1"/>
  <c r="AB29" i="65" s="1"/>
  <c r="B92" i="65"/>
  <c r="H28" i="65" s="1"/>
  <c r="AB28" i="65" s="1"/>
  <c r="B90" i="65"/>
  <c r="H27" i="65" s="1"/>
  <c r="AB27" i="65" s="1"/>
  <c r="D89" i="65"/>
  <c r="E89" i="65" s="1"/>
  <c r="F89" i="65" s="1"/>
  <c r="G89" i="65" s="1"/>
  <c r="H89" i="65" s="1"/>
  <c r="I89" i="65" s="1"/>
  <c r="J89" i="65" s="1"/>
  <c r="K89" i="65" s="1"/>
  <c r="L89" i="65" s="1"/>
  <c r="M89" i="65" s="1"/>
  <c r="M87" i="65"/>
  <c r="L87" i="65"/>
  <c r="K87" i="65"/>
  <c r="J87" i="65"/>
  <c r="I87" i="65"/>
  <c r="H87" i="65"/>
  <c r="G87" i="65"/>
  <c r="F87" i="65"/>
  <c r="E87" i="65"/>
  <c r="D87" i="65"/>
  <c r="D85" i="65"/>
  <c r="E85" i="65" s="1"/>
  <c r="F85" i="65" s="1"/>
  <c r="G85" i="65" s="1"/>
  <c r="D83" i="65"/>
  <c r="E83" i="65" s="1"/>
  <c r="F83" i="65" s="1"/>
  <c r="G83" i="65" s="1"/>
  <c r="D81" i="65"/>
  <c r="E81" i="65" s="1"/>
  <c r="F81" i="65" s="1"/>
  <c r="G81" i="65" s="1"/>
  <c r="D79" i="65"/>
  <c r="E79" i="65" s="1"/>
  <c r="F79" i="65" s="1"/>
  <c r="G79" i="65" s="1"/>
  <c r="D77" i="65"/>
  <c r="E77" i="65" s="1"/>
  <c r="F77" i="65" s="1"/>
  <c r="G77" i="65" s="1"/>
  <c r="B74" i="65"/>
  <c r="B72" i="65"/>
  <c r="J13" i="65" s="1"/>
  <c r="AC13" i="65" s="1"/>
  <c r="B70" i="65"/>
  <c r="J12" i="65" s="1"/>
  <c r="AC12" i="65" s="1"/>
  <c r="D69" i="65"/>
  <c r="E69" i="65" s="1"/>
  <c r="F69" i="65" s="1"/>
  <c r="G69" i="65" s="1"/>
  <c r="H69" i="65" s="1"/>
  <c r="I69" i="65" s="1"/>
  <c r="J69" i="65" s="1"/>
  <c r="K69" i="65" s="1"/>
  <c r="L69" i="65" s="1"/>
  <c r="M69" i="65" s="1"/>
  <c r="M67" i="65"/>
  <c r="L67" i="65"/>
  <c r="K67" i="65"/>
  <c r="J67" i="65"/>
  <c r="I67" i="65"/>
  <c r="H67" i="65"/>
  <c r="G67" i="65"/>
  <c r="F67" i="65"/>
  <c r="E67" i="65"/>
  <c r="D67" i="65"/>
  <c r="C67" i="65"/>
  <c r="D66" i="65"/>
  <c r="E66" i="65" s="1"/>
  <c r="F66" i="65" s="1"/>
  <c r="G66" i="65" s="1"/>
  <c r="H66" i="65" s="1"/>
  <c r="I66" i="65" s="1"/>
  <c r="C63" i="65"/>
  <c r="D59" i="65"/>
  <c r="E59" i="65" s="1"/>
  <c r="F59" i="65" s="1"/>
  <c r="G59" i="65" s="1"/>
  <c r="I54" i="65"/>
  <c r="J54" i="65" s="1"/>
  <c r="G54" i="65"/>
  <c r="H54" i="65" s="1"/>
  <c r="E54" i="65"/>
  <c r="F54" i="65" s="1"/>
  <c r="P49" i="65"/>
  <c r="P48" i="65"/>
  <c r="V47" i="65"/>
  <c r="T47" i="65"/>
  <c r="R47" i="65"/>
  <c r="P47" i="65"/>
  <c r="Q46" i="65"/>
  <c r="Z46" i="65" s="1"/>
  <c r="J46" i="65"/>
  <c r="AC46" i="65" s="1"/>
  <c r="H46" i="65"/>
  <c r="AB46" i="65" s="1"/>
  <c r="F46" i="65"/>
  <c r="AA46" i="65" s="1"/>
  <c r="Q45" i="65"/>
  <c r="Z45" i="65" s="1"/>
  <c r="J45" i="65"/>
  <c r="AC45" i="65" s="1"/>
  <c r="H45" i="65"/>
  <c r="AB45" i="65" s="1"/>
  <c r="F45" i="65"/>
  <c r="AA45" i="65" s="1"/>
  <c r="Q44" i="65"/>
  <c r="Z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H34" i="65"/>
  <c r="AB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Q30" i="65"/>
  <c r="Z30" i="65" s="1"/>
  <c r="J30" i="65"/>
  <c r="AC30" i="65" s="1"/>
  <c r="H30" i="65"/>
  <c r="AB30" i="65" s="1"/>
  <c r="F30" i="65"/>
  <c r="AA30" i="65" s="1"/>
  <c r="Q29" i="65"/>
  <c r="Z29" i="65" s="1"/>
  <c r="J29" i="65"/>
  <c r="AC29" i="65" s="1"/>
  <c r="F29" i="65"/>
  <c r="AA29" i="65" s="1"/>
  <c r="Q28" i="65"/>
  <c r="Z28" i="65" s="1"/>
  <c r="J28" i="65"/>
  <c r="AC28" i="65" s="1"/>
  <c r="Q27" i="65"/>
  <c r="Z27" i="65" s="1"/>
  <c r="J27" i="65"/>
  <c r="AC27" i="65" s="1"/>
  <c r="Q26" i="65"/>
  <c r="Z26" i="65" s="1"/>
  <c r="J26" i="65"/>
  <c r="AC26" i="65" s="1"/>
  <c r="H26" i="65"/>
  <c r="AB26" i="65" s="1"/>
  <c r="F26" i="65"/>
  <c r="AA26" i="65" s="1"/>
  <c r="Q25" i="65"/>
  <c r="Z25" i="65" s="1"/>
  <c r="J25" i="65"/>
  <c r="AC25" i="65" s="1"/>
  <c r="H25" i="65"/>
  <c r="AB25" i="65" s="1"/>
  <c r="F25" i="65"/>
  <c r="AA25" i="65" s="1"/>
  <c r="Q23" i="65"/>
  <c r="Z23" i="65" s="1"/>
  <c r="J23" i="65"/>
  <c r="AC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C17" i="65"/>
  <c r="Q15" i="65"/>
  <c r="Z15" i="65" s="1"/>
  <c r="J15" i="65"/>
  <c r="AC15" i="65" s="1"/>
  <c r="C15" i="65"/>
  <c r="Q14" i="65"/>
  <c r="Z14" i="65" s="1"/>
  <c r="J14" i="65"/>
  <c r="AC14" i="65" s="1"/>
  <c r="H14" i="65"/>
  <c r="AB14" i="65" s="1"/>
  <c r="F14" i="65"/>
  <c r="AA14" i="65" s="1"/>
  <c r="Q13" i="65"/>
  <c r="Z13" i="65" s="1"/>
  <c r="H13" i="65"/>
  <c r="AB13" i="65" s="1"/>
  <c r="F13" i="65"/>
  <c r="AA13" i="65" s="1"/>
  <c r="Q12" i="65"/>
  <c r="Z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U8" i="65"/>
  <c r="J8" i="65"/>
  <c r="W8" i="65" s="1"/>
  <c r="H8" i="65"/>
  <c r="AB8" i="65" s="1"/>
  <c r="F8" i="65"/>
  <c r="S8" i="65" s="1"/>
  <c r="D3" i="65"/>
  <c r="C2" i="65"/>
  <c r="F2" i="65" s="1"/>
  <c r="E59" i="21"/>
  <c r="F59" i="21" s="1"/>
  <c r="G59" i="21" s="1"/>
  <c r="D59" i="21"/>
  <c r="E2" i="65"/>
  <c r="K145" i="65" l="1"/>
  <c r="H12" i="65"/>
  <c r="AB12" i="65" s="1"/>
  <c r="F15" i="65"/>
  <c r="AA15" i="65" s="1"/>
  <c r="F23" i="65"/>
  <c r="AA23" i="65" s="1"/>
  <c r="F27" i="65"/>
  <c r="AA27" i="65" s="1"/>
  <c r="F28" i="65"/>
  <c r="AA28" i="65" s="1"/>
  <c r="F31" i="65"/>
  <c r="AA31" i="65" s="1"/>
  <c r="H15" i="65"/>
  <c r="AB15" i="65" s="1"/>
  <c r="F17" i="65"/>
  <c r="AA17" i="65" s="1"/>
  <c r="H23" i="65"/>
  <c r="AB23" i="65" s="1"/>
  <c r="AA8" i="65"/>
  <c r="AC8" i="65"/>
  <c r="S9" i="65"/>
  <c r="W9" i="65"/>
  <c r="U10" i="65"/>
  <c r="S11" i="65"/>
  <c r="W11" i="65"/>
  <c r="U12" i="65"/>
  <c r="S13" i="65"/>
  <c r="W13" i="65"/>
  <c r="U14" i="65"/>
  <c r="U17" i="65"/>
  <c r="U19" i="65"/>
  <c r="U21" i="65"/>
  <c r="U9" i="65"/>
  <c r="S10" i="65"/>
  <c r="W10" i="65"/>
  <c r="U11" i="65"/>
  <c r="S12" i="65"/>
  <c r="W12" i="65"/>
  <c r="U13" i="65"/>
  <c r="S14" i="65"/>
  <c r="W14" i="65"/>
  <c r="S15" i="65"/>
  <c r="W15" i="65"/>
  <c r="S17" i="65"/>
  <c r="W17" i="65"/>
  <c r="S19" i="65"/>
  <c r="W19" i="65"/>
  <c r="S21" i="65"/>
  <c r="W21" i="65"/>
  <c r="S23" i="65"/>
  <c r="W23" i="65"/>
  <c r="U25" i="65"/>
  <c r="S26" i="65"/>
  <c r="W26" i="65"/>
  <c r="U27" i="65"/>
  <c r="S28" i="65"/>
  <c r="W28" i="65"/>
  <c r="U29" i="65"/>
  <c r="S30" i="65"/>
  <c r="W30" i="65"/>
  <c r="U31" i="65"/>
  <c r="S32" i="65"/>
  <c r="W32" i="65"/>
  <c r="U33" i="65"/>
  <c r="S34" i="65"/>
  <c r="W34" i="65"/>
  <c r="U35" i="65"/>
  <c r="S36" i="65"/>
  <c r="W36" i="65"/>
  <c r="S38" i="65"/>
  <c r="W38" i="65"/>
  <c r="U39" i="65"/>
  <c r="S40" i="65"/>
  <c r="W40" i="65"/>
  <c r="U41" i="65"/>
  <c r="S42" i="65"/>
  <c r="W42" i="65"/>
  <c r="U43" i="65"/>
  <c r="S44" i="65"/>
  <c r="W44" i="65"/>
  <c r="U45" i="65"/>
  <c r="U23" i="65"/>
  <c r="S25" i="65"/>
  <c r="W25" i="65"/>
  <c r="U26" i="65"/>
  <c r="S27" i="65"/>
  <c r="W27" i="65"/>
  <c r="U28" i="65"/>
  <c r="S29" i="65"/>
  <c r="W29" i="65"/>
  <c r="U30" i="65"/>
  <c r="W31" i="65"/>
  <c r="U32" i="65"/>
  <c r="S33" i="65"/>
  <c r="W33" i="65"/>
  <c r="U34" i="65"/>
  <c r="S35" i="65"/>
  <c r="W35" i="65"/>
  <c r="U36" i="65"/>
  <c r="U38" i="65"/>
  <c r="S39" i="65"/>
  <c r="W39" i="65"/>
  <c r="U40" i="65"/>
  <c r="S41" i="65"/>
  <c r="W41" i="65"/>
  <c r="U42" i="65"/>
  <c r="S43" i="65"/>
  <c r="W43" i="65"/>
  <c r="U44" i="65"/>
  <c r="S45" i="65"/>
  <c r="W45" i="65"/>
  <c r="S46" i="65"/>
  <c r="W46" i="65"/>
  <c r="K141" i="65"/>
  <c r="U46" i="65"/>
  <c r="K144" i="65"/>
  <c r="E20" i="1"/>
  <c r="C37" i="65" l="1"/>
  <c r="E37" i="65" s="1"/>
  <c r="C37" i="21"/>
  <c r="E37" i="21" s="1"/>
  <c r="G37" i="21" s="1"/>
  <c r="I37" i="21" s="1"/>
  <c r="S31" i="65"/>
  <c r="U15" i="65"/>
  <c r="F37" i="65" l="1"/>
  <c r="G37" i="65"/>
  <c r="AH5" i="59"/>
  <c r="AG5" i="59"/>
  <c r="AE5" i="59"/>
  <c r="AF5" i="59" s="1"/>
  <c r="AD5" i="59"/>
  <c r="Q5" i="59"/>
  <c r="P5" i="59"/>
  <c r="O5" i="59"/>
  <c r="N5" i="59"/>
  <c r="S37" i="65" l="1"/>
  <c r="AA37" i="65"/>
  <c r="I37" i="65"/>
  <c r="J37" i="65" s="1"/>
  <c r="H37" i="65"/>
  <c r="O7" i="59"/>
  <c r="N7" i="59"/>
  <c r="AH6" i="59"/>
  <c r="AG6" i="59"/>
  <c r="AE6" i="59"/>
  <c r="AF6" i="59" s="1"/>
  <c r="AD6" i="59"/>
  <c r="Q6" i="59"/>
  <c r="Q7" i="59"/>
  <c r="P6" i="59"/>
  <c r="P7" i="59"/>
  <c r="O6" i="59"/>
  <c r="N6" i="59"/>
  <c r="X5" i="59" s="1"/>
  <c r="B2" i="48"/>
  <c r="F22" i="48" s="1"/>
  <c r="H22" i="48" s="1"/>
  <c r="H17" i="48"/>
  <c r="D18" i="48"/>
  <c r="O8" i="59"/>
  <c r="O9" i="59"/>
  <c r="N8" i="59"/>
  <c r="N9" i="59"/>
  <c r="AH7" i="59"/>
  <c r="AG7" i="59"/>
  <c r="AE7" i="59"/>
  <c r="AF7" i="59"/>
  <c r="AD7" i="59"/>
  <c r="Q8" i="59"/>
  <c r="Q9" i="59"/>
  <c r="P8" i="59"/>
  <c r="P9" i="59"/>
  <c r="AH8" i="59"/>
  <c r="AG8" i="59"/>
  <c r="AE8" i="59"/>
  <c r="AF8" i="59" s="1"/>
  <c r="AD8" i="59"/>
  <c r="M15" i="45"/>
  <c r="L15" i="45"/>
  <c r="K15" i="45"/>
  <c r="J15" i="45"/>
  <c r="I15" i="45"/>
  <c r="H15" i="45"/>
  <c r="G15" i="45"/>
  <c r="F15" i="45"/>
  <c r="E15" i="45"/>
  <c r="D15" i="45"/>
  <c r="C15" i="45"/>
  <c r="B15" i="45"/>
  <c r="AH9" i="59"/>
  <c r="AG9" i="59"/>
  <c r="AE9" i="59"/>
  <c r="AF9" i="59"/>
  <c r="AD9" i="59"/>
  <c r="AH10" i="59"/>
  <c r="AG10" i="59"/>
  <c r="AE10" i="59"/>
  <c r="AF10" i="59" s="1"/>
  <c r="AD10" i="59"/>
  <c r="Q10" i="59"/>
  <c r="P10" i="59"/>
  <c r="O10" i="59"/>
  <c r="N10" i="59"/>
  <c r="L3" i="59"/>
  <c r="AH3" i="59" s="1"/>
  <c r="K3" i="59"/>
  <c r="AG3" i="59" s="1"/>
  <c r="J3" i="59"/>
  <c r="AE3" i="59" s="1"/>
  <c r="I3" i="59"/>
  <c r="AD3" i="59" s="1"/>
  <c r="AH11" i="59"/>
  <c r="AG11" i="59"/>
  <c r="AE11" i="59"/>
  <c r="AF11" i="59"/>
  <c r="AD11" i="59"/>
  <c r="Q11" i="59"/>
  <c r="Q12" i="59"/>
  <c r="P11" i="59"/>
  <c r="P12" i="59"/>
  <c r="O11" i="59"/>
  <c r="O12" i="59"/>
  <c r="N11" i="59"/>
  <c r="N12" i="59"/>
  <c r="N13" i="59"/>
  <c r="O13" i="59"/>
  <c r="P13" i="59"/>
  <c r="Q13" i="59"/>
  <c r="AD12" i="59"/>
  <c r="AE12" i="59"/>
  <c r="AF12" i="59" s="1"/>
  <c r="AG12" i="59"/>
  <c r="AH12" i="59"/>
  <c r="M19" i="43"/>
  <c r="M48" i="15"/>
  <c r="B2" i="1"/>
  <c r="C7" i="21" s="1"/>
  <c r="C58" i="21" s="1"/>
  <c r="D58" i="21" s="1"/>
  <c r="B23" i="1"/>
  <c r="J50" i="15"/>
  <c r="J51" i="15"/>
  <c r="B25" i="1"/>
  <c r="AH13" i="59"/>
  <c r="AG13" i="59"/>
  <c r="AE13" i="59"/>
  <c r="AF13" i="59" s="1"/>
  <c r="AD13" i="59"/>
  <c r="AH14" i="59"/>
  <c r="AG14" i="59"/>
  <c r="AE14" i="59"/>
  <c r="AF14" i="59"/>
  <c r="AD14" i="59"/>
  <c r="Q14" i="59"/>
  <c r="F14" i="59" s="1"/>
  <c r="P14" i="59"/>
  <c r="O14" i="59"/>
  <c r="N14" i="59"/>
  <c r="Q15" i="59"/>
  <c r="P15" i="59"/>
  <c r="O15" i="59"/>
  <c r="N15" i="59"/>
  <c r="D15" i="59"/>
  <c r="E14" i="59"/>
  <c r="E13" i="59" s="1"/>
  <c r="E12" i="59" s="1"/>
  <c r="E11" i="59" s="1"/>
  <c r="E10" i="59" s="1"/>
  <c r="E9" i="59" s="1"/>
  <c r="E8" i="59" s="1"/>
  <c r="E7" i="59" s="1"/>
  <c r="E6" i="59" s="1"/>
  <c r="F13" i="59"/>
  <c r="F12" i="59" s="1"/>
  <c r="A2" i="50"/>
  <c r="V14" i="59"/>
  <c r="K60" i="15"/>
  <c r="P59" i="15" s="1"/>
  <c r="A126" i="57"/>
  <c r="A123" i="9"/>
  <c r="A16" i="54"/>
  <c r="B14" i="60" s="1"/>
  <c r="A14" i="54"/>
  <c r="B12" i="60" s="1"/>
  <c r="A19" i="55"/>
  <c r="A13" i="55"/>
  <c r="B43" i="60" s="1"/>
  <c r="A1" i="52"/>
  <c r="A4" i="50"/>
  <c r="P16" i="59"/>
  <c r="O16" i="59"/>
  <c r="N16" i="59"/>
  <c r="Q16"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7" i="59"/>
  <c r="P17" i="59"/>
  <c r="Q17" i="59"/>
  <c r="N17" i="59"/>
  <c r="B17" i="59" s="1"/>
  <c r="B16" i="59" s="1"/>
  <c r="Y19" i="59"/>
  <c r="Z19" i="59" s="1"/>
  <c r="Y25" i="59"/>
  <c r="Z25" i="59" s="1"/>
  <c r="AA25" i="59"/>
  <c r="Y28"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H29" i="59"/>
  <c r="AG29" i="59"/>
  <c r="AE29" i="59"/>
  <c r="AD29" i="59"/>
  <c r="AF29" i="59"/>
  <c r="AD30" i="59"/>
  <c r="AE30" i="59"/>
  <c r="AF30" i="59" s="1"/>
  <c r="AG30" i="59"/>
  <c r="AH30"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K50" i="57"/>
  <c r="K49" i="9"/>
  <c r="F111" i="57"/>
  <c r="A115" i="57"/>
  <c r="A128" i="57"/>
  <c r="A8" i="52" s="1"/>
  <c r="B65" i="60" s="1"/>
  <c r="A112" i="9"/>
  <c r="A125" i="9"/>
  <c r="F110" i="9"/>
  <c r="F115" i="57"/>
  <c r="A132" i="57"/>
  <c r="A119" i="57"/>
  <c r="A116" i="9"/>
  <c r="F113" i="57"/>
  <c r="B18" i="50" s="1"/>
  <c r="B39" i="50" s="1"/>
  <c r="A117" i="57"/>
  <c r="A130" i="57"/>
  <c r="A114" i="9"/>
  <c r="A127" i="9"/>
  <c r="A10" i="52" s="1"/>
  <c r="B66" i="60" s="1"/>
  <c r="F114" i="9"/>
  <c r="A129" i="9"/>
  <c r="F112" i="9"/>
  <c r="B45" i="50"/>
  <c r="B59" i="60" s="1"/>
  <c r="D2" i="52"/>
  <c r="B60" i="60" s="1"/>
  <c r="B15" i="50"/>
  <c r="B36" i="50" s="1"/>
  <c r="B10" i="50"/>
  <c r="B31" i="50" s="1"/>
  <c r="C6" i="50"/>
  <c r="B18" i="60" s="1"/>
  <c r="A13" i="54"/>
  <c r="B10" i="60" s="1"/>
  <c r="B51" i="60"/>
  <c r="B50" i="60"/>
  <c r="B47" i="60"/>
  <c r="B16" i="60"/>
  <c r="B51" i="10"/>
  <c r="B49" i="60"/>
  <c r="A15" i="55"/>
  <c r="B45" i="60" s="1"/>
  <c r="A14" i="55"/>
  <c r="B44" i="60" s="1"/>
  <c r="C10" i="50"/>
  <c r="B24" i="60" s="1"/>
  <c r="C7" i="50"/>
  <c r="B20" i="60" s="1"/>
  <c r="C35" i="50"/>
  <c r="C34" i="50"/>
  <c r="C33" i="50"/>
  <c r="C13" i="50"/>
  <c r="B13" i="60"/>
  <c r="C42" i="50"/>
  <c r="C36" i="50"/>
  <c r="C39" i="50"/>
  <c r="I19" i="43"/>
  <c r="A135" i="57"/>
  <c r="F118" i="57"/>
  <c r="D79" i="59"/>
  <c r="F78" i="59"/>
  <c r="F77" i="59" s="1"/>
  <c r="F76" i="59" s="1"/>
  <c r="E78" i="59"/>
  <c r="E77" i="59"/>
  <c r="E76" i="59" s="1"/>
  <c r="C78" i="59"/>
  <c r="D78" i="59" s="1"/>
  <c r="B78" i="59"/>
  <c r="B77" i="59" s="1"/>
  <c r="B76" i="59" s="1"/>
  <c r="D75" i="59"/>
  <c r="F74" i="59"/>
  <c r="F73" i="59" s="1"/>
  <c r="F72" i="59" s="1"/>
  <c r="E74" i="59"/>
  <c r="E73" i="59"/>
  <c r="E72" i="59" s="1"/>
  <c r="C74" i="59"/>
  <c r="B74" i="59"/>
  <c r="B73" i="59" s="1"/>
  <c r="B72" i="59" s="1"/>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S66" i="59"/>
  <c r="Q66" i="59"/>
  <c r="P66" i="59"/>
  <c r="O66" i="59"/>
  <c r="N66" i="59"/>
  <c r="F66" i="59"/>
  <c r="V66" i="59" s="1"/>
  <c r="E66" i="59"/>
  <c r="U66" i="59"/>
  <c r="C66" i="59"/>
  <c r="B66" i="59"/>
  <c r="B65" i="59" s="1"/>
  <c r="Q65" i="59"/>
  <c r="P65" i="59"/>
  <c r="O65" i="59"/>
  <c r="N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s="1"/>
  <c r="B61" i="59"/>
  <c r="B60" i="59" s="1"/>
  <c r="Q60" i="59"/>
  <c r="P60" i="59"/>
  <c r="O60" i="59"/>
  <c r="N60" i="59"/>
  <c r="Q59" i="59"/>
  <c r="P59" i="59"/>
  <c r="O59" i="59"/>
  <c r="N59" i="59"/>
  <c r="D59" i="59"/>
  <c r="U58" i="59"/>
  <c r="S58" i="59"/>
  <c r="N58" i="59"/>
  <c r="F58" i="59"/>
  <c r="V58" i="59"/>
  <c r="E58" i="59"/>
  <c r="P58" i="59" s="1"/>
  <c r="E57" i="59"/>
  <c r="P57" i="59"/>
  <c r="C58" i="59"/>
  <c r="B58" i="59"/>
  <c r="B57" i="59"/>
  <c r="E56" i="59"/>
  <c r="P55" i="59"/>
  <c r="D55" i="59"/>
  <c r="Q54" i="59"/>
  <c r="P54" i="59"/>
  <c r="O54" i="59"/>
  <c r="N54" i="59"/>
  <c r="Q53" i="59"/>
  <c r="P53" i="59"/>
  <c r="O53" i="59"/>
  <c r="N53" i="59"/>
  <c r="Q52" i="59"/>
  <c r="P52" i="59"/>
  <c r="O52" i="59"/>
  <c r="N52" i="59"/>
  <c r="E52" i="59"/>
  <c r="E53" i="59" s="1"/>
  <c r="E54" i="59" s="1"/>
  <c r="U54" i="59" s="1"/>
  <c r="Q51" i="59"/>
  <c r="F52" i="59" s="1"/>
  <c r="P51" i="59"/>
  <c r="O51" i="59"/>
  <c r="C52" i="59" s="1"/>
  <c r="C53" i="59" s="1"/>
  <c r="C54" i="59" s="1"/>
  <c r="D54" i="59" s="1"/>
  <c r="N51" i="59"/>
  <c r="B52" i="59" s="1"/>
  <c r="B53" i="59" s="1"/>
  <c r="B54" i="59" s="1"/>
  <c r="S54" i="59" s="1"/>
  <c r="D51" i="59"/>
  <c r="Q50" i="59"/>
  <c r="P50" i="59"/>
  <c r="O50" i="59"/>
  <c r="N50" i="59"/>
  <c r="Q49" i="59"/>
  <c r="P49" i="59"/>
  <c r="O49" i="59"/>
  <c r="N49" i="59"/>
  <c r="Q48" i="59"/>
  <c r="F49" i="59" s="1"/>
  <c r="F50" i="59" s="1"/>
  <c r="V50" i="59" s="1"/>
  <c r="P48" i="59"/>
  <c r="O48" i="59"/>
  <c r="N48" i="59"/>
  <c r="Q47" i="59"/>
  <c r="F48" i="59"/>
  <c r="P47" i="59"/>
  <c r="E48" i="59" s="1"/>
  <c r="O47" i="59"/>
  <c r="C48" i="59" s="1"/>
  <c r="N47" i="59"/>
  <c r="B48" i="59"/>
  <c r="B49" i="59"/>
  <c r="B50" i="59"/>
  <c r="S50" i="59" s="1"/>
  <c r="D47" i="59"/>
  <c r="Q46" i="59"/>
  <c r="P46" i="59"/>
  <c r="O46" i="59"/>
  <c r="N46" i="59"/>
  <c r="Q45" i="59"/>
  <c r="P45" i="59"/>
  <c r="O45" i="59"/>
  <c r="N45" i="59"/>
  <c r="Q44" i="59"/>
  <c r="P44" i="59"/>
  <c r="O44" i="59"/>
  <c r="N44" i="59"/>
  <c r="E44" i="59"/>
  <c r="E45" i="59" s="1"/>
  <c r="Q43" i="59"/>
  <c r="F44" i="59" s="1"/>
  <c r="F45" i="59" s="1"/>
  <c r="F46" i="59" s="1"/>
  <c r="V46" i="59" s="1"/>
  <c r="P43" i="59"/>
  <c r="O43" i="59"/>
  <c r="C44" i="59" s="1"/>
  <c r="C45" i="59" s="1"/>
  <c r="C46" i="59" s="1"/>
  <c r="D46" i="59" s="1"/>
  <c r="N43" i="59"/>
  <c r="B44" i="59" s="1"/>
  <c r="B45" i="59" s="1"/>
  <c r="B46" i="59"/>
  <c r="S46" i="59" s="1"/>
  <c r="D43" i="59"/>
  <c r="Q42" i="59"/>
  <c r="P42" i="59"/>
  <c r="O42" i="59"/>
  <c r="N42" i="59"/>
  <c r="Q41" i="59"/>
  <c r="P41" i="59"/>
  <c r="O41" i="59"/>
  <c r="N41" i="59"/>
  <c r="Q40" i="59"/>
  <c r="P40" i="59"/>
  <c r="O40" i="59"/>
  <c r="C41" i="59" s="1"/>
  <c r="N40" i="59"/>
  <c r="E42" i="59"/>
  <c r="U42" i="59" s="1"/>
  <c r="Q39" i="59"/>
  <c r="F40" i="59" s="1"/>
  <c r="F41" i="59" s="1"/>
  <c r="F42" i="59" s="1"/>
  <c r="V42" i="59" s="1"/>
  <c r="P39" i="59"/>
  <c r="E40" i="59" s="1"/>
  <c r="E41" i="59" s="1"/>
  <c r="O39" i="59"/>
  <c r="C40" i="59" s="1"/>
  <c r="N39" i="59"/>
  <c r="B40" i="59"/>
  <c r="B41" i="59" s="1"/>
  <c r="B42" i="59" s="1"/>
  <c r="S42" i="59" s="1"/>
  <c r="D39" i="59"/>
  <c r="T38" i="59"/>
  <c r="Q38" i="59"/>
  <c r="P38" i="59"/>
  <c r="O38" i="59"/>
  <c r="N38" i="59"/>
  <c r="D38" i="59"/>
  <c r="Q37" i="59"/>
  <c r="P37" i="59"/>
  <c r="O37" i="59"/>
  <c r="N37" i="59"/>
  <c r="Q36" i="59"/>
  <c r="P36" i="59"/>
  <c r="O36" i="59"/>
  <c r="N36" i="59"/>
  <c r="F37" i="59"/>
  <c r="F38" i="59"/>
  <c r="V38" i="59" s="1"/>
  <c r="Q35" i="59"/>
  <c r="F36" i="59" s="1"/>
  <c r="P35" i="59"/>
  <c r="E36" i="59"/>
  <c r="O35" i="59"/>
  <c r="C36" i="59" s="1"/>
  <c r="D36" i="59" s="1"/>
  <c r="N35" i="59"/>
  <c r="B36" i="59"/>
  <c r="B37" i="59" s="1"/>
  <c r="B38" i="59" s="1"/>
  <c r="S38" i="59" s="1"/>
  <c r="D35" i="59"/>
  <c r="Q34" i="59"/>
  <c r="P34" i="59"/>
  <c r="O34" i="59"/>
  <c r="N34" i="59"/>
  <c r="Q33" i="59"/>
  <c r="P33" i="59"/>
  <c r="O33" i="59"/>
  <c r="N33" i="59"/>
  <c r="Q32" i="59"/>
  <c r="P32" i="59"/>
  <c r="O32" i="59"/>
  <c r="N32" i="59"/>
  <c r="B33" i="59" s="1"/>
  <c r="B34" i="59" s="1"/>
  <c r="S34" i="59" s="1"/>
  <c r="F32" i="59"/>
  <c r="F33" i="59" s="1"/>
  <c r="F34" i="59" s="1"/>
  <c r="V34" i="59" s="1"/>
  <c r="Q31" i="59"/>
  <c r="P31" i="59"/>
  <c r="E32" i="59"/>
  <c r="E33" i="59" s="1"/>
  <c r="E34" i="59" s="1"/>
  <c r="U34" i="59" s="1"/>
  <c r="O31" i="59"/>
  <c r="C32" i="59" s="1"/>
  <c r="N31" i="59"/>
  <c r="B32" i="59" s="1"/>
  <c r="D31" i="59"/>
  <c r="Q30" i="59"/>
  <c r="P30" i="59"/>
  <c r="O30" i="59"/>
  <c r="N30" i="59"/>
  <c r="Q29" i="59"/>
  <c r="AB29" i="59" s="1"/>
  <c r="P29" i="59"/>
  <c r="AA29" i="59" s="1"/>
  <c r="O29" i="59"/>
  <c r="Y29" i="59"/>
  <c r="Z29" i="59"/>
  <c r="N29" i="59"/>
  <c r="X29" i="59"/>
  <c r="Z28" i="59"/>
  <c r="Q28" i="59"/>
  <c r="AB28" i="59" s="1"/>
  <c r="P28" i="59"/>
  <c r="AA28" i="59" s="1"/>
  <c r="O28" i="59"/>
  <c r="N28" i="59"/>
  <c r="X28" i="59" s="1"/>
  <c r="F28" i="59"/>
  <c r="F29" i="59" s="1"/>
  <c r="F30" i="59" s="1"/>
  <c r="V30" i="59" s="1"/>
  <c r="Q27" i="59"/>
  <c r="P27" i="59"/>
  <c r="E28" i="59"/>
  <c r="E29" i="59" s="1"/>
  <c r="E30" i="59"/>
  <c r="U30" i="59" s="1"/>
  <c r="O27" i="59"/>
  <c r="C28" i="59" s="1"/>
  <c r="D28" i="59" s="1"/>
  <c r="N27" i="59"/>
  <c r="D27" i="59"/>
  <c r="Q26" i="59"/>
  <c r="P26" i="59"/>
  <c r="AA26" i="59" s="1"/>
  <c r="O26" i="59"/>
  <c r="N26" i="59"/>
  <c r="Q25" i="59"/>
  <c r="P25" i="59"/>
  <c r="O25" i="59"/>
  <c r="N25" i="59"/>
  <c r="Q24" i="59"/>
  <c r="P24" i="59"/>
  <c r="AA24" i="59" s="1"/>
  <c r="O24" i="59"/>
  <c r="N24" i="59"/>
  <c r="F24" i="59"/>
  <c r="F25" i="59"/>
  <c r="F26" i="59" s="1"/>
  <c r="V26" i="59" s="1"/>
  <c r="Q23" i="59"/>
  <c r="P23" i="59"/>
  <c r="E24" i="59" s="1"/>
  <c r="E25" i="59" s="1"/>
  <c r="E26" i="59" s="1"/>
  <c r="U26" i="59" s="1"/>
  <c r="O23" i="59"/>
  <c r="N23" i="59"/>
  <c r="D23" i="59"/>
  <c r="Q22" i="59"/>
  <c r="P22" i="59"/>
  <c r="O22" i="59"/>
  <c r="N22" i="59"/>
  <c r="Q21" i="59"/>
  <c r="P21" i="59"/>
  <c r="O21" i="59"/>
  <c r="N21" i="59"/>
  <c r="Q20" i="59"/>
  <c r="P20" i="59"/>
  <c r="O20" i="59"/>
  <c r="N20" i="59"/>
  <c r="Q19" i="59"/>
  <c r="P19" i="59"/>
  <c r="E20" i="59"/>
  <c r="E21" i="59"/>
  <c r="E22" i="59"/>
  <c r="U22" i="59" s="1"/>
  <c r="O19" i="59"/>
  <c r="C20" i="59" s="1"/>
  <c r="N19" i="59"/>
  <c r="D19" i="59"/>
  <c r="O18" i="59"/>
  <c r="Y17" i="59" s="1"/>
  <c r="Z17" i="59" s="1"/>
  <c r="N18" i="59"/>
  <c r="B18" i="59"/>
  <c r="X17" i="59"/>
  <c r="C29" i="59"/>
  <c r="D29" i="59" s="1"/>
  <c r="C37" i="59"/>
  <c r="D37" i="59" s="1"/>
  <c r="D40" i="59"/>
  <c r="P18" i="59"/>
  <c r="E46" i="59"/>
  <c r="U46" i="59" s="1"/>
  <c r="P56" i="59"/>
  <c r="U62" i="59"/>
  <c r="E61" i="59"/>
  <c r="E60" i="59"/>
  <c r="Q18" i="59"/>
  <c r="D44" i="59"/>
  <c r="D52" i="59"/>
  <c r="N57" i="59"/>
  <c r="B56" i="59"/>
  <c r="T62" i="59"/>
  <c r="D62" i="59"/>
  <c r="C61" i="59"/>
  <c r="D61" i="59" s="1"/>
  <c r="C65" i="59"/>
  <c r="E65" i="59"/>
  <c r="E64" i="59" s="1"/>
  <c r="C69" i="59"/>
  <c r="C68" i="59" s="1"/>
  <c r="D68" i="59" s="1"/>
  <c r="E69" i="59"/>
  <c r="E68" i="59" s="1"/>
  <c r="D70" i="59"/>
  <c r="C77" i="59"/>
  <c r="S18" i="59"/>
  <c r="F18" i="59"/>
  <c r="AA16" i="59"/>
  <c r="AA17" i="59"/>
  <c r="C60" i="59"/>
  <c r="D60" i="59" s="1"/>
  <c r="C42" i="59"/>
  <c r="T42" i="59" s="1"/>
  <c r="D41" i="59"/>
  <c r="D69" i="59"/>
  <c r="D45" i="59"/>
  <c r="N55" i="59"/>
  <c r="N56" i="59"/>
  <c r="C30" i="59"/>
  <c r="D30" i="59" s="1"/>
  <c r="D42" i="59"/>
  <c r="T30" i="59"/>
  <c r="T46" i="59"/>
  <c r="T54" i="59"/>
  <c r="B75" i="43"/>
  <c r="B66" i="43"/>
  <c r="Q25" i="40"/>
  <c r="Z25" i="40" s="1"/>
  <c r="E94" i="40"/>
  <c r="F94" i="40" s="1"/>
  <c r="G94" i="40" s="1"/>
  <c r="D94" i="40"/>
  <c r="H25" i="40"/>
  <c r="U25" i="40" s="1"/>
  <c r="F25" i="40"/>
  <c r="AA25" i="40" s="1"/>
  <c r="C25" i="40"/>
  <c r="Z27" i="39"/>
  <c r="Q27" i="39"/>
  <c r="D101" i="39"/>
  <c r="E101" i="39"/>
  <c r="F101" i="39" s="1"/>
  <c r="G101" i="39" s="1"/>
  <c r="Q18" i="36"/>
  <c r="Z18" i="36" s="1"/>
  <c r="F18" i="36"/>
  <c r="AA18" i="36" s="1"/>
  <c r="C18" i="36"/>
  <c r="D66" i="36"/>
  <c r="E66" i="36" s="1"/>
  <c r="F66" i="36" s="1"/>
  <c r="G66" i="36" s="1"/>
  <c r="Z18" i="35"/>
  <c r="Q18" i="35"/>
  <c r="D68" i="35"/>
  <c r="E68" i="35"/>
  <c r="F68" i="35"/>
  <c r="G68" i="35" s="1"/>
  <c r="J18" i="35"/>
  <c r="AC18" i="35"/>
  <c r="H18" i="35"/>
  <c r="AB18" i="35" s="1"/>
  <c r="F18" i="35"/>
  <c r="AA18" i="35"/>
  <c r="C18" i="35"/>
  <c r="Q21" i="37"/>
  <c r="Z21" i="37" s="1"/>
  <c r="D77" i="37"/>
  <c r="E77" i="37" s="1"/>
  <c r="F77" i="37" s="1"/>
  <c r="G77" i="37" s="1"/>
  <c r="H21" i="37"/>
  <c r="AB21" i="37"/>
  <c r="F21" i="37"/>
  <c r="C21" i="37"/>
  <c r="Q21" i="34"/>
  <c r="Z21" i="34" s="1"/>
  <c r="D84" i="34"/>
  <c r="E84" i="34"/>
  <c r="F21" i="34"/>
  <c r="AA21" i="34"/>
  <c r="C21" i="34"/>
  <c r="Q21" i="33"/>
  <c r="Z21" i="33" s="1"/>
  <c r="D83" i="33"/>
  <c r="E83" i="33" s="1"/>
  <c r="F83" i="33" s="1"/>
  <c r="G83" i="33" s="1"/>
  <c r="H21" i="33"/>
  <c r="AB21" i="33"/>
  <c r="F21" i="33"/>
  <c r="AA21" i="33"/>
  <c r="C21" i="33"/>
  <c r="Z21" i="21"/>
  <c r="Q21" i="21"/>
  <c r="D83" i="21"/>
  <c r="E83" i="21" s="1"/>
  <c r="F83" i="21" s="1"/>
  <c r="G83" i="21" s="1"/>
  <c r="F21" i="21"/>
  <c r="AA21" i="21" s="1"/>
  <c r="C21" i="21"/>
  <c r="G20" i="20"/>
  <c r="B86" i="43" s="1"/>
  <c r="C22" i="20"/>
  <c r="B5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0" i="58" s="1"/>
  <c r="I23" i="58"/>
  <c r="D20" i="58"/>
  <c r="I19" i="58"/>
  <c r="I18" i="58"/>
  <c r="I17" i="58"/>
  <c r="E15" i="58"/>
  <c r="I14" i="58"/>
  <c r="I15" i="58" s="1"/>
  <c r="I13" i="58"/>
  <c r="I12" i="58"/>
  <c r="I9" i="58"/>
  <c r="I8" i="58"/>
  <c r="I7" i="58"/>
  <c r="I6" i="58"/>
  <c r="I5" i="58"/>
  <c r="I10" i="58" s="1"/>
  <c r="I4" i="58"/>
  <c r="I3" i="58"/>
  <c r="G57" i="40"/>
  <c r="C57" i="40" s="1"/>
  <c r="G56" i="40"/>
  <c r="C56" i="40" s="1"/>
  <c r="B21" i="50"/>
  <c r="B42" i="50" s="1"/>
  <c r="D1" i="43"/>
  <c r="F113" i="43"/>
  <c r="N99" i="43"/>
  <c r="N108" i="43" s="1"/>
  <c r="M99" i="43"/>
  <c r="M100" i="43" s="1"/>
  <c r="M108" i="43"/>
  <c r="L99" i="43"/>
  <c r="L108" i="43" s="1"/>
  <c r="K99" i="43"/>
  <c r="K100" i="43" s="1"/>
  <c r="J99" i="43"/>
  <c r="J108" i="43" s="1"/>
  <c r="I99" i="43"/>
  <c r="I108" i="43" s="1"/>
  <c r="H99" i="43"/>
  <c r="H108" i="43" s="1"/>
  <c r="G99" i="43"/>
  <c r="G108" i="43"/>
  <c r="F99" i="43"/>
  <c r="F108" i="43" s="1"/>
  <c r="E99" i="43"/>
  <c r="E100" i="43" s="1"/>
  <c r="E108" i="43"/>
  <c r="D99" i="43"/>
  <c r="D108" i="43" s="1"/>
  <c r="C99" i="43"/>
  <c r="C100" i="43" s="1"/>
  <c r="G100" i="43"/>
  <c r="I100" i="43"/>
  <c r="D100" i="43"/>
  <c r="F100" i="43"/>
  <c r="H100" i="43"/>
  <c r="L100" i="43"/>
  <c r="N100" i="43"/>
  <c r="B84" i="43"/>
  <c r="B83" i="43"/>
  <c r="B72" i="43"/>
  <c r="B61" i="43"/>
  <c r="B50" i="43"/>
  <c r="M78" i="43"/>
  <c r="N78" i="43"/>
  <c r="K78" i="43"/>
  <c r="J78" i="43" s="1"/>
  <c r="D78" i="43"/>
  <c r="M77" i="43"/>
  <c r="N77" i="43"/>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s="1"/>
  <c r="K72" i="43"/>
  <c r="J72" i="43"/>
  <c r="D72" i="43"/>
  <c r="M71" i="43"/>
  <c r="N71" i="43" s="1"/>
  <c r="K71" i="43"/>
  <c r="J71" i="43"/>
  <c r="D71" i="43"/>
  <c r="M70" i="43"/>
  <c r="N70" i="43"/>
  <c r="K70" i="43"/>
  <c r="J70" i="43" s="1"/>
  <c r="D70" i="43"/>
  <c r="M67" i="43"/>
  <c r="N67" i="43"/>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s="1"/>
  <c r="K62" i="43"/>
  <c r="J62" i="43"/>
  <c r="D62" i="43"/>
  <c r="M61" i="43"/>
  <c r="N61" i="43" s="1"/>
  <c r="K61" i="43"/>
  <c r="J61" i="43"/>
  <c r="D61" i="43"/>
  <c r="M60" i="43"/>
  <c r="N60" i="43"/>
  <c r="K60" i="43"/>
  <c r="J60" i="43" s="1"/>
  <c r="D60" i="43"/>
  <c r="M59" i="43"/>
  <c r="N59" i="43"/>
  <c r="K59" i="43"/>
  <c r="J59" i="43" s="1"/>
  <c r="D59" i="43"/>
  <c r="Q70" i="15"/>
  <c r="Q57" i="15"/>
  <c r="Q56" i="15"/>
  <c r="Q49" i="15"/>
  <c r="L48" i="15"/>
  <c r="D9" i="31"/>
  <c r="E9" i="31" s="1"/>
  <c r="E162" i="31" s="1"/>
  <c r="B6" i="1"/>
  <c r="M21" i="15"/>
  <c r="B5" i="1"/>
  <c r="F7" i="15"/>
  <c r="B27" i="31"/>
  <c r="E7" i="66" s="1"/>
  <c r="B25" i="31"/>
  <c r="B15"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6" i="57" s="1"/>
  <c r="D126" i="57" s="1"/>
  <c r="I108" i="57"/>
  <c r="I107" i="57"/>
  <c r="D101" i="57"/>
  <c r="C101" i="57"/>
  <c r="C92" i="57"/>
  <c r="E91" i="57"/>
  <c r="D90" i="57"/>
  <c r="C90" i="57" s="1"/>
  <c r="C88" i="57" s="1"/>
  <c r="H78" i="57"/>
  <c r="D78" i="57"/>
  <c r="F60" i="57"/>
  <c r="O56" i="57" s="1"/>
  <c r="E60" i="57"/>
  <c r="N56" i="57"/>
  <c r="D60" i="57"/>
  <c r="M56" i="57" s="1"/>
  <c r="F57" i="57"/>
  <c r="K56" i="57"/>
  <c r="I56" i="57"/>
  <c r="F56" i="57"/>
  <c r="O54" i="57" s="1"/>
  <c r="O55" i="57"/>
  <c r="N55" i="57"/>
  <c r="N54" i="57"/>
  <c r="E49" i="57"/>
  <c r="N53" i="57" s="1"/>
  <c r="D27" i="57"/>
  <c r="C24" i="57"/>
  <c r="H19" i="57"/>
  <c r="D17" i="57"/>
  <c r="C17" i="57"/>
  <c r="L4" i="57"/>
  <c r="K4" i="57"/>
  <c r="B32" i="9"/>
  <c r="C23" i="31"/>
  <c r="C2" i="36"/>
  <c r="F2" i="36"/>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S59" i="31" s="1"/>
  <c r="R60" i="31"/>
  <c r="R61" i="31"/>
  <c r="R62" i="31"/>
  <c r="R63" i="31"/>
  <c r="S63" i="31" s="1"/>
  <c r="R64" i="31"/>
  <c r="R65" i="31"/>
  <c r="R66" i="31"/>
  <c r="T66" i="31" s="1"/>
  <c r="R67" i="31"/>
  <c r="S67" i="31" s="1"/>
  <c r="R68" i="31"/>
  <c r="R69" i="31"/>
  <c r="R70" i="31"/>
  <c r="R71" i="31"/>
  <c r="S71" i="31" s="1"/>
  <c r="R72" i="31"/>
  <c r="R73" i="31"/>
  <c r="R74" i="31"/>
  <c r="T74" i="31" s="1"/>
  <c r="R75" i="31"/>
  <c r="S75" i="31" s="1"/>
  <c r="R76" i="31"/>
  <c r="R77" i="31"/>
  <c r="T77" i="31" s="1"/>
  <c r="R78" i="31"/>
  <c r="R79" i="31"/>
  <c r="T79" i="31" s="1"/>
  <c r="R80" i="31"/>
  <c r="R81" i="31"/>
  <c r="T81" i="31" s="1"/>
  <c r="R82" i="31"/>
  <c r="T82" i="31" s="1"/>
  <c r="R83" i="31"/>
  <c r="T83" i="31" s="1"/>
  <c r="R84" i="31"/>
  <c r="R85" i="31"/>
  <c r="T85" i="31" s="1"/>
  <c r="R86" i="31"/>
  <c r="T86" i="31" s="1"/>
  <c r="R87" i="31"/>
  <c r="T87" i="31" s="1"/>
  <c r="R88" i="31"/>
  <c r="R89" i="31"/>
  <c r="T89" i="31" s="1"/>
  <c r="R90" i="31"/>
  <c r="R91" i="31"/>
  <c r="T91" i="31" s="1"/>
  <c r="R92" i="31"/>
  <c r="R93" i="31"/>
  <c r="T93" i="31" s="1"/>
  <c r="R94" i="3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T256" i="31" s="1"/>
  <c r="R257" i="31"/>
  <c r="T257" i="31" s="1"/>
  <c r="R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R335" i="31"/>
  <c r="T335" i="31" s="1"/>
  <c r="R336" i="31"/>
  <c r="T336" i="31" s="1"/>
  <c r="R337" i="31"/>
  <c r="T337" i="31" s="1"/>
  <c r="R338" i="31"/>
  <c r="T338" i="31" s="1"/>
  <c r="R339" i="31"/>
  <c r="R340" i="31"/>
  <c r="R341" i="31"/>
  <c r="T341" i="31" s="1"/>
  <c r="R342" i="3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R355" i="31"/>
  <c r="R356" i="31"/>
  <c r="R357" i="31"/>
  <c r="T357" i="31" s="1"/>
  <c r="R358" i="31"/>
  <c r="T358" i="31" s="1"/>
  <c r="R359" i="31"/>
  <c r="T359" i="31" s="1"/>
  <c r="R360" i="31"/>
  <c r="T360" i="31" s="1"/>
  <c r="R361" i="31"/>
  <c r="T361" i="31" s="1"/>
  <c r="R362" i="31"/>
  <c r="T362" i="31" s="1"/>
  <c r="R363" i="31"/>
  <c r="R364" i="31"/>
  <c r="R365" i="31"/>
  <c r="T365" i="31" s="1"/>
  <c r="R366" i="3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R379" i="31"/>
  <c r="R380" i="31"/>
  <c r="R381" i="31"/>
  <c r="T381" i="31" s="1"/>
  <c r="R382" i="31"/>
  <c r="T382" i="31" s="1"/>
  <c r="R383" i="31"/>
  <c r="T383" i="31" s="1"/>
  <c r="R384" i="31"/>
  <c r="T384" i="31" s="1"/>
  <c r="R385" i="31"/>
  <c r="T385" i="31" s="1"/>
  <c r="R386" i="31"/>
  <c r="R387" i="31"/>
  <c r="R388" i="31"/>
  <c r="R389" i="31"/>
  <c r="T389" i="31" s="1"/>
  <c r="R390" i="31"/>
  <c r="T390" i="31" s="1"/>
  <c r="R391" i="31"/>
  <c r="T391" i="31" s="1"/>
  <c r="R392" i="31"/>
  <c r="T392" i="31" s="1"/>
  <c r="R393" i="31"/>
  <c r="T393" i="31" s="1"/>
  <c r="R394" i="31"/>
  <c r="T394" i="31" s="1"/>
  <c r="R395" i="31"/>
  <c r="R396" i="31"/>
  <c r="R397" i="31"/>
  <c r="T397" i="31" s="1"/>
  <c r="R398" i="31"/>
  <c r="R399" i="31"/>
  <c r="T399" i="31" s="1"/>
  <c r="R400" i="31"/>
  <c r="T400" i="31" s="1"/>
  <c r="R401" i="31"/>
  <c r="T401" i="31" s="1"/>
  <c r="R402" i="31"/>
  <c r="T402" i="31" s="1"/>
  <c r="R403" i="31"/>
  <c r="R404" i="31"/>
  <c r="R405" i="31"/>
  <c r="T405" i="31" s="1"/>
  <c r="R406" i="3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R419" i="31"/>
  <c r="R420" i="31"/>
  <c r="R421" i="31"/>
  <c r="T421" i="31" s="1"/>
  <c r="R422" i="31"/>
  <c r="T422" i="31" s="1"/>
  <c r="R423" i="31"/>
  <c r="T423" i="31" s="1"/>
  <c r="R424" i="31"/>
  <c r="T424" i="31" s="1"/>
  <c r="R425" i="31"/>
  <c r="T425" i="31" s="1"/>
  <c r="R426" i="31"/>
  <c r="R427" i="3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C8" i="11"/>
  <c r="H23" i="48"/>
  <c r="H24" i="48"/>
  <c r="D24" i="48"/>
  <c r="D21" i="48"/>
  <c r="B21" i="49"/>
  <c r="B5" i="60"/>
  <c r="B12" i="49"/>
  <c r="B3" i="60"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c r="G53" i="40"/>
  <c r="C53" i="40" s="1"/>
  <c r="G52" i="40"/>
  <c r="C52" i="40"/>
  <c r="G57" i="39"/>
  <c r="C57" i="39" s="1"/>
  <c r="G63" i="39"/>
  <c r="G65" i="39"/>
  <c r="C65" i="39"/>
  <c r="G62" i="39"/>
  <c r="C62" i="39"/>
  <c r="G61" i="39"/>
  <c r="C61" i="39"/>
  <c r="G60" i="39"/>
  <c r="C60" i="39" s="1"/>
  <c r="G59" i="39"/>
  <c r="C59" i="39"/>
  <c r="G58" i="39"/>
  <c r="C58" i="39" s="1"/>
  <c r="G8" i="4"/>
  <c r="H50" i="40"/>
  <c r="H34" i="43"/>
  <c r="H35" i="43"/>
  <c r="H36" i="43"/>
  <c r="H37" i="43"/>
  <c r="H38" i="43"/>
  <c r="H39" i="43"/>
  <c r="H33" i="43"/>
  <c r="L44" i="47"/>
  <c r="M44" i="47" s="1"/>
  <c r="J44" i="47"/>
  <c r="I44" i="47"/>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s="1"/>
  <c r="J30" i="47"/>
  <c r="I30" i="47"/>
  <c r="L29" i="47"/>
  <c r="M29" i="47" s="1"/>
  <c r="J29" i="47"/>
  <c r="I29" i="47"/>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J8" i="47"/>
  <c r="I8" i="47" s="1"/>
  <c r="L8" i="47"/>
  <c r="M8" i="47"/>
  <c r="J9" i="47"/>
  <c r="I9" i="47" s="1"/>
  <c r="L9" i="47"/>
  <c r="M9" i="47"/>
  <c r="J10" i="47"/>
  <c r="I10" i="47" s="1"/>
  <c r="D10" i="47" s="1"/>
  <c r="L10" i="47"/>
  <c r="M10" i="47" s="1"/>
  <c r="J11" i="47"/>
  <c r="I11" i="47"/>
  <c r="L11" i="47"/>
  <c r="M11" i="47" s="1"/>
  <c r="J12" i="47"/>
  <c r="I12" i="47"/>
  <c r="D12" i="47"/>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c r="E59" i="9"/>
  <c r="N55" i="9" s="1"/>
  <c r="F59" i="9"/>
  <c r="O55" i="9"/>
  <c r="N54" i="9"/>
  <c r="N53" i="9"/>
  <c r="E48" i="9"/>
  <c r="N52" i="9"/>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E160" i="31"/>
  <c r="E164" i="31"/>
  <c r="E168" i="31"/>
  <c r="E172" i="31"/>
  <c r="E174" i="31"/>
  <c r="E176" i="31"/>
  <c r="E178" i="31"/>
  <c r="E180" i="31"/>
  <c r="E182" i="31"/>
  <c r="E184" i="31"/>
  <c r="E186"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D11" i="31"/>
  <c r="G28" i="31"/>
  <c r="E28" i="31"/>
  <c r="L5" i="31"/>
  <c r="K5" i="31"/>
  <c r="J5" i="31"/>
  <c r="I5" i="31"/>
  <c r="H5" i="31"/>
  <c r="G5" i="31"/>
  <c r="F5" i="31"/>
  <c r="E5" i="31"/>
  <c r="D5" i="31"/>
  <c r="C5" i="31"/>
  <c r="B124" i="57"/>
  <c r="S424" i="31"/>
  <c r="S422" i="31"/>
  <c r="S416" i="31"/>
  <c r="S414" i="31"/>
  <c r="S410" i="31"/>
  <c r="S408" i="31"/>
  <c r="S402" i="31"/>
  <c r="S400" i="31"/>
  <c r="S394" i="31"/>
  <c r="S392" i="31"/>
  <c r="S390" i="31"/>
  <c r="S384" i="31"/>
  <c r="S382" i="31"/>
  <c r="S376" i="31"/>
  <c r="S374" i="31"/>
  <c r="S370" i="31"/>
  <c r="S368" i="31"/>
  <c r="S362" i="31"/>
  <c r="S360" i="31"/>
  <c r="S358" i="31"/>
  <c r="S352" i="31"/>
  <c r="S350" i="31"/>
  <c r="S346" i="31"/>
  <c r="S344" i="31"/>
  <c r="S338" i="31"/>
  <c r="S336" i="31"/>
  <c r="S330" i="31"/>
  <c r="S328" i="31"/>
  <c r="S326" i="31"/>
  <c r="S322" i="31"/>
  <c r="S320" i="31"/>
  <c r="S316" i="31"/>
  <c r="S312" i="31"/>
  <c r="S308" i="31"/>
  <c r="S306" i="31"/>
  <c r="S304" i="31"/>
  <c r="S300" i="31"/>
  <c r="S298" i="31"/>
  <c r="S296" i="31"/>
  <c r="S292" i="31"/>
  <c r="S290" i="31"/>
  <c r="S288" i="31"/>
  <c r="S284" i="31"/>
  <c r="S280" i="31"/>
  <c r="S276" i="31"/>
  <c r="S274" i="31"/>
  <c r="S272" i="31"/>
  <c r="S268" i="31"/>
  <c r="S266" i="31"/>
  <c r="S264" i="31"/>
  <c r="S260" i="31"/>
  <c r="S257" i="31"/>
  <c r="S256" i="31"/>
  <c r="S255" i="31"/>
  <c r="S253" i="31"/>
  <c r="S249" i="31"/>
  <c r="S247" i="31"/>
  <c r="S245" i="31"/>
  <c r="S241" i="31"/>
  <c r="S239" i="31"/>
  <c r="S237" i="31"/>
  <c r="S233" i="31"/>
  <c r="S231" i="31"/>
  <c r="S229"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503" i="31"/>
  <c r="S468" i="31"/>
  <c r="S464" i="31"/>
  <c r="S460" i="31"/>
  <c r="S456" i="31"/>
  <c r="S51" i="31"/>
  <c r="S74" i="31"/>
  <c r="S66" i="31"/>
  <c r="S58" i="31"/>
  <c r="S98" i="31"/>
  <c r="S86" i="31"/>
  <c r="S82" i="31"/>
  <c r="S34" i="31"/>
  <c r="S32" i="31"/>
  <c r="S104" i="31"/>
  <c r="S108" i="31"/>
  <c r="S112" i="31"/>
  <c r="S448" i="31"/>
  <c r="S450" i="31"/>
  <c r="S452" i="31"/>
  <c r="S510" i="31"/>
  <c r="S512" i="31"/>
  <c r="S514" i="31"/>
  <c r="S516"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H54" i="33" s="1"/>
  <c r="E54" i="33"/>
  <c r="G111" i="21"/>
  <c r="H111" i="21"/>
  <c r="B110" i="39"/>
  <c r="F35" i="39"/>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c r="H42" i="34"/>
  <c r="J42" i="34"/>
  <c r="F42" i="34"/>
  <c r="J38" i="34"/>
  <c r="AC38" i="34" s="1"/>
  <c r="D114" i="34"/>
  <c r="D112" i="34"/>
  <c r="E112" i="34"/>
  <c r="F112" i="34" s="1"/>
  <c r="G112" i="34" s="1"/>
  <c r="H112" i="34"/>
  <c r="I112" i="34"/>
  <c r="J112" i="34" s="1"/>
  <c r="K112" i="34" s="1"/>
  <c r="L112" i="34" s="1"/>
  <c r="M112" i="34" s="1"/>
  <c r="F40" i="33"/>
  <c r="AA40" i="33" s="1"/>
  <c r="J41" i="33"/>
  <c r="W41" i="33"/>
  <c r="D113" i="33"/>
  <c r="E113" i="33" s="1"/>
  <c r="F37" i="33"/>
  <c r="S37" i="33" s="1"/>
  <c r="D111" i="33"/>
  <c r="E111" i="33" s="1"/>
  <c r="F111" i="33" s="1"/>
  <c r="G111" i="33" s="1"/>
  <c r="H111" i="33"/>
  <c r="I111" i="33" s="1"/>
  <c r="J111" i="33" s="1"/>
  <c r="K111" i="33" s="1"/>
  <c r="L111" i="33" s="1"/>
  <c r="M111" i="33" s="1"/>
  <c r="S518" i="31"/>
  <c r="S520" i="31"/>
  <c r="S522" i="31"/>
  <c r="S524" i="31"/>
  <c r="S526" i="31"/>
  <c r="F41" i="21"/>
  <c r="J41" i="21"/>
  <c r="AC41" i="21" s="1"/>
  <c r="H41" i="21"/>
  <c r="D81" i="39"/>
  <c r="E81" i="39" s="1"/>
  <c r="F81" i="39" s="1"/>
  <c r="G81" i="39"/>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B101" i="40"/>
  <c r="J31" i="40"/>
  <c r="D100" i="40"/>
  <c r="E100" i="40"/>
  <c r="F100" i="40"/>
  <c r="G100" i="40" s="1"/>
  <c r="H100" i="40" s="1"/>
  <c r="I100" i="40" s="1"/>
  <c r="J100" i="40" s="1"/>
  <c r="K100" i="40" s="1"/>
  <c r="L100" i="40" s="1"/>
  <c r="M100" i="40" s="1"/>
  <c r="D98" i="40"/>
  <c r="E98" i="40" s="1"/>
  <c r="D96" i="40"/>
  <c r="E96" i="40"/>
  <c r="B95" i="40"/>
  <c r="D92" i="40"/>
  <c r="E92" i="40" s="1"/>
  <c r="F92" i="40"/>
  <c r="G92" i="40" s="1"/>
  <c r="D90" i="40"/>
  <c r="E90" i="40" s="1"/>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J39" i="40"/>
  <c r="H39" i="40"/>
  <c r="U39" i="40"/>
  <c r="F39" i="40"/>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AA9" i="40" s="1"/>
  <c r="J8" i="40"/>
  <c r="AC8" i="40"/>
  <c r="H8" i="40"/>
  <c r="AB8" i="40" s="1"/>
  <c r="F8" i="40"/>
  <c r="AA8" i="40"/>
  <c r="J38" i="39"/>
  <c r="W38" i="39" s="1"/>
  <c r="H38" i="39"/>
  <c r="AB38" i="39"/>
  <c r="F38" i="39"/>
  <c r="D124" i="39"/>
  <c r="E124" i="39" s="1"/>
  <c r="F124" i="39"/>
  <c r="G124" i="39" s="1"/>
  <c r="H124" i="39"/>
  <c r="I124" i="39" s="1"/>
  <c r="J124" i="39" s="1"/>
  <c r="K124" i="39" s="1"/>
  <c r="L124" i="39" s="1"/>
  <c r="M124" i="39" s="1"/>
  <c r="D120" i="39"/>
  <c r="E120" i="39" s="1"/>
  <c r="F120" i="39" s="1"/>
  <c r="G120" i="39"/>
  <c r="H120" i="39" s="1"/>
  <c r="I120" i="39" s="1"/>
  <c r="J120" i="39" s="1"/>
  <c r="K120" i="39" s="1"/>
  <c r="L120" i="39" s="1"/>
  <c r="M120" i="39" s="1"/>
  <c r="B114" i="39"/>
  <c r="J37" i="39" s="1"/>
  <c r="D109" i="39"/>
  <c r="F34" i="39"/>
  <c r="AA34" i="39" s="1"/>
  <c r="D107" i="39"/>
  <c r="E107" i="39" s="1"/>
  <c r="F107" i="39"/>
  <c r="G107" i="39"/>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c r="G99" i="39" s="1"/>
  <c r="Q39" i="39"/>
  <c r="Z39" i="39"/>
  <c r="Q40" i="39"/>
  <c r="Z40" i="39" s="1"/>
  <c r="Q41" i="39"/>
  <c r="Z41" i="39"/>
  <c r="Q42" i="39"/>
  <c r="Z42" i="39" s="1"/>
  <c r="Q43" i="39"/>
  <c r="Z43" i="39"/>
  <c r="Q44" i="39"/>
  <c r="Z44" i="39" s="1"/>
  <c r="Q45" i="39"/>
  <c r="Z45" i="39"/>
  <c r="Q38" i="39"/>
  <c r="Z38" i="39" s="1"/>
  <c r="Q36" i="39"/>
  <c r="Z36" i="39"/>
  <c r="Q37" i="39"/>
  <c r="Z37" i="39" s="1"/>
  <c r="M116" i="39"/>
  <c r="L116" i="39"/>
  <c r="K116" i="39"/>
  <c r="J116" i="39"/>
  <c r="I116" i="39"/>
  <c r="H116" i="39"/>
  <c r="G116" i="39"/>
  <c r="F116" i="39"/>
  <c r="E116" i="39"/>
  <c r="D116" i="39"/>
  <c r="C116" i="39"/>
  <c r="B131" i="39"/>
  <c r="H45" i="39" s="1"/>
  <c r="B129" i="39"/>
  <c r="H44" i="39"/>
  <c r="U44" i="39" s="1"/>
  <c r="B127" i="39"/>
  <c r="D126" i="39"/>
  <c r="E126" i="39" s="1"/>
  <c r="F126" i="39"/>
  <c r="G126" i="39" s="1"/>
  <c r="H126" i="39"/>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c r="J21" i="39"/>
  <c r="AC21" i="39" s="1"/>
  <c r="D93" i="39"/>
  <c r="E93" i="39"/>
  <c r="F93" i="39"/>
  <c r="G93" i="39" s="1"/>
  <c r="D91" i="39"/>
  <c r="E91" i="39" s="1"/>
  <c r="F91" i="39"/>
  <c r="G91" i="39" s="1"/>
  <c r="D89" i="39"/>
  <c r="E89" i="39"/>
  <c r="F89" i="39" s="1"/>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s="1"/>
  <c r="F39" i="39"/>
  <c r="AA39" i="39" s="1"/>
  <c r="Q35" i="39"/>
  <c r="Z35" i="39"/>
  <c r="Q34" i="39"/>
  <c r="Z34" i="39" s="1"/>
  <c r="Q32" i="39"/>
  <c r="Z32" i="39" s="1"/>
  <c r="Q31" i="39"/>
  <c r="Z31" i="39" s="1"/>
  <c r="Q29" i="39"/>
  <c r="Z29" i="39"/>
  <c r="Q25" i="39"/>
  <c r="Z25" i="39" s="1"/>
  <c r="Q23" i="39"/>
  <c r="Z23" i="39" s="1"/>
  <c r="Q21" i="39"/>
  <c r="Z21" i="39" s="1"/>
  <c r="Q19" i="39"/>
  <c r="Z19" i="39" s="1"/>
  <c r="Q17" i="39"/>
  <c r="Z17" i="39" s="1"/>
  <c r="Q15" i="39"/>
  <c r="Z15" i="39" s="1"/>
  <c r="Q14" i="39"/>
  <c r="Z14" i="39" s="1"/>
  <c r="Q13" i="39"/>
  <c r="Z13" i="39"/>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J38" i="37" s="1"/>
  <c r="C23" i="37"/>
  <c r="C19" i="37"/>
  <c r="C17" i="37"/>
  <c r="C15" i="37"/>
  <c r="B112" i="37"/>
  <c r="H40" i="37" s="1"/>
  <c r="D107" i="37"/>
  <c r="E107" i="37"/>
  <c r="F107" i="37"/>
  <c r="G107" i="37" s="1"/>
  <c r="H107" i="37" s="1"/>
  <c r="I107" i="37" s="1"/>
  <c r="J107" i="37" s="1"/>
  <c r="K107" i="37" s="1"/>
  <c r="L107" i="37" s="1"/>
  <c r="M107" i="37"/>
  <c r="D105" i="37"/>
  <c r="E105" i="37" s="1"/>
  <c r="F105" i="37" s="1"/>
  <c r="G105" i="37" s="1"/>
  <c r="D103" i="37"/>
  <c r="J35" i="37"/>
  <c r="G97" i="37"/>
  <c r="F97" i="37"/>
  <c r="E97" i="37"/>
  <c r="D97" i="37"/>
  <c r="C97" i="37"/>
  <c r="D96" i="37"/>
  <c r="E96" i="37"/>
  <c r="F96" i="37"/>
  <c r="G96" i="37" s="1"/>
  <c r="H96" i="37" s="1"/>
  <c r="I96" i="37"/>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c r="F89" i="37"/>
  <c r="G89" i="37"/>
  <c r="H89" i="37" s="1"/>
  <c r="I89" i="37"/>
  <c r="J89" i="37" s="1"/>
  <c r="K89" i="37" s="1"/>
  <c r="L89" i="37" s="1"/>
  <c r="M89" i="37" s="1"/>
  <c r="B86" i="37"/>
  <c r="B84" i="37"/>
  <c r="B82" i="37"/>
  <c r="D79" i="37"/>
  <c r="E79" i="37"/>
  <c r="F79" i="37" s="1"/>
  <c r="G79" i="37" s="1"/>
  <c r="D75" i="37"/>
  <c r="E75" i="37" s="1"/>
  <c r="F75" i="37" s="1"/>
  <c r="D73" i="37"/>
  <c r="E73" i="37"/>
  <c r="F73" i="37" s="1"/>
  <c r="G73" i="37" s="1"/>
  <c r="J17" i="37"/>
  <c r="D71" i="37"/>
  <c r="E71" i="37" s="1"/>
  <c r="F71" i="37" s="1"/>
  <c r="G71" i="37"/>
  <c r="B68" i="37"/>
  <c r="B66" i="37"/>
  <c r="B64" i="37"/>
  <c r="H12" i="37" s="1"/>
  <c r="U12" i="37"/>
  <c r="D63" i="37"/>
  <c r="E63" i="37" s="1"/>
  <c r="F63" i="37" s="1"/>
  <c r="G63" i="37"/>
  <c r="H63" i="37"/>
  <c r="I63" i="37"/>
  <c r="J63" i="37" s="1"/>
  <c r="K63" i="37" s="1"/>
  <c r="L63" i="37" s="1"/>
  <c r="M63" i="37" s="1"/>
  <c r="H11" i="37"/>
  <c r="U11" i="37"/>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H30" i="37"/>
  <c r="AB30" i="37" s="1"/>
  <c r="F30" i="37"/>
  <c r="AA30" i="37"/>
  <c r="Q29" i="37"/>
  <c r="Z29" i="37" s="1"/>
  <c r="H29" i="37"/>
  <c r="AB29" i="37"/>
  <c r="Q28" i="37"/>
  <c r="Z28" i="37" s="1"/>
  <c r="Q27" i="37"/>
  <c r="Z27" i="37" s="1"/>
  <c r="Q26" i="37"/>
  <c r="Z26" i="37" s="1"/>
  <c r="Q25" i="37"/>
  <c r="Z25" i="37"/>
  <c r="J25" i="37"/>
  <c r="AC25" i="37" s="1"/>
  <c r="F25" i="37"/>
  <c r="AA25" i="37"/>
  <c r="Q23" i="37"/>
  <c r="Z23" i="37" s="1"/>
  <c r="Q19" i="37"/>
  <c r="Z19" i="37"/>
  <c r="Q17" i="37"/>
  <c r="Z17" i="37" s="1"/>
  <c r="Q15" i="37"/>
  <c r="Z15" i="37" s="1"/>
  <c r="Q14" i="37"/>
  <c r="Z14" i="37" s="1"/>
  <c r="Q13" i="37"/>
  <c r="Z13" i="37"/>
  <c r="Q12" i="37"/>
  <c r="Z12" i="37" s="1"/>
  <c r="Q11" i="37"/>
  <c r="Z11" i="37"/>
  <c r="Q10" i="37"/>
  <c r="Z10" i="37" s="1"/>
  <c r="Q9" i="37"/>
  <c r="Z9" i="37"/>
  <c r="J8" i="37"/>
  <c r="W8" i="37" s="1"/>
  <c r="H8" i="37"/>
  <c r="F8" i="37"/>
  <c r="S8" i="37" s="1"/>
  <c r="J31" i="36"/>
  <c r="AC31" i="36" s="1"/>
  <c r="H31" i="36"/>
  <c r="AB31" i="36" s="1"/>
  <c r="F31" i="36"/>
  <c r="S31" i="36"/>
  <c r="M86" i="36"/>
  <c r="L86" i="36"/>
  <c r="K86" i="36"/>
  <c r="J86" i="36"/>
  <c r="I86" i="36"/>
  <c r="H86" i="36"/>
  <c r="G86" i="36"/>
  <c r="F86" i="36"/>
  <c r="E86" i="36"/>
  <c r="D86" i="36"/>
  <c r="C86" i="36"/>
  <c r="D85" i="36"/>
  <c r="E85" i="36" s="1"/>
  <c r="H29" i="36"/>
  <c r="U29" i="36" s="1"/>
  <c r="D81" i="36"/>
  <c r="E81" i="36"/>
  <c r="F81" i="36"/>
  <c r="G81" i="36" s="1"/>
  <c r="H81" i="36" s="1"/>
  <c r="I81" i="36" s="1"/>
  <c r="J81" i="36" s="1"/>
  <c r="K81" i="36"/>
  <c r="L81" i="36" s="1"/>
  <c r="M81" i="36" s="1"/>
  <c r="G79" i="36"/>
  <c r="F79" i="36"/>
  <c r="E79" i="36"/>
  <c r="D79" i="36"/>
  <c r="C79" i="36"/>
  <c r="B93" i="36"/>
  <c r="H33" i="36" s="1"/>
  <c r="U33" i="36" s="1"/>
  <c r="AB33" i="36"/>
  <c r="B91" i="36"/>
  <c r="F32" i="36"/>
  <c r="AA32" i="36" s="1"/>
  <c r="B95" i="36"/>
  <c r="H34" i="36"/>
  <c r="U34" i="36" s="1"/>
  <c r="D83" i="36"/>
  <c r="E83" i="36" s="1"/>
  <c r="F83" i="36" s="1"/>
  <c r="G83" i="36" s="1"/>
  <c r="H83" i="36" s="1"/>
  <c r="I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s="1"/>
  <c r="D62" i="36"/>
  <c r="E62" i="36" s="1"/>
  <c r="F62" i="36" s="1"/>
  <c r="G62" i="36"/>
  <c r="H14" i="36"/>
  <c r="AB14" i="36" s="1"/>
  <c r="B59" i="36"/>
  <c r="B57" i="36"/>
  <c r="B55" i="36"/>
  <c r="H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c r="Q29" i="36"/>
  <c r="Z29" i="36" s="1"/>
  <c r="Q28" i="36"/>
  <c r="Z28" i="36"/>
  <c r="J28" i="36"/>
  <c r="Q27" i="36"/>
  <c r="Z27" i="36" s="1"/>
  <c r="Q26" i="36"/>
  <c r="Z26" i="36" s="1"/>
  <c r="H26" i="36"/>
  <c r="Q25" i="36"/>
  <c r="Z25" i="36" s="1"/>
  <c r="Q24" i="36"/>
  <c r="Z24" i="36"/>
  <c r="Q23" i="36"/>
  <c r="Z23" i="36" s="1"/>
  <c r="AC23" i="36"/>
  <c r="H23" i="36"/>
  <c r="F23" i="36"/>
  <c r="Q22" i="36"/>
  <c r="Z22" i="36"/>
  <c r="J22" i="36"/>
  <c r="AC22" i="36" s="1"/>
  <c r="Q20" i="36"/>
  <c r="Z20" i="36" s="1"/>
  <c r="Q16" i="36"/>
  <c r="Z16" i="36" s="1"/>
  <c r="Q14" i="36"/>
  <c r="Z14" i="36" s="1"/>
  <c r="Q13" i="36"/>
  <c r="Z13" i="36" s="1"/>
  <c r="Q12" i="36"/>
  <c r="Z12" i="36"/>
  <c r="Q11" i="36"/>
  <c r="Z11" i="36" s="1"/>
  <c r="Q10" i="36"/>
  <c r="Z10" i="36"/>
  <c r="F10" i="36"/>
  <c r="AA10" i="36" s="1"/>
  <c r="Q9" i="36"/>
  <c r="Z9" i="36" s="1"/>
  <c r="J9" i="36"/>
  <c r="AC9" i="36" s="1"/>
  <c r="F9" i="36"/>
  <c r="S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J36" i="35" s="1"/>
  <c r="H36" i="35"/>
  <c r="AB36" i="35" s="1"/>
  <c r="B99" i="35"/>
  <c r="B97" i="35"/>
  <c r="B77" i="35"/>
  <c r="B75" i="35"/>
  <c r="B73" i="35"/>
  <c r="H23" i="35"/>
  <c r="U23" i="35"/>
  <c r="B57" i="35"/>
  <c r="B61" i="35"/>
  <c r="B59" i="35"/>
  <c r="B131" i="34"/>
  <c r="B129" i="34"/>
  <c r="F46" i="34" s="1"/>
  <c r="B127" i="34"/>
  <c r="B99" i="34"/>
  <c r="B97" i="34"/>
  <c r="B95" i="34"/>
  <c r="B93" i="34"/>
  <c r="B75" i="34"/>
  <c r="B73" i="34"/>
  <c r="B71" i="34"/>
  <c r="F12" i="34" s="1"/>
  <c r="B130" i="33"/>
  <c r="B128" i="33"/>
  <c r="B126" i="33"/>
  <c r="B98" i="33"/>
  <c r="H31" i="33" s="1"/>
  <c r="B96" i="33"/>
  <c r="B94" i="33"/>
  <c r="B74" i="33"/>
  <c r="B72" i="33"/>
  <c r="B70" i="33"/>
  <c r="D96" i="35"/>
  <c r="E96" i="35"/>
  <c r="F96" i="35" s="1"/>
  <c r="G96" i="35" s="1"/>
  <c r="D94" i="35"/>
  <c r="E94" i="35" s="1"/>
  <c r="F94" i="35"/>
  <c r="G94" i="35" s="1"/>
  <c r="H94" i="35"/>
  <c r="I94" i="35" s="1"/>
  <c r="J94" i="35" s="1"/>
  <c r="K94" i="35" s="1"/>
  <c r="L94" i="35" s="1"/>
  <c r="M94" i="35" s="1"/>
  <c r="D84" i="35"/>
  <c r="E84" i="35" s="1"/>
  <c r="F84" i="35" s="1"/>
  <c r="G84" i="35" s="1"/>
  <c r="H84" i="35" s="1"/>
  <c r="I84" i="35" s="1"/>
  <c r="J84" i="35"/>
  <c r="K84" i="35" s="1"/>
  <c r="L84" i="35"/>
  <c r="M84" i="35" s="1"/>
  <c r="D80" i="35"/>
  <c r="E80" i="35"/>
  <c r="F80" i="35" s="1"/>
  <c r="G80" i="35" s="1"/>
  <c r="H80" i="35"/>
  <c r="I80" i="35"/>
  <c r="J80" i="35" s="1"/>
  <c r="K80" i="35" s="1"/>
  <c r="L80" i="35" s="1"/>
  <c r="M80" i="35" s="1"/>
  <c r="D72" i="35"/>
  <c r="E72" i="35" s="1"/>
  <c r="F72" i="35" s="1"/>
  <c r="G72" i="35" s="1"/>
  <c r="D70" i="35"/>
  <c r="E70" i="35" s="1"/>
  <c r="F70" i="35"/>
  <c r="G70" i="35"/>
  <c r="D66" i="35"/>
  <c r="E66" i="35" s="1"/>
  <c r="F66" i="35"/>
  <c r="G66" i="35"/>
  <c r="F16" i="35"/>
  <c r="D64" i="35"/>
  <c r="E64" i="35"/>
  <c r="F64" i="35"/>
  <c r="G64" i="35" s="1"/>
  <c r="J14" i="35"/>
  <c r="AC14" i="35" s="1"/>
  <c r="F56" i="35"/>
  <c r="G56" i="35" s="1"/>
  <c r="H56" i="35" s="1"/>
  <c r="I56" i="35" s="1"/>
  <c r="C53" i="35"/>
  <c r="P39" i="35"/>
  <c r="P38" i="35"/>
  <c r="V37" i="35"/>
  <c r="T37" i="35"/>
  <c r="R37" i="35"/>
  <c r="P37" i="35"/>
  <c r="Q36" i="35"/>
  <c r="Z36" i="35" s="1"/>
  <c r="AC36" i="35"/>
  <c r="Q35" i="35"/>
  <c r="Z35" i="35" s="1"/>
  <c r="Q34" i="35"/>
  <c r="Z34" i="35"/>
  <c r="J34" i="35"/>
  <c r="AC34" i="35" s="1"/>
  <c r="Q33" i="35"/>
  <c r="Z33" i="35"/>
  <c r="Q32" i="35"/>
  <c r="Z32" i="35" s="1"/>
  <c r="H32" i="35"/>
  <c r="AB32" i="35"/>
  <c r="F32" i="35"/>
  <c r="AA32" i="35" s="1"/>
  <c r="Q31" i="35"/>
  <c r="Z31" i="35"/>
  <c r="AC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U12" i="35"/>
  <c r="Q11" i="35"/>
  <c r="Z11" i="35"/>
  <c r="Q10" i="35"/>
  <c r="Z10" i="35"/>
  <c r="Q9" i="35"/>
  <c r="Z9" i="35"/>
  <c r="H9" i="35"/>
  <c r="J8" i="35"/>
  <c r="W8" i="35" s="1"/>
  <c r="AC8" i="35"/>
  <c r="H8" i="35"/>
  <c r="AB8" i="35"/>
  <c r="F8" i="35"/>
  <c r="AA8" i="35"/>
  <c r="D120" i="34"/>
  <c r="E120" i="34"/>
  <c r="F120" i="34" s="1"/>
  <c r="G120" i="34" s="1"/>
  <c r="H120" i="34" s="1"/>
  <c r="I120" i="34" s="1"/>
  <c r="J120" i="34" s="1"/>
  <c r="K120" i="34" s="1"/>
  <c r="L120" i="34" s="1"/>
  <c r="M120" i="34" s="1"/>
  <c r="D90" i="34"/>
  <c r="E90" i="34"/>
  <c r="F90" i="34" s="1"/>
  <c r="G90" i="34"/>
  <c r="H90" i="34" s="1"/>
  <c r="I90" i="34"/>
  <c r="J90" i="34"/>
  <c r="K90" i="34" s="1"/>
  <c r="L90" i="34" s="1"/>
  <c r="M90" i="34" s="1"/>
  <c r="C15" i="34"/>
  <c r="F67" i="34"/>
  <c r="G67" i="34" s="1"/>
  <c r="H67" i="34" s="1"/>
  <c r="I67" i="34"/>
  <c r="D126" i="34"/>
  <c r="D124" i="34"/>
  <c r="E124" i="34"/>
  <c r="F124" i="34"/>
  <c r="G124" i="34" s="1"/>
  <c r="H124" i="34" s="1"/>
  <c r="I124" i="34" s="1"/>
  <c r="J124" i="34" s="1"/>
  <c r="K124" i="34"/>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c r="G92" i="34" s="1"/>
  <c r="H92" i="34"/>
  <c r="I92" i="34"/>
  <c r="J92" i="34" s="1"/>
  <c r="K92" i="34" s="1"/>
  <c r="L92" i="34" s="1"/>
  <c r="M92" i="34" s="1"/>
  <c r="B91" i="34"/>
  <c r="B89" i="34"/>
  <c r="J27" i="34"/>
  <c r="D88" i="34"/>
  <c r="E88" i="34"/>
  <c r="F88" i="34" s="1"/>
  <c r="G88" i="34" s="1"/>
  <c r="H88" i="34" s="1"/>
  <c r="I88" i="34" s="1"/>
  <c r="J88" i="34" s="1"/>
  <c r="K88" i="34" s="1"/>
  <c r="L88" i="34" s="1"/>
  <c r="M88" i="34" s="1"/>
  <c r="D86" i="34"/>
  <c r="E86" i="34"/>
  <c r="F86" i="34" s="1"/>
  <c r="G86" i="34"/>
  <c r="F23" i="34"/>
  <c r="AA23" i="34"/>
  <c r="D82" i="34"/>
  <c r="E82" i="34"/>
  <c r="F82" i="34" s="1"/>
  <c r="G82" i="34"/>
  <c r="F19" i="34"/>
  <c r="D80" i="34"/>
  <c r="E80" i="34" s="1"/>
  <c r="D78" i="34"/>
  <c r="E78" i="34"/>
  <c r="F78" i="34"/>
  <c r="G78" i="34" s="1"/>
  <c r="F15" i="34"/>
  <c r="AA15" i="34"/>
  <c r="D70" i="34"/>
  <c r="E70" i="34" s="1"/>
  <c r="F70" i="34"/>
  <c r="G70" i="34" s="1"/>
  <c r="H70" i="34" s="1"/>
  <c r="I70" i="34" s="1"/>
  <c r="J70" i="34" s="1"/>
  <c r="K70" i="34"/>
  <c r="L70" i="34" s="1"/>
  <c r="M70" i="34" s="1"/>
  <c r="F11" i="34"/>
  <c r="AA11"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AC12" i="34" s="1"/>
  <c r="H12" i="34"/>
  <c r="U12" i="34" s="1"/>
  <c r="Q11" i="34"/>
  <c r="Z11" i="34"/>
  <c r="Q10" i="34"/>
  <c r="Z10" i="34" s="1"/>
  <c r="F10" i="34"/>
  <c r="Q9" i="34"/>
  <c r="Z9" i="34"/>
  <c r="J8" i="34"/>
  <c r="H8" i="34"/>
  <c r="U8" i="34"/>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c r="I123" i="33"/>
  <c r="J123" i="33" s="1"/>
  <c r="K123" i="33" s="1"/>
  <c r="L123" i="33" s="1"/>
  <c r="M123" i="33" s="1"/>
  <c r="D117" i="33"/>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J35" i="33"/>
  <c r="AC35" i="33" s="1"/>
  <c r="D106" i="33"/>
  <c r="E106" i="33"/>
  <c r="F106" i="33"/>
  <c r="G106" i="33" s="1"/>
  <c r="H106" i="33"/>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s="1"/>
  <c r="G87" i="33" s="1"/>
  <c r="H87" i="33" s="1"/>
  <c r="I87" i="33" s="1"/>
  <c r="J87" i="33" s="1"/>
  <c r="K87" i="33" s="1"/>
  <c r="L87" i="33" s="1"/>
  <c r="M87" i="33" s="1"/>
  <c r="D85" i="33"/>
  <c r="E85" i="33" s="1"/>
  <c r="F85" i="33" s="1"/>
  <c r="G85" i="33" s="1"/>
  <c r="D81" i="33"/>
  <c r="E81" i="33" s="1"/>
  <c r="F81" i="33"/>
  <c r="G81" i="33" s="1"/>
  <c r="D79" i="33"/>
  <c r="E79" i="33" s="1"/>
  <c r="F79" i="33"/>
  <c r="G79" i="33"/>
  <c r="D77" i="33"/>
  <c r="E77" i="33" s="1"/>
  <c r="F77" i="33" s="1"/>
  <c r="G77" i="33" s="1"/>
  <c r="D69" i="33"/>
  <c r="E69" i="33" s="1"/>
  <c r="F69" i="33"/>
  <c r="G69" i="33" s="1"/>
  <c r="H69" i="33" s="1"/>
  <c r="I69" i="33" s="1"/>
  <c r="J69" i="33"/>
  <c r="K69" i="33" s="1"/>
  <c r="L69" i="33" s="1"/>
  <c r="M69" i="33" s="1"/>
  <c r="H11" i="33"/>
  <c r="U11" i="33"/>
  <c r="M67" i="33"/>
  <c r="L67" i="33"/>
  <c r="K67" i="33"/>
  <c r="J67" i="33"/>
  <c r="I67" i="33"/>
  <c r="H67" i="33"/>
  <c r="G67" i="33"/>
  <c r="F67" i="33"/>
  <c r="E67" i="33"/>
  <c r="D67" i="33"/>
  <c r="C67" i="33"/>
  <c r="G66" i="33"/>
  <c r="H66" i="33"/>
  <c r="I66" i="33" s="1"/>
  <c r="J10" i="33"/>
  <c r="W10" i="33" s="1"/>
  <c r="AC10" i="33"/>
  <c r="C63" i="33"/>
  <c r="H9" i="33" s="1"/>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c r="H40" i="33"/>
  <c r="U40" i="33" s="1"/>
  <c r="Q39" i="33"/>
  <c r="Z39" i="33" s="1"/>
  <c r="Q38" i="33"/>
  <c r="Z38" i="33" s="1"/>
  <c r="J38" i="33"/>
  <c r="H38" i="33"/>
  <c r="F38" i="33"/>
  <c r="Q37" i="33"/>
  <c r="Z37" i="33"/>
  <c r="Q36" i="33"/>
  <c r="Z36" i="33" s="1"/>
  <c r="Q35" i="33"/>
  <c r="Z35" i="33" s="1"/>
  <c r="H35" i="33"/>
  <c r="AB35" i="33" s="1"/>
  <c r="F35" i="33"/>
  <c r="Q34" i="33"/>
  <c r="Z34" i="33" s="1"/>
  <c r="H34" i="33"/>
  <c r="AB34" i="33"/>
  <c r="F34" i="33"/>
  <c r="AA34" i="33" s="1"/>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s="1"/>
  <c r="Q12" i="33"/>
  <c r="Z12" i="33" s="1"/>
  <c r="J12" i="33"/>
  <c r="W12" i="33" s="1"/>
  <c r="H12" i="33"/>
  <c r="F12" i="33"/>
  <c r="S12" i="33" s="1"/>
  <c r="Q11" i="33"/>
  <c r="Z11" i="33" s="1"/>
  <c r="Q10" i="33"/>
  <c r="Z10" i="33" s="1"/>
  <c r="F10" i="33"/>
  <c r="AA10" i="33"/>
  <c r="Q9" i="33"/>
  <c r="Z9" i="33" s="1"/>
  <c r="J8" i="33"/>
  <c r="AC8" i="33" s="1"/>
  <c r="H8" i="33"/>
  <c r="F8" i="33"/>
  <c r="M102" i="21"/>
  <c r="D102" i="21"/>
  <c r="E102" i="21"/>
  <c r="F102" i="21"/>
  <c r="G102" i="21"/>
  <c r="H102" i="21"/>
  <c r="I102" i="21"/>
  <c r="J102" i="21"/>
  <c r="K102" i="21"/>
  <c r="L102" i="21"/>
  <c r="C102" i="21"/>
  <c r="C63" i="21"/>
  <c r="J9" i="21" s="1"/>
  <c r="W9" i="21" s="1"/>
  <c r="F9" i="21"/>
  <c r="S9" i="21" s="1"/>
  <c r="G18" i="20"/>
  <c r="B88" i="43"/>
  <c r="G19" i="20"/>
  <c r="C23" i="40" s="1"/>
  <c r="G16" i="20"/>
  <c r="B82" i="43"/>
  <c r="G15" i="20"/>
  <c r="B81" i="43" s="1"/>
  <c r="C24" i="20"/>
  <c r="B73" i="43"/>
  <c r="C21" i="20"/>
  <c r="C27" i="39" s="1"/>
  <c r="C20" i="20"/>
  <c r="B77" i="43"/>
  <c r="C18" i="20"/>
  <c r="B71" i="43" s="1"/>
  <c r="C17" i="20"/>
  <c r="B59" i="43"/>
  <c r="C16" i="20"/>
  <c r="B48" i="43" s="1"/>
  <c r="C15" i="20"/>
  <c r="B70" i="43"/>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c r="I108" i="21"/>
  <c r="J108" i="21" s="1"/>
  <c r="K108" i="21" s="1"/>
  <c r="L108" i="21" s="1"/>
  <c r="M108" i="21" s="1"/>
  <c r="D106" i="21"/>
  <c r="D101" i="21"/>
  <c r="D89" i="21"/>
  <c r="E89" i="21" s="1"/>
  <c r="D67" i="21"/>
  <c r="E67" i="21"/>
  <c r="F67" i="21"/>
  <c r="G67" i="21"/>
  <c r="H67" i="21"/>
  <c r="I67" i="21"/>
  <c r="J67" i="21"/>
  <c r="K67" i="21"/>
  <c r="L67" i="21"/>
  <c r="M67" i="21"/>
  <c r="C67" i="21"/>
  <c r="D69" i="21"/>
  <c r="E69" i="21"/>
  <c r="F69" i="21" s="1"/>
  <c r="G69" i="21" s="1"/>
  <c r="H69" i="21" s="1"/>
  <c r="I69" i="21" s="1"/>
  <c r="J69" i="21" s="1"/>
  <c r="K69" i="21" s="1"/>
  <c r="L69" i="21"/>
  <c r="M69" i="21" s="1"/>
  <c r="D66" i="21"/>
  <c r="E66" i="21" s="1"/>
  <c r="F66" i="21" s="1"/>
  <c r="G66" i="21" s="1"/>
  <c r="H66" i="21" s="1"/>
  <c r="I66" i="21" s="1"/>
  <c r="D111" i="21"/>
  <c r="E111" i="21"/>
  <c r="F111" i="21"/>
  <c r="C111" i="21"/>
  <c r="D79" i="21"/>
  <c r="E79" i="21" s="1"/>
  <c r="F79" i="21" s="1"/>
  <c r="G79" i="21" s="1"/>
  <c r="D85" i="21"/>
  <c r="D81" i="21"/>
  <c r="D77" i="21"/>
  <c r="B130" i="21"/>
  <c r="B128" i="21"/>
  <c r="J45" i="21" s="1"/>
  <c r="B126" i="21"/>
  <c r="B98" i="21"/>
  <c r="B96" i="21"/>
  <c r="H30" i="21" s="1"/>
  <c r="AB30" i="21" s="1"/>
  <c r="B94" i="21"/>
  <c r="B92" i="21"/>
  <c r="J28" i="21" s="1"/>
  <c r="W28" i="21" s="1"/>
  <c r="B90" i="21"/>
  <c r="B74" i="21"/>
  <c r="B72" i="21"/>
  <c r="B70" i="21"/>
  <c r="F12" i="21" s="1"/>
  <c r="AA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AC39" i="21" s="1"/>
  <c r="Q39" i="21"/>
  <c r="Z39" i="21"/>
  <c r="Q40" i="21"/>
  <c r="Z40" i="21" s="1"/>
  <c r="Q41" i="21"/>
  <c r="Z41" i="21"/>
  <c r="Q42" i="21"/>
  <c r="Z42" i="21" s="1"/>
  <c r="Q43" i="21"/>
  <c r="Z43" i="21"/>
  <c r="Q44" i="21"/>
  <c r="Z44" i="21" s="1"/>
  <c r="Q45" i="21"/>
  <c r="Z45" i="21"/>
  <c r="Q46" i="21"/>
  <c r="Z46" i="21" s="1"/>
  <c r="P47" i="21"/>
  <c r="R47" i="21"/>
  <c r="T47" i="21"/>
  <c r="V47" i="21"/>
  <c r="P48" i="21"/>
  <c r="P49" i="21"/>
  <c r="F8" i="21"/>
  <c r="AA8" i="21" s="1"/>
  <c r="E10" i="11"/>
  <c r="E9" i="11"/>
  <c r="H38" i="21"/>
  <c r="U38" i="21" s="1"/>
  <c r="F38" i="21"/>
  <c r="F36" i="21"/>
  <c r="S36" i="21" s="1"/>
  <c r="F39" i="21"/>
  <c r="S39" i="21" s="1"/>
  <c r="H35" i="21"/>
  <c r="AB35" i="21" s="1"/>
  <c r="J8" i="2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2" i="21"/>
  <c r="AC12" i="21" s="1"/>
  <c r="H12" i="21"/>
  <c r="AB12" i="21" s="1"/>
  <c r="AB41" i="21"/>
  <c r="U41" i="21"/>
  <c r="S41" i="21"/>
  <c r="AA41" i="21"/>
  <c r="W41" i="21"/>
  <c r="F45" i="39"/>
  <c r="J45" i="39"/>
  <c r="J44" i="39"/>
  <c r="S8" i="39"/>
  <c r="U38" i="39"/>
  <c r="H32" i="37"/>
  <c r="AB32" i="37"/>
  <c r="W31" i="37"/>
  <c r="F39" i="37"/>
  <c r="S39" i="37"/>
  <c r="S30" i="37"/>
  <c r="F29" i="36"/>
  <c r="AA29" i="36" s="1"/>
  <c r="F16" i="36"/>
  <c r="AA16" i="36" s="1"/>
  <c r="S16" i="36"/>
  <c r="U22" i="36"/>
  <c r="W23" i="36"/>
  <c r="W22" i="36"/>
  <c r="AA31" i="36"/>
  <c r="W31" i="36"/>
  <c r="U31" i="36"/>
  <c r="J33" i="36"/>
  <c r="W33" i="36" s="1"/>
  <c r="AB34" i="36"/>
  <c r="H22" i="35"/>
  <c r="AB22" i="35" s="1"/>
  <c r="U31" i="35"/>
  <c r="S32" i="35"/>
  <c r="S31" i="35"/>
  <c r="W31" i="35"/>
  <c r="U32" i="35"/>
  <c r="F36" i="34"/>
  <c r="U39" i="34"/>
  <c r="H39" i="33"/>
  <c r="AB39" i="33"/>
  <c r="F26" i="33"/>
  <c r="AA26" i="33" s="1"/>
  <c r="S40" i="33"/>
  <c r="H39" i="37"/>
  <c r="S27" i="35"/>
  <c r="F11" i="40"/>
  <c r="AA11" i="40"/>
  <c r="S8" i="40"/>
  <c r="H11" i="40"/>
  <c r="W8" i="40"/>
  <c r="U9" i="40"/>
  <c r="S34" i="40"/>
  <c r="U34" i="40"/>
  <c r="F42" i="39"/>
  <c r="S42" i="39" s="1"/>
  <c r="F41" i="39"/>
  <c r="AA41" i="39" s="1"/>
  <c r="H40" i="39"/>
  <c r="AB40" i="39"/>
  <c r="H39" i="39"/>
  <c r="U39" i="39" s="1"/>
  <c r="H34" i="39"/>
  <c r="AB34" i="39"/>
  <c r="E109" i="39"/>
  <c r="F109" i="39"/>
  <c r="E103" i="39"/>
  <c r="H19" i="39"/>
  <c r="AB19" i="39" s="1"/>
  <c r="F19" i="39"/>
  <c r="S19" i="39"/>
  <c r="H17" i="39"/>
  <c r="U17" i="39" s="1"/>
  <c r="F17" i="39"/>
  <c r="AA17" i="39"/>
  <c r="J23" i="40"/>
  <c r="AC23" i="40" s="1"/>
  <c r="H42" i="39"/>
  <c r="AB42" i="39"/>
  <c r="J34" i="39"/>
  <c r="AC34" i="39" s="1"/>
  <c r="G109" i="39"/>
  <c r="H109" i="39" s="1"/>
  <c r="I109" i="39" s="1"/>
  <c r="J109" i="39" s="1"/>
  <c r="K109" i="39" s="1"/>
  <c r="L109" i="39" s="1"/>
  <c r="M109" i="39" s="1"/>
  <c r="F103" i="39"/>
  <c r="G103" i="39" s="1"/>
  <c r="H29" i="39"/>
  <c r="J19" i="39"/>
  <c r="AC19" i="39"/>
  <c r="J17" i="39"/>
  <c r="W17" i="39" s="1"/>
  <c r="J29" i="39"/>
  <c r="AC29" i="39" s="1"/>
  <c r="F29" i="39"/>
  <c r="AA29" i="39" s="1"/>
  <c r="F11" i="21"/>
  <c r="S11" i="21" s="1"/>
  <c r="C25" i="39"/>
  <c r="C21" i="39"/>
  <c r="H11" i="39"/>
  <c r="AB11" i="39"/>
  <c r="AB39" i="39"/>
  <c r="H11" i="21"/>
  <c r="U11" i="21" s="1"/>
  <c r="J11" i="21"/>
  <c r="AC11" i="21" s="1"/>
  <c r="H36" i="40"/>
  <c r="U36" i="40"/>
  <c r="F35" i="40"/>
  <c r="S35" i="40"/>
  <c r="J30" i="40"/>
  <c r="W30" i="40"/>
  <c r="F30" i="40"/>
  <c r="AA30" i="40"/>
  <c r="F96" i="40"/>
  <c r="G96" i="40"/>
  <c r="H96" i="40" s="1"/>
  <c r="I96" i="40" s="1"/>
  <c r="J96" i="40" s="1"/>
  <c r="K96" i="40"/>
  <c r="L96" i="40" s="1"/>
  <c r="M96" i="40" s="1"/>
  <c r="H27" i="40"/>
  <c r="U27" i="40"/>
  <c r="H23" i="40"/>
  <c r="AB23" i="40"/>
  <c r="J11" i="40"/>
  <c r="W11" i="40"/>
  <c r="AA12" i="33"/>
  <c r="S44" i="39"/>
  <c r="F37" i="39"/>
  <c r="S37" i="39" s="1"/>
  <c r="J34" i="36"/>
  <c r="W34" i="36"/>
  <c r="U30" i="36"/>
  <c r="F22" i="35"/>
  <c r="AA22" i="35"/>
  <c r="H10" i="35"/>
  <c r="AB29" i="36"/>
  <c r="F33" i="36"/>
  <c r="S33" i="36"/>
  <c r="F85" i="36"/>
  <c r="G85" i="36" s="1"/>
  <c r="H85" i="36" s="1"/>
  <c r="I85" i="36" s="1"/>
  <c r="J85" i="36" s="1"/>
  <c r="K85" i="36" s="1"/>
  <c r="L85" i="36" s="1"/>
  <c r="M85" i="36" s="1"/>
  <c r="J29" i="36"/>
  <c r="AC29" i="36"/>
  <c r="F12" i="36"/>
  <c r="AA12" i="36" s="1"/>
  <c r="F34" i="36"/>
  <c r="AA34" i="36"/>
  <c r="H20" i="36"/>
  <c r="U20" i="36" s="1"/>
  <c r="J20" i="36"/>
  <c r="W20" i="36"/>
  <c r="AB8" i="36"/>
  <c r="F14" i="35"/>
  <c r="F23" i="35"/>
  <c r="AA23" i="35"/>
  <c r="J32" i="35"/>
  <c r="J16" i="35"/>
  <c r="W16" i="35" s="1"/>
  <c r="H14" i="35"/>
  <c r="AB14" i="35" s="1"/>
  <c r="H33" i="35"/>
  <c r="S8" i="35"/>
  <c r="J20" i="35"/>
  <c r="AC20" i="35" s="1"/>
  <c r="W20" i="35"/>
  <c r="H20" i="35"/>
  <c r="U20" i="35"/>
  <c r="F20" i="35"/>
  <c r="AA20" i="35"/>
  <c r="E101" i="37"/>
  <c r="F101" i="37"/>
  <c r="G101" i="37"/>
  <c r="H101" i="37"/>
  <c r="I101" i="37" s="1"/>
  <c r="J101" i="37" s="1"/>
  <c r="K101" i="37" s="1"/>
  <c r="L101" i="37" s="1"/>
  <c r="M101" i="37" s="1"/>
  <c r="J34" i="37"/>
  <c r="W34" i="37" s="1"/>
  <c r="AA39" i="37"/>
  <c r="J43" i="34"/>
  <c r="AC43" i="34"/>
  <c r="H43" i="34"/>
  <c r="AB43" i="34"/>
  <c r="U42" i="34"/>
  <c r="F118" i="34"/>
  <c r="G118" i="34" s="1"/>
  <c r="H40" i="34"/>
  <c r="U40" i="34"/>
  <c r="E114" i="34"/>
  <c r="F38" i="34"/>
  <c r="AA38" i="34" s="1"/>
  <c r="F114" i="34"/>
  <c r="G114" i="34" s="1"/>
  <c r="H114" i="34"/>
  <c r="I114" i="34"/>
  <c r="J114" i="34" s="1"/>
  <c r="K114" i="34" s="1"/>
  <c r="L114" i="34" s="1"/>
  <c r="M114" i="34" s="1"/>
  <c r="J19" i="34"/>
  <c r="W19" i="34"/>
  <c r="J15" i="34"/>
  <c r="AC15" i="34" s="1"/>
  <c r="H15" i="34"/>
  <c r="J10" i="34"/>
  <c r="W10" i="34" s="1"/>
  <c r="H10" i="34"/>
  <c r="AB10" i="34" s="1"/>
  <c r="F41" i="33"/>
  <c r="S41" i="33" s="1"/>
  <c r="J34" i="33"/>
  <c r="F36" i="33"/>
  <c r="S36" i="33" s="1"/>
  <c r="F25" i="33"/>
  <c r="S25" i="33" s="1"/>
  <c r="AA25" i="33"/>
  <c r="J25" i="33"/>
  <c r="AC25" i="33" s="1"/>
  <c r="H25" i="33"/>
  <c r="AB25" i="33" s="1"/>
  <c r="J23" i="33"/>
  <c r="AC23" i="33" s="1"/>
  <c r="F23" i="33"/>
  <c r="AA23" i="33"/>
  <c r="H23" i="33"/>
  <c r="F19" i="33"/>
  <c r="S19" i="33"/>
  <c r="J19" i="33"/>
  <c r="W19" i="33" s="1"/>
  <c r="J17" i="33"/>
  <c r="AC17" i="33"/>
  <c r="H17" i="33"/>
  <c r="AB17" i="33" s="1"/>
  <c r="J15" i="33"/>
  <c r="AC15" i="33"/>
  <c r="F11" i="33"/>
  <c r="AA11" i="33" s="1"/>
  <c r="H10" i="33"/>
  <c r="U10" i="33"/>
  <c r="S26" i="33"/>
  <c r="F37" i="40"/>
  <c r="AA37" i="40" s="1"/>
  <c r="F36" i="40"/>
  <c r="AA36" i="40" s="1"/>
  <c r="J27" i="40"/>
  <c r="W27" i="40" s="1"/>
  <c r="F27" i="40"/>
  <c r="F23" i="40"/>
  <c r="AA23" i="40" s="1"/>
  <c r="AC11" i="40"/>
  <c r="AB30" i="36"/>
  <c r="AC34" i="36"/>
  <c r="F29" i="35"/>
  <c r="S29" i="35"/>
  <c r="U34" i="37"/>
  <c r="AB42" i="34"/>
  <c r="H38" i="34"/>
  <c r="F113" i="33"/>
  <c r="G113" i="33" s="1"/>
  <c r="H113" i="33"/>
  <c r="I113" i="33" s="1"/>
  <c r="J113" i="33" s="1"/>
  <c r="K113" i="33" s="1"/>
  <c r="L113" i="33" s="1"/>
  <c r="M113" i="33" s="1"/>
  <c r="H37" i="33"/>
  <c r="AB37" i="33" s="1"/>
  <c r="AA37" i="33"/>
  <c r="H36" i="33"/>
  <c r="U36" i="33" s="1"/>
  <c r="F17" i="33"/>
  <c r="AA17" i="33"/>
  <c r="H15" i="33"/>
  <c r="AB15" i="33" s="1"/>
  <c r="AB11" i="33"/>
  <c r="AC42" i="34"/>
  <c r="W42" i="34"/>
  <c r="AA42" i="34"/>
  <c r="S42" i="34"/>
  <c r="W38" i="34"/>
  <c r="J37" i="33"/>
  <c r="AC37" i="33"/>
  <c r="J36" i="33"/>
  <c r="W36" i="33" s="1"/>
  <c r="AC36" i="33"/>
  <c r="J11" i="33"/>
  <c r="AC11" i="33"/>
  <c r="J10" i="35"/>
  <c r="AC10" i="35"/>
  <c r="F14" i="21"/>
  <c r="S14" i="21" s="1"/>
  <c r="H28" i="21"/>
  <c r="AB28" i="21" s="1"/>
  <c r="F28" i="21"/>
  <c r="AA28" i="21" s="1"/>
  <c r="F30" i="21"/>
  <c r="J30" i="21"/>
  <c r="W30" i="21" s="1"/>
  <c r="J44" i="21"/>
  <c r="H44" i="21"/>
  <c r="U44" i="21"/>
  <c r="F44" i="21"/>
  <c r="AA44" i="21" s="1"/>
  <c r="J46" i="21"/>
  <c r="W46" i="21" s="1"/>
  <c r="E119" i="21"/>
  <c r="F119" i="21" s="1"/>
  <c r="G119" i="21" s="1"/>
  <c r="H119" i="21" s="1"/>
  <c r="I119" i="21" s="1"/>
  <c r="J119" i="21" s="1"/>
  <c r="K119" i="21" s="1"/>
  <c r="L119" i="21" s="1"/>
  <c r="M119" i="21" s="1"/>
  <c r="H28" i="33"/>
  <c r="AB28" i="33" s="1"/>
  <c r="U28" i="33"/>
  <c r="S28" i="33"/>
  <c r="J28" i="33"/>
  <c r="AC28" i="33" s="1"/>
  <c r="F33" i="35"/>
  <c r="S33" i="35"/>
  <c r="J33" i="35"/>
  <c r="AC33" i="35" s="1"/>
  <c r="F30" i="35"/>
  <c r="S30" i="35"/>
  <c r="E89" i="35"/>
  <c r="F89" i="35" s="1"/>
  <c r="G89" i="35" s="1"/>
  <c r="H89" i="35" s="1"/>
  <c r="I89" i="35"/>
  <c r="J89" i="35" s="1"/>
  <c r="K89" i="35" s="1"/>
  <c r="L89" i="35" s="1"/>
  <c r="M89" i="35" s="1"/>
  <c r="H10" i="36"/>
  <c r="AB10" i="36" s="1"/>
  <c r="J83" i="36"/>
  <c r="K83" i="36" s="1"/>
  <c r="L83" i="36" s="1"/>
  <c r="M83" i="36" s="1"/>
  <c r="F28" i="36"/>
  <c r="AA28" i="36"/>
  <c r="J13" i="33"/>
  <c r="H13" i="33"/>
  <c r="AB13" i="33"/>
  <c r="F13" i="33"/>
  <c r="S13" i="33" s="1"/>
  <c r="J29" i="33"/>
  <c r="H29" i="33"/>
  <c r="U29" i="33"/>
  <c r="F29" i="33"/>
  <c r="S29" i="33"/>
  <c r="J31" i="33"/>
  <c r="W31" i="33"/>
  <c r="AB31" i="33"/>
  <c r="F31" i="33"/>
  <c r="AA31" i="33" s="1"/>
  <c r="H45" i="33"/>
  <c r="U45" i="33"/>
  <c r="J45" i="33"/>
  <c r="W45" i="33" s="1"/>
  <c r="F45" i="33"/>
  <c r="S45" i="33"/>
  <c r="J14" i="34"/>
  <c r="F14" i="34"/>
  <c r="H14" i="34"/>
  <c r="U14" i="34" s="1"/>
  <c r="H30" i="34"/>
  <c r="F30" i="34"/>
  <c r="S30" i="34"/>
  <c r="J30" i="34"/>
  <c r="W30" i="34" s="1"/>
  <c r="H32" i="34"/>
  <c r="AB32" i="34" s="1"/>
  <c r="F32" i="34"/>
  <c r="S32" i="34"/>
  <c r="J32" i="34"/>
  <c r="W32" i="34"/>
  <c r="H46" i="34"/>
  <c r="U46" i="34"/>
  <c r="S46" i="34"/>
  <c r="J46" i="34"/>
  <c r="W46" i="34"/>
  <c r="J11" i="35"/>
  <c r="AC11" i="35" s="1"/>
  <c r="J26" i="36"/>
  <c r="W26" i="36"/>
  <c r="H28" i="36"/>
  <c r="U28" i="36"/>
  <c r="H32" i="36"/>
  <c r="U32" i="36" s="1"/>
  <c r="AB32" i="36"/>
  <c r="J32" i="36"/>
  <c r="W32" i="36"/>
  <c r="J11" i="36"/>
  <c r="W11" i="36"/>
  <c r="AB11" i="36"/>
  <c r="F11" i="36"/>
  <c r="AA11" i="36"/>
  <c r="H36" i="37"/>
  <c r="H37" i="37"/>
  <c r="U37" i="37"/>
  <c r="AC12" i="40"/>
  <c r="W12" i="40"/>
  <c r="H30" i="33"/>
  <c r="AB30" i="33"/>
  <c r="F30" i="33"/>
  <c r="S30" i="33"/>
  <c r="J30" i="33"/>
  <c r="AC30" i="33"/>
  <c r="J46" i="33"/>
  <c r="W46" i="33" s="1"/>
  <c r="F46" i="33"/>
  <c r="AA46" i="33"/>
  <c r="H46" i="33"/>
  <c r="AB46" i="33" s="1"/>
  <c r="J13" i="34"/>
  <c r="W13" i="34" s="1"/>
  <c r="J29" i="34"/>
  <c r="AC29" i="34"/>
  <c r="F29" i="34"/>
  <c r="S29" i="34"/>
  <c r="H29" i="34"/>
  <c r="U29" i="34"/>
  <c r="H45" i="34"/>
  <c r="U45" i="34" s="1"/>
  <c r="J45" i="34"/>
  <c r="W45" i="34"/>
  <c r="F45" i="34"/>
  <c r="S45" i="34" s="1"/>
  <c r="F13" i="35"/>
  <c r="S13" i="35"/>
  <c r="J13" i="35"/>
  <c r="AC13" i="35"/>
  <c r="H13" i="35"/>
  <c r="U13" i="35"/>
  <c r="J35" i="35"/>
  <c r="F35" i="35"/>
  <c r="AA35" i="35"/>
  <c r="H35" i="35"/>
  <c r="AB35" i="35" s="1"/>
  <c r="F25" i="36"/>
  <c r="S25" i="36" s="1"/>
  <c r="H13" i="37"/>
  <c r="AB13" i="37" s="1"/>
  <c r="U13" i="37"/>
  <c r="F13" i="37"/>
  <c r="S13" i="37"/>
  <c r="J13" i="37"/>
  <c r="W13" i="37"/>
  <c r="H38" i="37"/>
  <c r="AC38" i="37"/>
  <c r="F38" i="37"/>
  <c r="S38" i="37"/>
  <c r="H43" i="39"/>
  <c r="U43" i="39" s="1"/>
  <c r="J14" i="39"/>
  <c r="W14" i="39"/>
  <c r="H14" i="39"/>
  <c r="F12" i="40"/>
  <c r="AA12" i="40"/>
  <c r="H12" i="40"/>
  <c r="AB12" i="40" s="1"/>
  <c r="H30" i="40"/>
  <c r="AB30" i="40" s="1"/>
  <c r="F33" i="40"/>
  <c r="AA33" i="40" s="1"/>
  <c r="H33" i="40"/>
  <c r="AB33" i="40" s="1"/>
  <c r="J35" i="40"/>
  <c r="AC35" i="40" s="1"/>
  <c r="H13" i="40"/>
  <c r="J13" i="40"/>
  <c r="W13" i="40"/>
  <c r="F13" i="40"/>
  <c r="F13" i="39"/>
  <c r="AA13" i="39" s="1"/>
  <c r="J13" i="39"/>
  <c r="H13" i="39"/>
  <c r="U13" i="39" s="1"/>
  <c r="H14" i="40"/>
  <c r="AB14" i="40"/>
  <c r="J14" i="40"/>
  <c r="W14" i="40" s="1"/>
  <c r="F14" i="40"/>
  <c r="AA14" i="40" s="1"/>
  <c r="W13" i="35"/>
  <c r="AB37" i="37"/>
  <c r="W30" i="33"/>
  <c r="AC32" i="34"/>
  <c r="J10" i="36"/>
  <c r="S46" i="33"/>
  <c r="AC11" i="36"/>
  <c r="AB45" i="33"/>
  <c r="U31" i="33"/>
  <c r="S19" i="21"/>
  <c r="J41" i="39"/>
  <c r="W41" i="39" s="1"/>
  <c r="S508" i="31"/>
  <c r="S506" i="31"/>
  <c r="S504" i="31"/>
  <c r="S502" i="31"/>
  <c r="O30" i="31"/>
  <c r="O31" i="31"/>
  <c r="O29" i="31"/>
  <c r="M30" i="31"/>
  <c r="M31" i="31"/>
  <c r="M29" i="31"/>
  <c r="E15" i="31"/>
  <c r="F15" i="31"/>
  <c r="G15" i="31"/>
  <c r="H15" i="31" s="1"/>
  <c r="I15" i="31" s="1"/>
  <c r="J15" i="31" s="1"/>
  <c r="K15" i="31" s="1"/>
  <c r="L15" i="31" s="1"/>
  <c r="M15" i="31" s="1"/>
  <c r="N15" i="31" s="1"/>
  <c r="O15" i="31" s="1"/>
  <c r="P15" i="31" s="1"/>
  <c r="Q15" i="31" s="1"/>
  <c r="R15" i="31" s="1"/>
  <c r="S15" i="31" s="1"/>
  <c r="Q29" i="31"/>
  <c r="K29" i="31"/>
  <c r="Q30" i="31"/>
  <c r="K30" i="31"/>
  <c r="Q31" i="31"/>
  <c r="K31" i="31"/>
  <c r="S12" i="21"/>
  <c r="H25" i="21"/>
  <c r="U25" i="21" s="1"/>
  <c r="F25" i="21"/>
  <c r="S25" i="21" s="1"/>
  <c r="J25" i="21"/>
  <c r="AC25" i="21" s="1"/>
  <c r="H17" i="37"/>
  <c r="U17" i="37" s="1"/>
  <c r="F23" i="37"/>
  <c r="F32" i="37"/>
  <c r="S32" i="37" s="1"/>
  <c r="F39" i="33"/>
  <c r="AA39" i="33" s="1"/>
  <c r="F42" i="33"/>
  <c r="AA42" i="33"/>
  <c r="F14" i="36"/>
  <c r="AA14" i="36" s="1"/>
  <c r="F22" i="36"/>
  <c r="AA22" i="36"/>
  <c r="F26" i="36"/>
  <c r="AA26" i="36" s="1"/>
  <c r="H27" i="34"/>
  <c r="U27" i="34"/>
  <c r="H35" i="34"/>
  <c r="F41" i="34"/>
  <c r="S41" i="34"/>
  <c r="H41" i="34"/>
  <c r="U41" i="34" s="1"/>
  <c r="J41" i="34"/>
  <c r="AC41" i="34"/>
  <c r="F10" i="35"/>
  <c r="AA10" i="35" s="1"/>
  <c r="H23" i="37"/>
  <c r="AB23" i="37"/>
  <c r="J32" i="37"/>
  <c r="F36" i="37"/>
  <c r="AA36" i="37"/>
  <c r="F37" i="37"/>
  <c r="AA37" i="37" s="1"/>
  <c r="F31" i="40"/>
  <c r="AA31" i="40"/>
  <c r="H31" i="40"/>
  <c r="U31" i="40" s="1"/>
  <c r="H32" i="40"/>
  <c r="U32" i="40"/>
  <c r="J36" i="40"/>
  <c r="W36" i="40"/>
  <c r="AB32" i="40"/>
  <c r="S36" i="37"/>
  <c r="U23" i="37"/>
  <c r="H42" i="33"/>
  <c r="U42" i="33"/>
  <c r="J23" i="37"/>
  <c r="W23" i="37" s="1"/>
  <c r="S30" i="31"/>
  <c r="AC33" i="36"/>
  <c r="AB20" i="35"/>
  <c r="AC8" i="37"/>
  <c r="S25" i="37"/>
  <c r="AB8" i="34"/>
  <c r="AA13" i="33"/>
  <c r="AC31" i="33"/>
  <c r="AA30" i="33"/>
  <c r="AB10" i="33"/>
  <c r="S11" i="33"/>
  <c r="W38" i="37"/>
  <c r="H19" i="34"/>
  <c r="F36" i="35"/>
  <c r="AA36" i="35"/>
  <c r="J9" i="37"/>
  <c r="AB9" i="37"/>
  <c r="F9" i="37"/>
  <c r="AA9" i="37"/>
  <c r="F11" i="37"/>
  <c r="S11" i="37"/>
  <c r="J42" i="39"/>
  <c r="AC42" i="39"/>
  <c r="AB27" i="40"/>
  <c r="C12" i="43"/>
  <c r="D15" i="47"/>
  <c r="F15" i="47" s="1"/>
  <c r="B13" i="47" s="1"/>
  <c r="D17" i="47"/>
  <c r="D19" i="47"/>
  <c r="D21" i="47"/>
  <c r="D23" i="47"/>
  <c r="D27" i="47"/>
  <c r="D33" i="47"/>
  <c r="D37" i="47"/>
  <c r="D39" i="47"/>
  <c r="F37" i="47" s="1"/>
  <c r="B35" i="47" s="1"/>
  <c r="D41" i="47"/>
  <c r="D43" i="47"/>
  <c r="D16" i="47"/>
  <c r="D18" i="47"/>
  <c r="D20" i="47"/>
  <c r="D22" i="47"/>
  <c r="D26" i="47"/>
  <c r="D28" i="47"/>
  <c r="D30" i="47"/>
  <c r="D32" i="47"/>
  <c r="D34" i="47"/>
  <c r="D38" i="47"/>
  <c r="D40" i="47"/>
  <c r="D42" i="47"/>
  <c r="D44" i="47"/>
  <c r="D9" i="47"/>
  <c r="D8" i="47"/>
  <c r="F4" i="47"/>
  <c r="B2" i="47" s="1"/>
  <c r="D6" i="47"/>
  <c r="H19" i="40"/>
  <c r="AB19" i="40"/>
  <c r="F19" i="40"/>
  <c r="S19" i="40" s="1"/>
  <c r="S17" i="39"/>
  <c r="U45" i="39"/>
  <c r="AB45" i="39"/>
  <c r="AB44" i="39"/>
  <c r="H37" i="39"/>
  <c r="U37" i="39"/>
  <c r="H25" i="39"/>
  <c r="AB25" i="39" s="1"/>
  <c r="J25" i="39"/>
  <c r="W25" i="39" s="1"/>
  <c r="F25" i="39"/>
  <c r="F15" i="39"/>
  <c r="S15" i="39" s="1"/>
  <c r="H15" i="39"/>
  <c r="U15" i="39"/>
  <c r="J15" i="39"/>
  <c r="W15" i="39" s="1"/>
  <c r="H41" i="39"/>
  <c r="AB41" i="39"/>
  <c r="F11" i="39"/>
  <c r="AA11" i="39" s="1"/>
  <c r="H21" i="39"/>
  <c r="U21" i="39" s="1"/>
  <c r="F32" i="39"/>
  <c r="S32" i="39" s="1"/>
  <c r="W29" i="39"/>
  <c r="W19" i="39"/>
  <c r="U34" i="39"/>
  <c r="S41" i="39"/>
  <c r="W39" i="39"/>
  <c r="W8" i="39"/>
  <c r="W21" i="39"/>
  <c r="J11" i="39"/>
  <c r="AC11" i="39" s="1"/>
  <c r="W11" i="39"/>
  <c r="J32" i="39"/>
  <c r="AC32" i="39"/>
  <c r="AA15" i="39"/>
  <c r="E66" i="39"/>
  <c r="E61" i="40"/>
  <c r="F34" i="43"/>
  <c r="H55" i="39"/>
  <c r="S30" i="40"/>
  <c r="G60" i="40"/>
  <c r="C60" i="40"/>
  <c r="H16" i="44"/>
  <c r="D17" i="43"/>
  <c r="I17" i="43"/>
  <c r="D108" i="9"/>
  <c r="F22" i="43"/>
  <c r="B56" i="60"/>
  <c r="G22" i="43"/>
  <c r="E22" i="43"/>
  <c r="H14" i="44"/>
  <c r="B57" i="60"/>
  <c r="W40" i="39"/>
  <c r="S39" i="34"/>
  <c r="AC10" i="34"/>
  <c r="AB12" i="34"/>
  <c r="H23" i="34"/>
  <c r="AB23" i="34" s="1"/>
  <c r="F33" i="34"/>
  <c r="S33" i="34" s="1"/>
  <c r="H36" i="34"/>
  <c r="AB36" i="34" s="1"/>
  <c r="F35" i="34"/>
  <c r="AA35" i="34" s="1"/>
  <c r="F107" i="34"/>
  <c r="G107" i="34" s="1"/>
  <c r="H107" i="34"/>
  <c r="I107" i="34" s="1"/>
  <c r="J107" i="34" s="1"/>
  <c r="K107" i="34" s="1"/>
  <c r="L107" i="34" s="1"/>
  <c r="M107" i="34"/>
  <c r="J35" i="34"/>
  <c r="AC35" i="34" s="1"/>
  <c r="F27" i="34"/>
  <c r="S27" i="34"/>
  <c r="W34" i="34"/>
  <c r="J33" i="34"/>
  <c r="W33" i="34" s="1"/>
  <c r="J37" i="34"/>
  <c r="W37" i="34" s="1"/>
  <c r="S23" i="34"/>
  <c r="AB33" i="34"/>
  <c r="J26" i="35"/>
  <c r="W26" i="35"/>
  <c r="F26" i="35"/>
  <c r="AA26" i="35" s="1"/>
  <c r="H26" i="35"/>
  <c r="U26" i="35"/>
  <c r="K145" i="21"/>
  <c r="K144" i="21"/>
  <c r="K141" i="21"/>
  <c r="K143" i="21"/>
  <c r="B101" i="9"/>
  <c r="F23" i="21"/>
  <c r="AA23" i="21" s="1"/>
  <c r="H23" i="21"/>
  <c r="U23" i="21" s="1"/>
  <c r="F17" i="21"/>
  <c r="J17" i="21"/>
  <c r="AC17" i="21" s="1"/>
  <c r="H17" i="21"/>
  <c r="AB17" i="21" s="1"/>
  <c r="J15" i="21"/>
  <c r="W15" i="21" s="1"/>
  <c r="AC35" i="21"/>
  <c r="H102" i="57"/>
  <c r="A131" i="9"/>
  <c r="A134" i="57"/>
  <c r="B102" i="57"/>
  <c r="C111" i="57"/>
  <c r="H106" i="57" s="1"/>
  <c r="D127" i="57"/>
  <c r="B113" i="43"/>
  <c r="I118" i="43" s="1"/>
  <c r="J118" i="43" s="1"/>
  <c r="K118" i="43" s="1"/>
  <c r="L118" i="43"/>
  <c r="M118" i="43" s="1"/>
  <c r="M101" i="43"/>
  <c r="M103" i="43" s="1"/>
  <c r="K101" i="43"/>
  <c r="K104" i="43" s="1"/>
  <c r="I101" i="43"/>
  <c r="G101" i="43"/>
  <c r="G107" i="43" s="1"/>
  <c r="E101" i="43"/>
  <c r="E109" i="43"/>
  <c r="C101" i="43"/>
  <c r="C104" i="43" s="1"/>
  <c r="N101" i="43"/>
  <c r="N107" i="43"/>
  <c r="L101" i="43"/>
  <c r="J101" i="43"/>
  <c r="J103" i="43" s="1"/>
  <c r="H101" i="43"/>
  <c r="H109" i="43" s="1"/>
  <c r="F101" i="43"/>
  <c r="D101" i="43"/>
  <c r="D107" i="43" s="1"/>
  <c r="S423" i="31"/>
  <c r="S375" i="31"/>
  <c r="S359" i="31"/>
  <c r="T317" i="31"/>
  <c r="T309" i="31"/>
  <c r="T301" i="31"/>
  <c r="T293" i="31"/>
  <c r="T285" i="31"/>
  <c r="T277" i="31"/>
  <c r="T269" i="31"/>
  <c r="T265" i="31"/>
  <c r="T261" i="31"/>
  <c r="S517" i="31"/>
  <c r="S113" i="31"/>
  <c r="S109" i="31"/>
  <c r="S105" i="31"/>
  <c r="S101" i="31"/>
  <c r="S81" i="31"/>
  <c r="S85" i="31"/>
  <c r="S89" i="31"/>
  <c r="S93" i="31"/>
  <c r="S97" i="31"/>
  <c r="S457" i="31"/>
  <c r="S465" i="31"/>
  <c r="S505" i="31"/>
  <c r="S437" i="31"/>
  <c r="S445" i="31"/>
  <c r="S127" i="31"/>
  <c r="S131" i="31"/>
  <c r="S143" i="31"/>
  <c r="S147" i="31"/>
  <c r="S159" i="31"/>
  <c r="S163" i="31"/>
  <c r="S175" i="31"/>
  <c r="S179" i="31"/>
  <c r="S191" i="31"/>
  <c r="S195" i="31"/>
  <c r="S207" i="31"/>
  <c r="S211" i="31"/>
  <c r="S223" i="31"/>
  <c r="S429" i="31"/>
  <c r="C113" i="57"/>
  <c r="H108" i="57" s="1"/>
  <c r="C18" i="57"/>
  <c r="D18" i="57" s="1"/>
  <c r="D47" i="15"/>
  <c r="AB12" i="37"/>
  <c r="J37" i="37"/>
  <c r="AB40" i="37"/>
  <c r="U40" i="37"/>
  <c r="S14" i="39"/>
  <c r="AB29" i="35"/>
  <c r="U29" i="35"/>
  <c r="AB21" i="39"/>
  <c r="AB46" i="34"/>
  <c r="S14" i="34"/>
  <c r="AA14" i="34"/>
  <c r="AB38" i="34"/>
  <c r="U38" i="34"/>
  <c r="F40" i="34"/>
  <c r="AA40" i="34" s="1"/>
  <c r="AB20" i="36"/>
  <c r="AC44" i="39"/>
  <c r="W44" i="39"/>
  <c r="H13" i="21"/>
  <c r="U13" i="21" s="1"/>
  <c r="J13" i="21"/>
  <c r="F13" i="21"/>
  <c r="AA13" i="21" s="1"/>
  <c r="F45" i="21"/>
  <c r="AA45" i="21"/>
  <c r="B41" i="47"/>
  <c r="AC8" i="34"/>
  <c r="W8" i="34"/>
  <c r="J9" i="34"/>
  <c r="AC9" i="34" s="1"/>
  <c r="AA19" i="34"/>
  <c r="S19" i="34"/>
  <c r="AA9" i="36"/>
  <c r="AB23" i="36"/>
  <c r="U23" i="36"/>
  <c r="J12" i="36"/>
  <c r="W12" i="36" s="1"/>
  <c r="H12" i="36"/>
  <c r="AB12" i="36"/>
  <c r="AA9" i="39"/>
  <c r="S9" i="39"/>
  <c r="AB12" i="39"/>
  <c r="U12" i="39"/>
  <c r="J12" i="39"/>
  <c r="F12" i="39"/>
  <c r="S12" i="39"/>
  <c r="F15" i="21"/>
  <c r="S15" i="21" s="1"/>
  <c r="J36" i="34"/>
  <c r="W36" i="34"/>
  <c r="J19" i="40"/>
  <c r="AC19" i="40" s="1"/>
  <c r="W9" i="39"/>
  <c r="H32" i="39"/>
  <c r="U32" i="39"/>
  <c r="F21" i="39"/>
  <c r="AA21" i="39" s="1"/>
  <c r="F31" i="37"/>
  <c r="S44" i="21"/>
  <c r="AC36" i="40"/>
  <c r="F17" i="37"/>
  <c r="AA17" i="37"/>
  <c r="AA29" i="33"/>
  <c r="AB28" i="36"/>
  <c r="U33" i="40"/>
  <c r="S12" i="40"/>
  <c r="U11" i="36"/>
  <c r="U32" i="34"/>
  <c r="AA30" i="34"/>
  <c r="H45" i="21"/>
  <c r="AB45" i="21"/>
  <c r="J14" i="36"/>
  <c r="AC14" i="36"/>
  <c r="S15" i="34"/>
  <c r="J40" i="34"/>
  <c r="AC40" i="34"/>
  <c r="H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c r="W27" i="34"/>
  <c r="AC27"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U10" i="36"/>
  <c r="W34" i="33"/>
  <c r="AC34" i="33"/>
  <c r="AA14" i="35"/>
  <c r="S14" i="35"/>
  <c r="W11" i="21"/>
  <c r="S45" i="39"/>
  <c r="AA45" i="39"/>
  <c r="H27" i="21"/>
  <c r="AB27" i="21" s="1"/>
  <c r="J27" i="21"/>
  <c r="W27" i="21" s="1"/>
  <c r="F27" i="21"/>
  <c r="AA27" i="21" s="1"/>
  <c r="J29" i="21"/>
  <c r="AC29" i="21" s="1"/>
  <c r="H29" i="21"/>
  <c r="U29" i="21"/>
  <c r="F29" i="21"/>
  <c r="J31" i="21"/>
  <c r="W31" i="21"/>
  <c r="H31" i="21"/>
  <c r="AB31" i="21" s="1"/>
  <c r="F31" i="21"/>
  <c r="H39" i="21"/>
  <c r="U39" i="21" s="1"/>
  <c r="AA9" i="21"/>
  <c r="AA15" i="33"/>
  <c r="S15" i="33"/>
  <c r="E117" i="33"/>
  <c r="F117" i="33"/>
  <c r="G117" i="33" s="1"/>
  <c r="J39" i="33"/>
  <c r="AC39" i="33"/>
  <c r="E125" i="33"/>
  <c r="H43" i="33"/>
  <c r="U43" i="33"/>
  <c r="E91" i="33"/>
  <c r="F91" i="33" s="1"/>
  <c r="G91" i="33" s="1"/>
  <c r="H91" i="33" s="1"/>
  <c r="I91" i="33" s="1"/>
  <c r="J91" i="33" s="1"/>
  <c r="K91" i="33" s="1"/>
  <c r="L91" i="33" s="1"/>
  <c r="M91" i="33" s="1"/>
  <c r="F27" i="33"/>
  <c r="S27" i="33" s="1"/>
  <c r="H41" i="33"/>
  <c r="U41" i="33"/>
  <c r="S12" i="34"/>
  <c r="AA12" i="34"/>
  <c r="S11" i="34"/>
  <c r="F80" i="34"/>
  <c r="G80" i="34" s="1"/>
  <c r="H17" i="34"/>
  <c r="U17" i="34"/>
  <c r="H16" i="35"/>
  <c r="AB16" i="35" s="1"/>
  <c r="U16" i="35"/>
  <c r="J24" i="35"/>
  <c r="AC24" i="35"/>
  <c r="F24" i="35"/>
  <c r="S24" i="35" s="1"/>
  <c r="AA24" i="35"/>
  <c r="H24" i="35"/>
  <c r="U24" i="35"/>
  <c r="H34" i="35"/>
  <c r="U34" i="35"/>
  <c r="F34" i="35"/>
  <c r="G60" i="37"/>
  <c r="F10" i="37"/>
  <c r="AA10" i="37"/>
  <c r="J12" i="37"/>
  <c r="W12" i="37"/>
  <c r="F12" i="37"/>
  <c r="AA12" i="37" s="1"/>
  <c r="S12" i="37"/>
  <c r="H27" i="37"/>
  <c r="U27" i="37"/>
  <c r="F27" i="37"/>
  <c r="S27" i="37" s="1"/>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s="1"/>
  <c r="AA19" i="39"/>
  <c r="H16" i="36"/>
  <c r="U16" i="36"/>
  <c r="U32" i="37"/>
  <c r="E101" i="21"/>
  <c r="F101" i="21" s="1"/>
  <c r="G101" i="21" s="1"/>
  <c r="H101" i="21" s="1"/>
  <c r="I101" i="21" s="1"/>
  <c r="J101" i="21" s="1"/>
  <c r="K101" i="21" s="1"/>
  <c r="L101" i="21" s="1"/>
  <c r="M101" i="21" s="1"/>
  <c r="F32" i="21"/>
  <c r="S32" i="21" s="1"/>
  <c r="J32" i="21"/>
  <c r="H32" i="21"/>
  <c r="U32" i="21" s="1"/>
  <c r="F40" i="21"/>
  <c r="AA40" i="21" s="1"/>
  <c r="H40" i="21"/>
  <c r="AB40" i="21" s="1"/>
  <c r="J40" i="21"/>
  <c r="AC40" i="21" s="1"/>
  <c r="B44" i="47"/>
  <c r="C21" i="40"/>
  <c r="AC33" i="33"/>
  <c r="W33" i="33"/>
  <c r="S34" i="33"/>
  <c r="AA38" i="33"/>
  <c r="S38" i="33"/>
  <c r="AC38" i="33"/>
  <c r="W38" i="33"/>
  <c r="J9" i="33"/>
  <c r="W9" i="33" s="1"/>
  <c r="AC9" i="33"/>
  <c r="F9" i="33"/>
  <c r="AA9" i="33" s="1"/>
  <c r="AA10" i="34"/>
  <c r="S10" i="34"/>
  <c r="F25" i="34"/>
  <c r="S25" i="34" s="1"/>
  <c r="E126" i="34"/>
  <c r="H44" i="34"/>
  <c r="AB44" i="34" s="1"/>
  <c r="U44" i="34"/>
  <c r="W9" i="36"/>
  <c r="AB26" i="36"/>
  <c r="U26" i="36"/>
  <c r="U9" i="36"/>
  <c r="F20" i="36"/>
  <c r="AA20" i="36"/>
  <c r="J24" i="36"/>
  <c r="AC24" i="36" s="1"/>
  <c r="W24" i="36"/>
  <c r="H24" i="36"/>
  <c r="U24" i="36"/>
  <c r="F24" i="36"/>
  <c r="S24" i="36" s="1"/>
  <c r="AA24" i="36"/>
  <c r="J26" i="37"/>
  <c r="AC26" i="37"/>
  <c r="H26" i="37"/>
  <c r="AB26" i="37"/>
  <c r="F26" i="37"/>
  <c r="AA26" i="37"/>
  <c r="J23" i="39"/>
  <c r="W23" i="39"/>
  <c r="E97" i="39"/>
  <c r="F97" i="39" s="1"/>
  <c r="H15" i="37"/>
  <c r="F15" i="37"/>
  <c r="S15" i="37" s="1"/>
  <c r="AA15" i="37"/>
  <c r="F38" i="40"/>
  <c r="AA38" i="40" s="1"/>
  <c r="J38" i="40"/>
  <c r="W38" i="40"/>
  <c r="H38" i="40"/>
  <c r="AB38" i="40" s="1"/>
  <c r="J40" i="40"/>
  <c r="W40" i="40" s="1"/>
  <c r="AC40" i="40"/>
  <c r="H40" i="40"/>
  <c r="AB40" i="40" s="1"/>
  <c r="F40" i="40"/>
  <c r="AA40" i="40"/>
  <c r="N6" i="43"/>
  <c r="F70" i="43"/>
  <c r="H72" i="43"/>
  <c r="M1" i="43"/>
  <c r="C6" i="43"/>
  <c r="A121" i="9"/>
  <c r="F101" i="9"/>
  <c r="F33" i="9"/>
  <c r="C25" i="57"/>
  <c r="N102" i="43"/>
  <c r="C102" i="43"/>
  <c r="S4" i="43" s="1"/>
  <c r="G103" i="43"/>
  <c r="D103" i="43"/>
  <c r="H106" i="43"/>
  <c r="E103" i="43"/>
  <c r="F59" i="43"/>
  <c r="H63" i="43"/>
  <c r="G15" i="47"/>
  <c r="AB24" i="36"/>
  <c r="H25" i="34"/>
  <c r="U25" i="34" s="1"/>
  <c r="AB35" i="39"/>
  <c r="AC40" i="37"/>
  <c r="AC36" i="37"/>
  <c r="AA34" i="35"/>
  <c r="S34" i="35"/>
  <c r="AB24" i="35"/>
  <c r="J17" i="34"/>
  <c r="AC17" i="34"/>
  <c r="F17" i="34"/>
  <c r="AA17" i="34"/>
  <c r="H27" i="33"/>
  <c r="AB27" i="33"/>
  <c r="F43" i="33"/>
  <c r="S43" i="33"/>
  <c r="F125" i="33"/>
  <c r="G125" i="33"/>
  <c r="J43" i="33"/>
  <c r="AC43" i="33"/>
  <c r="W29" i="21"/>
  <c r="S37" i="34"/>
  <c r="H27" i="36"/>
  <c r="AB27" i="36"/>
  <c r="F27" i="36"/>
  <c r="S27" i="36" s="1"/>
  <c r="AA27" i="36"/>
  <c r="H11" i="34"/>
  <c r="AB11" i="34" s="1"/>
  <c r="U11" i="34"/>
  <c r="S17" i="37"/>
  <c r="J11" i="37"/>
  <c r="AC11" i="37"/>
  <c r="AC36" i="34"/>
  <c r="W9" i="34"/>
  <c r="S45" i="21"/>
  <c r="F23" i="39"/>
  <c r="AA23" i="39" s="1"/>
  <c r="G97" i="39"/>
  <c r="S26" i="37"/>
  <c r="F44" i="34"/>
  <c r="AA44" i="34" s="1"/>
  <c r="F126" i="34"/>
  <c r="G126" i="34"/>
  <c r="J44" i="34"/>
  <c r="AC44" i="34"/>
  <c r="S40" i="21"/>
  <c r="U31" i="37"/>
  <c r="W27" i="37"/>
  <c r="AB27" i="37"/>
  <c r="H60" i="37"/>
  <c r="I60" i="37" s="1"/>
  <c r="H10" i="37"/>
  <c r="U10" i="37" s="1"/>
  <c r="AA27" i="33"/>
  <c r="AB43" i="33"/>
  <c r="AB29" i="21"/>
  <c r="AC27" i="36"/>
  <c r="W27" i="36"/>
  <c r="F101" i="33"/>
  <c r="G101" i="33"/>
  <c r="H101" i="33"/>
  <c r="I101" i="33" s="1"/>
  <c r="J101" i="33" s="1"/>
  <c r="K101" i="33"/>
  <c r="L101" i="33" s="1"/>
  <c r="M101" i="33" s="1"/>
  <c r="J32" i="33"/>
  <c r="W32" i="33"/>
  <c r="H32" i="33"/>
  <c r="AB32" i="33" s="1"/>
  <c r="W40" i="34"/>
  <c r="U45" i="21"/>
  <c r="U12" i="36"/>
  <c r="AC45" i="21"/>
  <c r="W45" i="21"/>
  <c r="W13" i="21"/>
  <c r="AC13" i="21"/>
  <c r="S44" i="34"/>
  <c r="AB25" i="34"/>
  <c r="J10" i="37"/>
  <c r="AC10" i="37"/>
  <c r="H23" i="39"/>
  <c r="J11" i="34"/>
  <c r="W11" i="34"/>
  <c r="J27" i="33"/>
  <c r="W17" i="34"/>
  <c r="J25" i="34"/>
  <c r="W25" i="34"/>
  <c r="AC11" i="34"/>
  <c r="H74" i="43"/>
  <c r="G26" i="47"/>
  <c r="K53" i="43"/>
  <c r="J53" i="43"/>
  <c r="D53" i="43"/>
  <c r="M53" i="43"/>
  <c r="N53" i="43" s="1"/>
  <c r="K49" i="43"/>
  <c r="J49" i="43"/>
  <c r="D49" i="43"/>
  <c r="M49" i="43"/>
  <c r="N49" i="43"/>
  <c r="K54" i="43"/>
  <c r="J54" i="43" s="1"/>
  <c r="D54" i="43"/>
  <c r="M54" i="43"/>
  <c r="N54" i="43"/>
  <c r="K50" i="43"/>
  <c r="J50" i="43" s="1"/>
  <c r="D50" i="43"/>
  <c r="M50" i="43"/>
  <c r="N50" i="43"/>
  <c r="K55" i="43"/>
  <c r="J55" i="43"/>
  <c r="D55" i="43"/>
  <c r="M55" i="43"/>
  <c r="N55" i="43" s="1"/>
  <c r="K51" i="43"/>
  <c r="J51" i="43"/>
  <c r="D51" i="43"/>
  <c r="M51" i="43"/>
  <c r="N51" i="43"/>
  <c r="K48" i="43"/>
  <c r="J48" i="43"/>
  <c r="D48" i="43"/>
  <c r="M48" i="43"/>
  <c r="N48" i="43"/>
  <c r="K52" i="43"/>
  <c r="J52" i="43" s="1"/>
  <c r="D52" i="43"/>
  <c r="M52" i="43"/>
  <c r="N52" i="43"/>
  <c r="K56" i="43"/>
  <c r="J56" i="43"/>
  <c r="D56" i="43"/>
  <c r="M56" i="43"/>
  <c r="N56" i="43" s="1"/>
  <c r="F43" i="15"/>
  <c r="F72" i="15" s="1"/>
  <c r="D93" i="9"/>
  <c r="D37" i="11"/>
  <c r="C37" i="11" s="1"/>
  <c r="M29" i="15"/>
  <c r="P51" i="15"/>
  <c r="D10" i="11"/>
  <c r="C10" i="11" s="1"/>
  <c r="C2" i="31"/>
  <c r="I23" i="31" s="1"/>
  <c r="P60" i="15"/>
  <c r="D3" i="35"/>
  <c r="D3" i="34"/>
  <c r="D94" i="57"/>
  <c r="C112" i="57"/>
  <c r="H107" i="57" s="1"/>
  <c r="A16" i="55"/>
  <c r="B46" i="60" s="1"/>
  <c r="D3" i="33"/>
  <c r="D3" i="37"/>
  <c r="D3" i="36"/>
  <c r="C14" i="12"/>
  <c r="AB36" i="40"/>
  <c r="AC9" i="40"/>
  <c r="S9" i="40"/>
  <c r="AC38" i="40"/>
  <c r="S40" i="40"/>
  <c r="W35" i="40"/>
  <c r="W33" i="40"/>
  <c r="W34" i="40"/>
  <c r="AB39" i="40"/>
  <c r="J37" i="40"/>
  <c r="AC37" i="40" s="1"/>
  <c r="H35" i="40"/>
  <c r="H37" i="40"/>
  <c r="H28" i="40"/>
  <c r="U28" i="40" s="1"/>
  <c r="F28" i="40"/>
  <c r="AA28" i="40" s="1"/>
  <c r="J28" i="40"/>
  <c r="F98" i="40"/>
  <c r="G98" i="40"/>
  <c r="H98" i="40"/>
  <c r="I98" i="40" s="1"/>
  <c r="J98" i="40" s="1"/>
  <c r="K98" i="40"/>
  <c r="L98" i="40" s="1"/>
  <c r="M98" i="40" s="1"/>
  <c r="F21" i="40"/>
  <c r="H21" i="40"/>
  <c r="AB21" i="40" s="1"/>
  <c r="F90" i="40"/>
  <c r="G90" i="40" s="1"/>
  <c r="J21" i="40"/>
  <c r="W21" i="40"/>
  <c r="W19" i="40"/>
  <c r="F86" i="40"/>
  <c r="G86" i="40"/>
  <c r="H17" i="40"/>
  <c r="U17" i="40"/>
  <c r="J17" i="40"/>
  <c r="F17" i="40"/>
  <c r="S17" i="40"/>
  <c r="F84" i="40"/>
  <c r="G84" i="40" s="1"/>
  <c r="F15" i="40"/>
  <c r="J15" i="40"/>
  <c r="AC15" i="40" s="1"/>
  <c r="H15" i="40"/>
  <c r="AB15" i="40" s="1"/>
  <c r="AC25" i="40"/>
  <c r="W25" i="40"/>
  <c r="U19" i="40"/>
  <c r="U14" i="40"/>
  <c r="U8" i="40"/>
  <c r="AA19" i="40"/>
  <c r="S36" i="40"/>
  <c r="AA35" i="40"/>
  <c r="AC38" i="39"/>
  <c r="AC17" i="39"/>
  <c r="AA37" i="39"/>
  <c r="AC25" i="39"/>
  <c r="S23" i="39"/>
  <c r="S21" i="39"/>
  <c r="AC23" i="39"/>
  <c r="W27" i="39"/>
  <c r="AC27" i="39"/>
  <c r="W35" i="39"/>
  <c r="U41" i="39"/>
  <c r="AB15" i="39"/>
  <c r="U42" i="39"/>
  <c r="U19" i="39"/>
  <c r="AB27" i="39"/>
  <c r="U27" i="39"/>
  <c r="AA27" i="39"/>
  <c r="S27" i="39"/>
  <c r="S40" i="39"/>
  <c r="AA12" i="39"/>
  <c r="S13" i="39"/>
  <c r="S34" i="36"/>
  <c r="S11" i="36"/>
  <c r="S12" i="36"/>
  <c r="S22" i="36"/>
  <c r="W14" i="36"/>
  <c r="S26" i="36"/>
  <c r="U27" i="36"/>
  <c r="AC26" i="36"/>
  <c r="S14" i="36"/>
  <c r="U14" i="36"/>
  <c r="S10" i="36"/>
  <c r="W18" i="36"/>
  <c r="AC18" i="36"/>
  <c r="AC12" i="36"/>
  <c r="AC32" i="36"/>
  <c r="AC20" i="36"/>
  <c r="W29" i="36"/>
  <c r="W8" i="36"/>
  <c r="AB16" i="36"/>
  <c r="AB18" i="36"/>
  <c r="U18" i="36"/>
  <c r="S28" i="36"/>
  <c r="S29" i="36"/>
  <c r="W24" i="35"/>
  <c r="W23" i="35"/>
  <c r="S23" i="35"/>
  <c r="AB23" i="35"/>
  <c r="W11" i="35"/>
  <c r="W10" i="35"/>
  <c r="W14" i="35"/>
  <c r="W34" i="35"/>
  <c r="AC26" i="35"/>
  <c r="W28" i="35"/>
  <c r="AC27" i="35"/>
  <c r="U14" i="35"/>
  <c r="U35" i="35"/>
  <c r="U8" i="35"/>
  <c r="AB12" i="35"/>
  <c r="AA13" i="35"/>
  <c r="S20" i="35"/>
  <c r="AB13" i="35"/>
  <c r="S10" i="35"/>
  <c r="S34" i="37"/>
  <c r="W26" i="37"/>
  <c r="AC12" i="37"/>
  <c r="J33" i="37"/>
  <c r="F33" i="37"/>
  <c r="AA33" i="37"/>
  <c r="H99" i="37"/>
  <c r="I99" i="37"/>
  <c r="J99" i="37"/>
  <c r="K99" i="37"/>
  <c r="L99" i="37" s="1"/>
  <c r="M99" i="37" s="1"/>
  <c r="H33" i="37"/>
  <c r="AC35" i="37"/>
  <c r="W35" i="37"/>
  <c r="H35" i="37"/>
  <c r="U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AC19" i="37"/>
  <c r="W39" i="37"/>
  <c r="AB11" i="37"/>
  <c r="AA29" i="37"/>
  <c r="AA38" i="37"/>
  <c r="AC39" i="34"/>
  <c r="W35" i="34"/>
  <c r="S40" i="34"/>
  <c r="AB41" i="34"/>
  <c r="U43" i="34"/>
  <c r="S43" i="34"/>
  <c r="S17" i="34"/>
  <c r="AB17" i="34"/>
  <c r="U23" i="34"/>
  <c r="U36" i="34"/>
  <c r="U21" i="34"/>
  <c r="AB21" i="34"/>
  <c r="AA25" i="34"/>
  <c r="AA41" i="34"/>
  <c r="AA46" i="34"/>
  <c r="W42" i="33"/>
  <c r="W11" i="33"/>
  <c r="U17" i="33"/>
  <c r="W25" i="33"/>
  <c r="U27" i="33"/>
  <c r="U34" i="33"/>
  <c r="W37" i="33"/>
  <c r="W43" i="33"/>
  <c r="AC41" i="33"/>
  <c r="AA45" i="33"/>
  <c r="U46" i="33"/>
  <c r="S23" i="33"/>
  <c r="S17" i="33"/>
  <c r="W17" i="33"/>
  <c r="U15" i="33"/>
  <c r="AB9" i="33"/>
  <c r="U9" i="33"/>
  <c r="S10" i="33"/>
  <c r="AC12" i="33"/>
  <c r="W39" i="33"/>
  <c r="AC46" i="33"/>
  <c r="AC19" i="33"/>
  <c r="W21" i="33"/>
  <c r="AC21" i="33"/>
  <c r="AB41" i="33"/>
  <c r="AB42" i="33"/>
  <c r="U13" i="33"/>
  <c r="U39" i="33"/>
  <c r="S42" i="33"/>
  <c r="S9" i="33"/>
  <c r="AA39" i="21"/>
  <c r="AB44" i="21"/>
  <c r="U30" i="21"/>
  <c r="AB21" i="21"/>
  <c r="U21" i="21"/>
  <c r="U12" i="21"/>
  <c r="AB11" i="21"/>
  <c r="U9" i="21"/>
  <c r="AB8" i="21"/>
  <c r="AA11" i="21"/>
  <c r="AA14" i="21"/>
  <c r="S507" i="31"/>
  <c r="S497" i="31"/>
  <c r="S493" i="31"/>
  <c r="S489" i="31"/>
  <c r="S485" i="31"/>
  <c r="S481" i="31"/>
  <c r="S477" i="31"/>
  <c r="S473" i="31"/>
  <c r="S451" i="31"/>
  <c r="S449" i="31"/>
  <c r="S79" i="31"/>
  <c r="T75" i="31"/>
  <c r="T73" i="31"/>
  <c r="S73" i="31"/>
  <c r="T71" i="31"/>
  <c r="T69" i="31"/>
  <c r="S69" i="31"/>
  <c r="T67" i="31"/>
  <c r="T65" i="31"/>
  <c r="S65" i="31"/>
  <c r="T63" i="31"/>
  <c r="T61" i="31"/>
  <c r="S61" i="31"/>
  <c r="T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55" i="31"/>
  <c r="S99" i="31"/>
  <c r="S87" i="31"/>
  <c r="S83" i="31"/>
  <c r="S33" i="31"/>
  <c r="S107" i="31"/>
  <c r="S111" i="31"/>
  <c r="S325" i="31"/>
  <c r="S333" i="31"/>
  <c r="S341" i="31"/>
  <c r="S349" i="31"/>
  <c r="S357" i="31"/>
  <c r="S365" i="31"/>
  <c r="S373" i="31"/>
  <c r="S381" i="31"/>
  <c r="S389" i="31"/>
  <c r="S397" i="31"/>
  <c r="S405" i="31"/>
  <c r="S413" i="31"/>
  <c r="S421" i="31"/>
  <c r="S31" i="31"/>
  <c r="S77" i="31"/>
  <c r="S55" i="31"/>
  <c r="S115" i="31"/>
  <c r="S117" i="31"/>
  <c r="S121" i="31"/>
  <c r="S123" i="31"/>
  <c r="S125" i="31"/>
  <c r="S495" i="31"/>
  <c r="D6" i="52"/>
  <c r="K107" i="57"/>
  <c r="D33" i="50"/>
  <c r="D12" i="50"/>
  <c r="B26" i="60" s="1"/>
  <c r="D34" i="50"/>
  <c r="D13" i="50"/>
  <c r="B27" i="60" s="1"/>
  <c r="D31" i="50"/>
  <c r="D32" i="50" s="1"/>
  <c r="D10" i="50"/>
  <c r="D11" i="50" s="1"/>
  <c r="B25" i="60" s="1"/>
  <c r="D111" i="57"/>
  <c r="D35" i="50"/>
  <c r="D14" i="50"/>
  <c r="B28" i="60" s="1"/>
  <c r="D22" i="15"/>
  <c r="A14" i="52"/>
  <c r="B61" i="60" s="1"/>
  <c r="Y25" i="31"/>
  <c r="C36" i="57" s="1"/>
  <c r="F124" i="57" s="1"/>
  <c r="V25" i="31"/>
  <c r="C35" i="57" s="1"/>
  <c r="D124" i="57" s="1"/>
  <c r="A4" i="54"/>
  <c r="B6" i="60" s="1"/>
  <c r="L103" i="43"/>
  <c r="D109" i="43"/>
  <c r="K107" i="43"/>
  <c r="C106" i="43"/>
  <c r="D3" i="21"/>
  <c r="M6" i="43"/>
  <c r="M5" i="43"/>
  <c r="F81" i="43"/>
  <c r="H13" i="44"/>
  <c r="G59" i="40"/>
  <c r="C59" i="40" s="1"/>
  <c r="H11" i="44"/>
  <c r="A6" i="54"/>
  <c r="B7" i="60" s="1"/>
  <c r="C51" i="10"/>
  <c r="A8" i="54"/>
  <c r="B8" i="60" s="1"/>
  <c r="F2" i="21"/>
  <c r="F2" i="34"/>
  <c r="F2" i="35"/>
  <c r="F2" i="33"/>
  <c r="D35" i="57"/>
  <c r="C114" i="9"/>
  <c r="H112" i="9"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H113" i="43"/>
  <c r="X7" i="43"/>
  <c r="E59" i="43"/>
  <c r="B57" i="43" s="1"/>
  <c r="E70" i="43"/>
  <c r="B68"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C7" i="43" s="1"/>
  <c r="C7" i="39"/>
  <c r="C68" i="39" s="1"/>
  <c r="D123" i="9"/>
  <c r="K106" i="9" s="1"/>
  <c r="D124" i="9"/>
  <c r="D7" i="52"/>
  <c r="B58" i="60"/>
  <c r="H105" i="43"/>
  <c r="H107" i="43"/>
  <c r="D104" i="43"/>
  <c r="K106" i="43"/>
  <c r="K102" i="43"/>
  <c r="G105" i="43"/>
  <c r="G109" i="43"/>
  <c r="C107" i="43"/>
  <c r="A4" i="52"/>
  <c r="A124" i="57"/>
  <c r="N104" i="46"/>
  <c r="J17" i="43"/>
  <c r="C7" i="37"/>
  <c r="C52" i="37" s="1"/>
  <c r="D52" i="37" s="1"/>
  <c r="H77" i="43"/>
  <c r="I104" i="43"/>
  <c r="J109" i="43"/>
  <c r="L104" i="43"/>
  <c r="L102" i="43"/>
  <c r="H103" i="43"/>
  <c r="D105" i="43"/>
  <c r="D106" i="43"/>
  <c r="D102" i="43"/>
  <c r="K105" i="43"/>
  <c r="K103" i="43"/>
  <c r="G106" i="43"/>
  <c r="G104" i="43"/>
  <c r="G102" i="43"/>
  <c r="C105" i="43"/>
  <c r="C103" i="43"/>
  <c r="H70" i="43"/>
  <c r="H71" i="43"/>
  <c r="D115" i="43"/>
  <c r="E115" i="43"/>
  <c r="F115" i="43" s="1"/>
  <c r="G115" i="43" s="1"/>
  <c r="H115" i="43"/>
  <c r="B117" i="43"/>
  <c r="C117" i="43" s="1"/>
  <c r="N106" i="43"/>
  <c r="G37" i="47"/>
  <c r="F36" i="43"/>
  <c r="C17" i="43"/>
  <c r="F35" i="43"/>
  <c r="F37" i="43"/>
  <c r="F39" i="43"/>
  <c r="K17" i="43"/>
  <c r="C7" i="34"/>
  <c r="C59" i="34" s="1"/>
  <c r="D59" i="34" s="1"/>
  <c r="F38" i="43"/>
  <c r="J20" i="15"/>
  <c r="K86" i="43"/>
  <c r="J86" i="43"/>
  <c r="D86" i="43"/>
  <c r="M87" i="43"/>
  <c r="N87" i="43" s="1"/>
  <c r="H82" i="43"/>
  <c r="K82" i="43"/>
  <c r="J82" i="43" s="1"/>
  <c r="D82" i="43"/>
  <c r="H83" i="43"/>
  <c r="M83" i="43"/>
  <c r="N83" i="43" s="1"/>
  <c r="H65" i="43"/>
  <c r="I116" i="43"/>
  <c r="J116" i="43"/>
  <c r="K116" i="43" s="1"/>
  <c r="L116" i="43" s="1"/>
  <c r="M116" i="43" s="1"/>
  <c r="D117" i="43"/>
  <c r="E117" i="43"/>
  <c r="F117" i="43" s="1"/>
  <c r="G117" i="43" s="1"/>
  <c r="H117" i="43" s="1"/>
  <c r="B118" i="43"/>
  <c r="C118" i="43" s="1"/>
  <c r="B116" i="43"/>
  <c r="C116" i="43" s="1"/>
  <c r="E105" i="43"/>
  <c r="N104" i="43"/>
  <c r="F106" i="43"/>
  <c r="M12" i="43"/>
  <c r="M8" i="43"/>
  <c r="N7" i="43"/>
  <c r="M3" i="43"/>
  <c r="M11" i="43"/>
  <c r="N8" i="43"/>
  <c r="H8" i="44"/>
  <c r="D22" i="43"/>
  <c r="C21" i="43"/>
  <c r="H12" i="44"/>
  <c r="C63" i="39"/>
  <c r="G64" i="39"/>
  <c r="C64" i="39"/>
  <c r="M85" i="43"/>
  <c r="N85" i="43"/>
  <c r="K85" i="43"/>
  <c r="J85" i="43"/>
  <c r="D85" i="43"/>
  <c r="M82" i="43"/>
  <c r="N82" i="43" s="1"/>
  <c r="K83" i="43"/>
  <c r="J83" i="43" s="1"/>
  <c r="D83" i="43"/>
  <c r="H88" i="43"/>
  <c r="H62" i="43"/>
  <c r="F109" i="43"/>
  <c r="F103" i="43"/>
  <c r="F105" i="43"/>
  <c r="J102" i="43"/>
  <c r="J104" i="43"/>
  <c r="J106" i="43"/>
  <c r="N109" i="43"/>
  <c r="N103" i="43"/>
  <c r="N105" i="43"/>
  <c r="E107" i="43"/>
  <c r="E102" i="43"/>
  <c r="E104" i="43"/>
  <c r="E106" i="43"/>
  <c r="I109" i="43"/>
  <c r="M107" i="43"/>
  <c r="M102" i="43"/>
  <c r="M106" i="43"/>
  <c r="B115" i="43"/>
  <c r="I117" i="43"/>
  <c r="J117" i="43" s="1"/>
  <c r="K117" i="43"/>
  <c r="L117" i="43"/>
  <c r="M117" i="43" s="1"/>
  <c r="D118" i="43"/>
  <c r="E118" i="43"/>
  <c r="F118" i="43"/>
  <c r="M7" i="15"/>
  <c r="J6" i="15" s="1"/>
  <c r="F35" i="15"/>
  <c r="F64" i="15" s="1"/>
  <c r="C63" i="15" s="1"/>
  <c r="E18" i="1"/>
  <c r="C34" i="11" s="1"/>
  <c r="C17" i="15"/>
  <c r="A2" i="9"/>
  <c r="S23" i="40"/>
  <c r="U23" i="40"/>
  <c r="S38" i="40"/>
  <c r="S33" i="40"/>
  <c r="AB31" i="40"/>
  <c r="AC14" i="40"/>
  <c r="AC13" i="40"/>
  <c r="S31" i="40"/>
  <c r="U15" i="40"/>
  <c r="S11" i="40"/>
  <c r="AB32" i="39"/>
  <c r="AB37" i="39"/>
  <c r="W42" i="39"/>
  <c r="W34" i="39"/>
  <c r="W32" i="39"/>
  <c r="AA32" i="39"/>
  <c r="S29" i="39"/>
  <c r="U40" i="39"/>
  <c r="AB43" i="39"/>
  <c r="U11" i="39"/>
  <c r="S34" i="39"/>
  <c r="S39" i="39"/>
  <c r="U9" i="39"/>
  <c r="S20" i="36"/>
  <c r="AA33" i="36"/>
  <c r="S8" i="36"/>
  <c r="AB34" i="35"/>
  <c r="W29" i="35"/>
  <c r="W33" i="35"/>
  <c r="S36" i="35"/>
  <c r="U22" i="35"/>
  <c r="AA33" i="35"/>
  <c r="AA29" i="35"/>
  <c r="S22" i="35"/>
  <c r="U28" i="35"/>
  <c r="AB27" i="35"/>
  <c r="U36" i="35"/>
  <c r="W36" i="35"/>
  <c r="S35" i="35"/>
  <c r="AB26" i="35"/>
  <c r="AC16" i="35"/>
  <c r="S28" i="35"/>
  <c r="AC34" i="37"/>
  <c r="U29" i="37"/>
  <c r="U30" i="37"/>
  <c r="S40" i="37"/>
  <c r="AC29" i="37"/>
  <c r="U26" i="37"/>
  <c r="AC13" i="37"/>
  <c r="AA13" i="37"/>
  <c r="AA8" i="37"/>
  <c r="W25" i="37"/>
  <c r="S9" i="37"/>
  <c r="G84" i="34"/>
  <c r="J21" i="34"/>
  <c r="W21" i="34" s="1"/>
  <c r="AB40" i="34"/>
  <c r="AC19" i="34"/>
  <c r="AC23" i="34"/>
  <c r="AB37" i="34"/>
  <c r="W41" i="34"/>
  <c r="AA27" i="34"/>
  <c r="AA45" i="34"/>
  <c r="AB45" i="34"/>
  <c r="AB27" i="34"/>
  <c r="W29" i="34"/>
  <c r="W43" i="34"/>
  <c r="U34" i="34"/>
  <c r="S34" i="34"/>
  <c r="AC25" i="34"/>
  <c r="W44" i="34"/>
  <c r="AC33" i="34"/>
  <c r="S35" i="34"/>
  <c r="AB14" i="34"/>
  <c r="AC45" i="34"/>
  <c r="AA29" i="34"/>
  <c r="AC13" i="34"/>
  <c r="U10" i="34"/>
  <c r="AB29" i="34"/>
  <c r="U37" i="33"/>
  <c r="AC32" i="33"/>
  <c r="AA43" i="33"/>
  <c r="S32" i="33"/>
  <c r="U33" i="33"/>
  <c r="AA28" i="33"/>
  <c r="U30" i="33"/>
  <c r="S39" i="33"/>
  <c r="AA36" i="33"/>
  <c r="W35" i="33"/>
  <c r="W40" i="33"/>
  <c r="S33" i="33"/>
  <c r="U35" i="33"/>
  <c r="AC45" i="33"/>
  <c r="AB29" i="33"/>
  <c r="AB36" i="33"/>
  <c r="W15" i="33"/>
  <c r="AA19" i="33"/>
  <c r="W8" i="33"/>
  <c r="J21" i="21"/>
  <c r="AC21" i="21" s="1"/>
  <c r="AC31" i="21"/>
  <c r="AB25" i="21"/>
  <c r="AA25" i="21"/>
  <c r="U40" i="21"/>
  <c r="AC46" i="21"/>
  <c r="W12" i="21"/>
  <c r="C15" i="39"/>
  <c r="C17" i="39"/>
  <c r="C19" i="39"/>
  <c r="C15" i="40"/>
  <c r="C17" i="40"/>
  <c r="B54" i="43"/>
  <c r="B65" i="43"/>
  <c r="U30" i="40"/>
  <c r="B49" i="43"/>
  <c r="B52" i="43"/>
  <c r="B56" i="43"/>
  <c r="B60" i="43"/>
  <c r="B63" i="43"/>
  <c r="B67" i="43"/>
  <c r="B23" i="60"/>
  <c r="AC21" i="40"/>
  <c r="U35" i="40"/>
  <c r="AB35" i="40"/>
  <c r="U37" i="40"/>
  <c r="AB37" i="40"/>
  <c r="W37" i="40"/>
  <c r="AC28" i="40"/>
  <c r="W28" i="40"/>
  <c r="U21" i="40"/>
  <c r="S21" i="40"/>
  <c r="AA21" i="40"/>
  <c r="AB17" i="40"/>
  <c r="AA17" i="40"/>
  <c r="W17" i="40"/>
  <c r="AC17" i="40"/>
  <c r="AA15" i="40"/>
  <c r="S15" i="40"/>
  <c r="W15" i="40"/>
  <c r="AB33" i="37"/>
  <c r="U33" i="37"/>
  <c r="S33" i="37"/>
  <c r="AA35" i="37"/>
  <c r="S35" i="37"/>
  <c r="W33" i="37"/>
  <c r="AC33" i="37"/>
  <c r="AA19" i="37"/>
  <c r="S19" i="37"/>
  <c r="AC15" i="37"/>
  <c r="W15" i="37"/>
  <c r="AC21" i="34"/>
  <c r="M86" i="43"/>
  <c r="N86" i="43"/>
  <c r="C18" i="12"/>
  <c r="F34" i="11"/>
  <c r="E19" i="1"/>
  <c r="D20" i="1"/>
  <c r="D18" i="1"/>
  <c r="F50" i="11"/>
  <c r="F19" i="1"/>
  <c r="F18" i="1"/>
  <c r="D19" i="1"/>
  <c r="K87" i="43"/>
  <c r="J87" i="43"/>
  <c r="D87" i="43"/>
  <c r="A18" i="55"/>
  <c r="B48" i="60" s="1"/>
  <c r="C115" i="43"/>
  <c r="J22" i="43"/>
  <c r="M84" i="43"/>
  <c r="N84" i="43" s="1"/>
  <c r="K84" i="43"/>
  <c r="J84" i="43" s="1"/>
  <c r="D84" i="43"/>
  <c r="M81" i="43"/>
  <c r="N81" i="43" s="1"/>
  <c r="K81" i="43"/>
  <c r="J81" i="43"/>
  <c r="D81" i="43"/>
  <c r="M88" i="43"/>
  <c r="N88" i="43" s="1"/>
  <c r="K88" i="43"/>
  <c r="J88" i="43"/>
  <c r="D88" i="43"/>
  <c r="I113" i="57"/>
  <c r="D130" i="57" s="1"/>
  <c r="H14" i="62" s="1"/>
  <c r="B7" i="62" s="1"/>
  <c r="B40" i="1"/>
  <c r="M27" i="15" s="1"/>
  <c r="C11" i="12"/>
  <c r="C14" i="15"/>
  <c r="C18" i="15" s="1"/>
  <c r="C24" i="43"/>
  <c r="D117" i="57"/>
  <c r="D118" i="57"/>
  <c r="I114" i="57" s="1"/>
  <c r="D131" i="57" s="1"/>
  <c r="D133" i="57"/>
  <c r="D130" i="9"/>
  <c r="D13" i="52"/>
  <c r="D23" i="48"/>
  <c r="M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B14" i="59"/>
  <c r="S14" i="59" s="1"/>
  <c r="AB14" i="59"/>
  <c r="U14" i="59"/>
  <c r="AA13" i="59"/>
  <c r="X13" i="59"/>
  <c r="AB13" i="59"/>
  <c r="AA12" i="59"/>
  <c r="Y12" i="59"/>
  <c r="Z12" i="59"/>
  <c r="Y10" i="59"/>
  <c r="Z10" i="59" s="1"/>
  <c r="AB10" i="59"/>
  <c r="AB8" i="59"/>
  <c r="X10" i="59"/>
  <c r="X8" i="59"/>
  <c r="AA10" i="59"/>
  <c r="AA8" i="59"/>
  <c r="AB9" i="59"/>
  <c r="X9" i="59"/>
  <c r="U10" i="59"/>
  <c r="J30" i="35"/>
  <c r="W30" i="35"/>
  <c r="H30" i="35"/>
  <c r="AB30" i="35" s="1"/>
  <c r="AA30" i="35"/>
  <c r="M56" i="9"/>
  <c r="N56" i="9"/>
  <c r="N57" i="57"/>
  <c r="J57" i="57"/>
  <c r="J58" i="57" s="1"/>
  <c r="J60" i="57"/>
  <c r="J62" i="57"/>
  <c r="M57" i="57"/>
  <c r="J56" i="9"/>
  <c r="J57" i="9"/>
  <c r="J59" i="9"/>
  <c r="J61" i="9" s="1"/>
  <c r="K57" i="57"/>
  <c r="F51" i="15"/>
  <c r="F31" i="15"/>
  <c r="F60" i="15"/>
  <c r="M17" i="15"/>
  <c r="F11" i="59"/>
  <c r="F10" i="59" s="1"/>
  <c r="F9" i="59" s="1"/>
  <c r="F8" i="59" s="1"/>
  <c r="F7" i="59" s="1"/>
  <c r="F6" i="59" s="1"/>
  <c r="X3" i="59"/>
  <c r="Y3" i="59"/>
  <c r="Z3" i="59" s="1"/>
  <c r="H16" i="48"/>
  <c r="D15" i="48"/>
  <c r="H76" i="43"/>
  <c r="H75" i="43"/>
  <c r="H78" i="43"/>
  <c r="H73" i="43"/>
  <c r="D5" i="48"/>
  <c r="H5" i="48"/>
  <c r="F48" i="43"/>
  <c r="G4" i="47"/>
  <c r="B13" i="59"/>
  <c r="B12" i="59" s="1"/>
  <c r="B11" i="59" s="1"/>
  <c r="B10" i="59" s="1"/>
  <c r="V10" i="59"/>
  <c r="AC30" i="35"/>
  <c r="U30" i="35"/>
  <c r="G20" i="43"/>
  <c r="H51" i="43"/>
  <c r="H56" i="43"/>
  <c r="H52" i="43"/>
  <c r="H48" i="43"/>
  <c r="I115" i="57"/>
  <c r="D132" i="57" s="1"/>
  <c r="I14" i="62" s="1"/>
  <c r="B8" i="62" s="1"/>
  <c r="D119" i="57"/>
  <c r="E41" i="43"/>
  <c r="C41" i="43"/>
  <c r="I114" i="9"/>
  <c r="D129" i="9" s="1"/>
  <c r="I112" i="9"/>
  <c r="D39" i="50" s="1"/>
  <c r="D40" i="50" s="1"/>
  <c r="D116" i="9"/>
  <c r="D114" i="9"/>
  <c r="D115" i="9"/>
  <c r="I113" i="9" s="1"/>
  <c r="D127" i="9"/>
  <c r="H15" i="48"/>
  <c r="D16" i="48"/>
  <c r="E2" i="21"/>
  <c r="F6" i="61"/>
  <c r="F7" i="61"/>
  <c r="F5" i="61"/>
  <c r="E2" i="36"/>
  <c r="E2" i="35"/>
  <c r="F3" i="61"/>
  <c r="E2" i="34"/>
  <c r="H23" i="31"/>
  <c r="E2" i="11"/>
  <c r="F4" i="61"/>
  <c r="E2" i="33"/>
  <c r="E2" i="37"/>
  <c r="C70" i="39" l="1"/>
  <c r="D68" i="39"/>
  <c r="C7" i="33"/>
  <c r="C58" i="33" s="1"/>
  <c r="C7" i="35"/>
  <c r="C48" i="35" s="1"/>
  <c r="D48" i="35" s="1"/>
  <c r="E48" i="35" s="1"/>
  <c r="C7" i="40"/>
  <c r="C63" i="40" s="1"/>
  <c r="J52" i="15"/>
  <c r="C7" i="36"/>
  <c r="C46" i="36" s="1"/>
  <c r="D46" i="36" s="1"/>
  <c r="M47" i="9"/>
  <c r="M48" i="57"/>
  <c r="C53" i="10"/>
  <c r="J1" i="61"/>
  <c r="G19" i="43"/>
  <c r="O19" i="43" s="1"/>
  <c r="S35" i="31"/>
  <c r="S227" i="31"/>
  <c r="S251" i="31"/>
  <c r="S479" i="31"/>
  <c r="S119" i="31"/>
  <c r="S47" i="31"/>
  <c r="S103" i="31"/>
  <c r="S91" i="31"/>
  <c r="S463" i="31"/>
  <c r="S219" i="31"/>
  <c r="S203" i="31"/>
  <c r="S187" i="31"/>
  <c r="S171" i="31"/>
  <c r="S155" i="31"/>
  <c r="S139" i="31"/>
  <c r="S327" i="31"/>
  <c r="S391" i="31"/>
  <c r="S483" i="31"/>
  <c r="S235" i="31"/>
  <c r="S243" i="31"/>
  <c r="S39" i="31"/>
  <c r="S511" i="31"/>
  <c r="S95" i="31"/>
  <c r="S215" i="31"/>
  <c r="S199" i="31"/>
  <c r="S183" i="31"/>
  <c r="S167" i="31"/>
  <c r="S151" i="31"/>
  <c r="S135" i="31"/>
  <c r="S343" i="31"/>
  <c r="S407" i="31"/>
  <c r="S43" i="31"/>
  <c r="B9" i="59"/>
  <c r="B8" i="59" s="1"/>
  <c r="B7" i="59" s="1"/>
  <c r="B6" i="59" s="1"/>
  <c r="S10" i="59"/>
  <c r="U19" i="37"/>
  <c r="AB19" i="37"/>
  <c r="W27" i="33"/>
  <c r="AC27" i="33"/>
  <c r="AB35" i="34"/>
  <c r="U35" i="34"/>
  <c r="S30" i="21"/>
  <c r="AA30" i="21"/>
  <c r="AA27" i="40"/>
  <c r="S27" i="40"/>
  <c r="S35" i="33"/>
  <c r="AA35" i="33"/>
  <c r="U9" i="34"/>
  <c r="AB9" i="34"/>
  <c r="AA25" i="39"/>
  <c r="S25" i="39"/>
  <c r="W12" i="39"/>
  <c r="AC12" i="39"/>
  <c r="I103" i="43"/>
  <c r="I102" i="43"/>
  <c r="B106" i="57"/>
  <c r="C119" i="57"/>
  <c r="H115" i="57" s="1"/>
  <c r="C115" i="57"/>
  <c r="H111" i="57" s="1"/>
  <c r="C117" i="57"/>
  <c r="H113" i="57" s="1"/>
  <c r="AA17" i="21"/>
  <c r="S17" i="21"/>
  <c r="AB38" i="37"/>
  <c r="U38" i="37"/>
  <c r="W29" i="33"/>
  <c r="AC29" i="33"/>
  <c r="W8" i="21"/>
  <c r="AC8" i="21"/>
  <c r="AA8" i="33"/>
  <c r="S8" i="33"/>
  <c r="I106" i="43"/>
  <c r="AB15" i="37"/>
  <c r="U15" i="37"/>
  <c r="AB19" i="33"/>
  <c r="U19" i="33"/>
  <c r="AA31" i="37"/>
  <c r="S31" i="37"/>
  <c r="L107" i="43"/>
  <c r="L105" i="43"/>
  <c r="L109" i="43"/>
  <c r="L106" i="43"/>
  <c r="C109" i="57"/>
  <c r="H103" i="57" s="1"/>
  <c r="AC9" i="37"/>
  <c r="W9" i="37"/>
  <c r="U14" i="39"/>
  <c r="AB14" i="39"/>
  <c r="U29" i="39"/>
  <c r="AB29" i="39"/>
  <c r="AB11" i="40"/>
  <c r="U11" i="40"/>
  <c r="AC28" i="36"/>
  <c r="W28" i="36"/>
  <c r="AC30" i="37"/>
  <c r="W30" i="37"/>
  <c r="H14" i="37"/>
  <c r="F14" i="37"/>
  <c r="J14" i="37"/>
  <c r="S35" i="39"/>
  <c r="AA35" i="39"/>
  <c r="F5" i="59"/>
  <c r="V6" i="59"/>
  <c r="E81" i="43"/>
  <c r="B79" i="43" s="1"/>
  <c r="S6" i="43"/>
  <c r="S5" i="43"/>
  <c r="S2" i="43"/>
  <c r="S3" i="43"/>
  <c r="AA31" i="21"/>
  <c r="S31" i="21"/>
  <c r="AA29" i="21"/>
  <c r="S29" i="21"/>
  <c r="AC37" i="37"/>
  <c r="W37" i="37"/>
  <c r="H50" i="43"/>
  <c r="H49" i="43"/>
  <c r="C16" i="15"/>
  <c r="C15" i="12"/>
  <c r="C12" i="12"/>
  <c r="AB19" i="34"/>
  <c r="U19" i="34"/>
  <c r="W13" i="39"/>
  <c r="AC13" i="39"/>
  <c r="AC35" i="35"/>
  <c r="W35" i="35"/>
  <c r="AC13" i="33"/>
  <c r="W13" i="33"/>
  <c r="S36" i="34"/>
  <c r="AA36" i="34"/>
  <c r="S38" i="21"/>
  <c r="AA38" i="21"/>
  <c r="W31" i="40"/>
  <c r="AC31" i="40"/>
  <c r="H53" i="43"/>
  <c r="S28" i="40"/>
  <c r="U40" i="40"/>
  <c r="W23" i="40"/>
  <c r="I107" i="43"/>
  <c r="S7" i="43"/>
  <c r="H85" i="43"/>
  <c r="H84" i="43"/>
  <c r="H87" i="43"/>
  <c r="S37" i="37"/>
  <c r="U31" i="21"/>
  <c r="W32" i="21"/>
  <c r="AC32" i="21"/>
  <c r="H54" i="43"/>
  <c r="H55" i="43"/>
  <c r="AB28" i="40"/>
  <c r="U32" i="33"/>
  <c r="AA33" i="34"/>
  <c r="S11" i="39"/>
  <c r="I105" i="43"/>
  <c r="H81" i="43"/>
  <c r="C23" i="43"/>
  <c r="U25" i="33"/>
  <c r="AB10" i="37"/>
  <c r="AB35" i="37"/>
  <c r="E48" i="43"/>
  <c r="B46" i="43" s="1"/>
  <c r="AB23" i="39"/>
  <c r="U23" i="39"/>
  <c r="U38" i="40"/>
  <c r="S31" i="33"/>
  <c r="W12" i="34"/>
  <c r="F107" i="43"/>
  <c r="F104" i="43"/>
  <c r="F102" i="43"/>
  <c r="W32" i="37"/>
  <c r="AC32" i="37"/>
  <c r="AA23" i="37"/>
  <c r="S23" i="37"/>
  <c r="U33" i="35"/>
  <c r="AB33" i="35"/>
  <c r="AB10" i="35"/>
  <c r="U10" i="35"/>
  <c r="U38" i="33"/>
  <c r="AB38" i="33"/>
  <c r="F28" i="34"/>
  <c r="H28" i="34"/>
  <c r="J28" i="34"/>
  <c r="C112" i="9"/>
  <c r="H110" i="9" s="1"/>
  <c r="C106" i="9"/>
  <c r="H102" i="9" s="1"/>
  <c r="AA13" i="40"/>
  <c r="S13" i="40"/>
  <c r="U36" i="37"/>
  <c r="AB36" i="37"/>
  <c r="AC32" i="35"/>
  <c r="W32" i="35"/>
  <c r="H26" i="33"/>
  <c r="J26" i="33"/>
  <c r="S16" i="35"/>
  <c r="AA16" i="35"/>
  <c r="H14" i="33"/>
  <c r="J14" i="33"/>
  <c r="H44" i="33"/>
  <c r="F44" i="33"/>
  <c r="J44" i="33"/>
  <c r="H13" i="34"/>
  <c r="F13" i="34"/>
  <c r="J31" i="34"/>
  <c r="F31" i="34"/>
  <c r="H31" i="34"/>
  <c r="H47" i="34"/>
  <c r="J47" i="34"/>
  <c r="J25" i="35"/>
  <c r="H25" i="35"/>
  <c r="F25" i="35"/>
  <c r="F28" i="37"/>
  <c r="H28" i="37"/>
  <c r="J28" i="37"/>
  <c r="H36" i="39"/>
  <c r="J36" i="39"/>
  <c r="E13" i="31"/>
  <c r="I28" i="31" s="1"/>
  <c r="G17" i="43"/>
  <c r="C16" i="43" s="1"/>
  <c r="S26" i="35"/>
  <c r="AC41" i="39"/>
  <c r="S14" i="40"/>
  <c r="G118" i="43"/>
  <c r="H118" i="43" s="1"/>
  <c r="D116" i="43"/>
  <c r="E116" i="43" s="1"/>
  <c r="F116" i="43" s="1"/>
  <c r="G116" i="43" s="1"/>
  <c r="H116" i="43" s="1"/>
  <c r="M104" i="43"/>
  <c r="J107" i="43"/>
  <c r="M109" i="43"/>
  <c r="S13" i="21"/>
  <c r="AA36" i="21"/>
  <c r="AA25" i="36"/>
  <c r="C114" i="57"/>
  <c r="H109" i="57" s="1"/>
  <c r="S32" i="36"/>
  <c r="S37" i="40"/>
  <c r="AC30" i="21"/>
  <c r="B103" i="9"/>
  <c r="F9" i="34"/>
  <c r="W17" i="21"/>
  <c r="AC10" i="36"/>
  <c r="W10" i="36"/>
  <c r="AB39" i="37"/>
  <c r="U39" i="37"/>
  <c r="F36" i="39"/>
  <c r="E85" i="21"/>
  <c r="F85" i="21" s="1"/>
  <c r="G85" i="21" s="1"/>
  <c r="J23" i="21"/>
  <c r="AC23" i="21" s="1"/>
  <c r="AB8" i="33"/>
  <c r="U8" i="33"/>
  <c r="AA8" i="34"/>
  <c r="S8" i="34"/>
  <c r="AB9" i="35"/>
  <c r="U9" i="35"/>
  <c r="F31" i="39"/>
  <c r="J31" i="39"/>
  <c r="H31" i="39"/>
  <c r="AA38" i="39"/>
  <c r="S38" i="39"/>
  <c r="AA39" i="40"/>
  <c r="S39" i="40"/>
  <c r="J105" i="43"/>
  <c r="H104" i="43"/>
  <c r="I115" i="43"/>
  <c r="J115" i="43" s="1"/>
  <c r="K115" i="43" s="1"/>
  <c r="L115" i="43" s="1"/>
  <c r="M115" i="43" s="1"/>
  <c r="C116" i="9"/>
  <c r="H114" i="9" s="1"/>
  <c r="H102" i="43"/>
  <c r="W15" i="34"/>
  <c r="S38" i="34"/>
  <c r="AC16" i="36"/>
  <c r="AB13" i="39"/>
  <c r="AC15" i="39"/>
  <c r="AB13" i="21"/>
  <c r="M105" i="43"/>
  <c r="W28" i="33"/>
  <c r="AC37" i="34"/>
  <c r="AC30" i="34"/>
  <c r="U25" i="39"/>
  <c r="F47" i="34"/>
  <c r="F14" i="33"/>
  <c r="W14" i="34"/>
  <c r="AC14" i="34"/>
  <c r="AB15" i="34"/>
  <c r="U15" i="34"/>
  <c r="AA42" i="39"/>
  <c r="J14" i="21"/>
  <c r="H14" i="21"/>
  <c r="F46" i="21"/>
  <c r="H46" i="21"/>
  <c r="AB12" i="33"/>
  <c r="U12" i="33"/>
  <c r="H13" i="36"/>
  <c r="F13" i="36"/>
  <c r="J13" i="36"/>
  <c r="AB8" i="37"/>
  <c r="U8" i="37"/>
  <c r="F32" i="40"/>
  <c r="J32" i="40"/>
  <c r="AC44" i="21"/>
  <c r="W44" i="21"/>
  <c r="E77" i="21"/>
  <c r="F77" i="21" s="1"/>
  <c r="G77" i="21" s="1"/>
  <c r="H15" i="21"/>
  <c r="B74" i="43"/>
  <c r="B85" i="43"/>
  <c r="AB40" i="33"/>
  <c r="AA23" i="36"/>
  <c r="S23" i="36"/>
  <c r="J25" i="36"/>
  <c r="H25" i="36"/>
  <c r="W37" i="39"/>
  <c r="AC37" i="39"/>
  <c r="D48" i="59"/>
  <c r="C49" i="59"/>
  <c r="U13" i="40"/>
  <c r="AB13" i="40"/>
  <c r="U30" i="34"/>
  <c r="AB30" i="34"/>
  <c r="AC27" i="40"/>
  <c r="W45" i="39"/>
  <c r="AC45" i="39"/>
  <c r="E81" i="21"/>
  <c r="F81" i="21" s="1"/>
  <c r="G81" i="21" s="1"/>
  <c r="J19" i="21"/>
  <c r="H11" i="35"/>
  <c r="F11" i="35"/>
  <c r="J43" i="39"/>
  <c r="F43" i="39"/>
  <c r="AC39" i="40"/>
  <c r="W39" i="40"/>
  <c r="I21" i="58"/>
  <c r="D1" i="58" s="1"/>
  <c r="E10" i="58" s="1"/>
  <c r="AB19" i="59"/>
  <c r="F20" i="59"/>
  <c r="F21" i="59" s="1"/>
  <c r="F22" i="59" s="1"/>
  <c r="V22" i="59" s="1"/>
  <c r="AB18" i="59"/>
  <c r="AB16" i="59"/>
  <c r="AB17" i="59"/>
  <c r="AB11" i="59"/>
  <c r="T426" i="31"/>
  <c r="S426" i="31"/>
  <c r="T418" i="31"/>
  <c r="S418" i="31"/>
  <c r="T406" i="31"/>
  <c r="S406" i="31"/>
  <c r="T398" i="31"/>
  <c r="S398" i="31"/>
  <c r="T386" i="31"/>
  <c r="S386" i="31"/>
  <c r="T378" i="31"/>
  <c r="S378" i="31"/>
  <c r="T366" i="31"/>
  <c r="S366" i="31"/>
  <c r="T354" i="31"/>
  <c r="S354" i="31"/>
  <c r="T342" i="31"/>
  <c r="S342" i="31"/>
  <c r="T334" i="31"/>
  <c r="S334" i="31"/>
  <c r="T314" i="31"/>
  <c r="S314" i="31"/>
  <c r="T282" i="31"/>
  <c r="S282" i="31"/>
  <c r="T258" i="31"/>
  <c r="S258" i="31"/>
  <c r="T254" i="31"/>
  <c r="S254" i="31"/>
  <c r="T118" i="31"/>
  <c r="S118" i="31"/>
  <c r="T94" i="31"/>
  <c r="S94" i="31"/>
  <c r="T90" i="31"/>
  <c r="S90" i="31"/>
  <c r="T70" i="31"/>
  <c r="S70" i="31"/>
  <c r="T62" i="31"/>
  <c r="S62" i="31"/>
  <c r="D58" i="59"/>
  <c r="C57" i="59"/>
  <c r="T58" i="59"/>
  <c r="D74" i="59"/>
  <c r="C73" i="59"/>
  <c r="Y16" i="59"/>
  <c r="Z16" i="59" s="1"/>
  <c r="Y15" i="59"/>
  <c r="Z15" i="59" s="1"/>
  <c r="J9" i="35"/>
  <c r="F9" i="35"/>
  <c r="J12" i="35"/>
  <c r="F12" i="35"/>
  <c r="D65" i="59"/>
  <c r="C64" i="59"/>
  <c r="D64" i="59" s="1"/>
  <c r="O58" i="59"/>
  <c r="V18" i="59"/>
  <c r="F17" i="59"/>
  <c r="F16" i="59" s="1"/>
  <c r="E49" i="59"/>
  <c r="E50" i="59" s="1"/>
  <c r="U50" i="59" s="1"/>
  <c r="C14" i="59"/>
  <c r="Y14" i="59"/>
  <c r="Z14" i="59" s="1"/>
  <c r="C7" i="65"/>
  <c r="C58" i="65" s="1"/>
  <c r="F30" i="1"/>
  <c r="C31" i="12" s="1"/>
  <c r="X11" i="59"/>
  <c r="X7" i="59"/>
  <c r="AA21" i="37"/>
  <c r="S21" i="37"/>
  <c r="X23" i="59"/>
  <c r="B24" i="59"/>
  <c r="B25" i="59" s="1"/>
  <c r="B26" i="59" s="1"/>
  <c r="S26" i="59" s="1"/>
  <c r="X22" i="59"/>
  <c r="E5" i="59"/>
  <c r="U6" i="59"/>
  <c r="AA3" i="59"/>
  <c r="AA15" i="59"/>
  <c r="AA14" i="59"/>
  <c r="C18" i="9"/>
  <c r="D18" i="9" s="1"/>
  <c r="AA18" i="59"/>
  <c r="E18" i="59"/>
  <c r="AB22" i="59"/>
  <c r="C24" i="59"/>
  <c r="Y23" i="59"/>
  <c r="Z23" i="59" s="1"/>
  <c r="E37" i="59"/>
  <c r="E38" i="59" s="1"/>
  <c r="U38" i="59" s="1"/>
  <c r="F57" i="59"/>
  <c r="Q58" i="59"/>
  <c r="X14" i="59"/>
  <c r="C108" i="43"/>
  <c r="C109" i="43" s="1"/>
  <c r="K108" i="43"/>
  <c r="K109" i="43" s="1"/>
  <c r="D77" i="59"/>
  <c r="C76" i="59"/>
  <c r="D76" i="59" s="1"/>
  <c r="X18" i="59"/>
  <c r="X19" i="59"/>
  <c r="B20" i="59"/>
  <c r="B21" i="59" s="1"/>
  <c r="B22" i="59" s="1"/>
  <c r="S22" i="59" s="1"/>
  <c r="X20" i="59"/>
  <c r="X21" i="59"/>
  <c r="AB24" i="59"/>
  <c r="AB25" i="59"/>
  <c r="C33" i="59"/>
  <c r="D32" i="59"/>
  <c r="T66" i="59"/>
  <c r="D66" i="59"/>
  <c r="Y27" i="59"/>
  <c r="Z27" i="59" s="1"/>
  <c r="X24" i="59"/>
  <c r="AB20" i="59"/>
  <c r="Y11" i="59"/>
  <c r="Z11" i="59" s="1"/>
  <c r="Y7" i="59"/>
  <c r="Z7" i="59" s="1"/>
  <c r="Y9" i="59"/>
  <c r="Z9" i="59" s="1"/>
  <c r="X25" i="31"/>
  <c r="I20" i="58"/>
  <c r="C32" i="58"/>
  <c r="E26" i="58" s="1"/>
  <c r="D53" i="59"/>
  <c r="AB15" i="59"/>
  <c r="X16" i="59"/>
  <c r="C18" i="59"/>
  <c r="Y18" i="59"/>
  <c r="Z18" i="59" s="1"/>
  <c r="C21" i="59"/>
  <c r="D20" i="59"/>
  <c r="Y20" i="59"/>
  <c r="Z20" i="59" s="1"/>
  <c r="Y21" i="59"/>
  <c r="Z21" i="59" s="1"/>
  <c r="Y22" i="59"/>
  <c r="Z22" i="59" s="1"/>
  <c r="AA19" i="59"/>
  <c r="AA21" i="59"/>
  <c r="AB27" i="59"/>
  <c r="F53" i="59"/>
  <c r="F54" i="59" s="1"/>
  <c r="V54" i="59" s="1"/>
  <c r="AB26" i="59"/>
  <c r="AA23" i="59"/>
  <c r="B13" i="1"/>
  <c r="L49" i="15" s="1"/>
  <c r="AB12" i="59"/>
  <c r="AB3" i="59"/>
  <c r="AB7" i="59"/>
  <c r="Y8" i="59"/>
  <c r="Z8" i="59" s="1"/>
  <c r="J100" i="43"/>
  <c r="AA20" i="59"/>
  <c r="AA22" i="59"/>
  <c r="AB23" i="59"/>
  <c r="X25" i="59"/>
  <c r="X27" i="59"/>
  <c r="B28" i="59"/>
  <c r="B29" i="59" s="1"/>
  <c r="B30" i="59" s="1"/>
  <c r="S30" i="59" s="1"/>
  <c r="F65" i="59"/>
  <c r="F64" i="59" s="1"/>
  <c r="B1" i="62"/>
  <c r="X15" i="59"/>
  <c r="X12" i="59"/>
  <c r="AA11" i="59"/>
  <c r="Y13" i="59"/>
  <c r="Z13" i="59" s="1"/>
  <c r="AA9" i="59"/>
  <c r="AB6" i="59"/>
  <c r="AA6" i="59"/>
  <c r="C29" i="39"/>
  <c r="AB21" i="59"/>
  <c r="Y24" i="59"/>
  <c r="Z24" i="59" s="1"/>
  <c r="Y26" i="59"/>
  <c r="Z26" i="59" s="1"/>
  <c r="C15" i="50"/>
  <c r="C18" i="50"/>
  <c r="AA27" i="59"/>
  <c r="X26" i="59"/>
  <c r="AA7" i="59"/>
  <c r="A12" i="52"/>
  <c r="B67" i="60" s="1"/>
  <c r="Y5" i="59"/>
  <c r="Z5" i="59" s="1"/>
  <c r="AB37" i="65"/>
  <c r="U37" i="65"/>
  <c r="AC37" i="65"/>
  <c r="W37" i="65"/>
  <c r="AB5" i="59"/>
  <c r="AA5" i="59"/>
  <c r="I525" i="31"/>
  <c r="I515" i="31"/>
  <c r="I507" i="31"/>
  <c r="I499" i="31"/>
  <c r="I491" i="31"/>
  <c r="I483" i="31"/>
  <c r="I475" i="31"/>
  <c r="I467" i="31"/>
  <c r="I459" i="31"/>
  <c r="I451" i="31"/>
  <c r="I443" i="31"/>
  <c r="I435" i="31"/>
  <c r="I427" i="31"/>
  <c r="I419" i="31"/>
  <c r="I411" i="31"/>
  <c r="I403" i="31"/>
  <c r="I395" i="31"/>
  <c r="I387" i="31"/>
  <c r="I379" i="31"/>
  <c r="I371" i="31"/>
  <c r="I363" i="31"/>
  <c r="I352" i="31"/>
  <c r="I336" i="31"/>
  <c r="I320" i="31"/>
  <c r="I35" i="31"/>
  <c r="I43" i="31"/>
  <c r="I51" i="31"/>
  <c r="I59" i="31"/>
  <c r="I67" i="31"/>
  <c r="I75" i="31"/>
  <c r="I83" i="31"/>
  <c r="I91" i="31"/>
  <c r="I99" i="31"/>
  <c r="I107" i="31"/>
  <c r="I115" i="31"/>
  <c r="I123" i="31"/>
  <c r="I131" i="31"/>
  <c r="I139" i="31"/>
  <c r="I147" i="31"/>
  <c r="I155" i="31"/>
  <c r="I163" i="31"/>
  <c r="I171" i="31"/>
  <c r="I34" i="31"/>
  <c r="I42" i="31"/>
  <c r="I50" i="31"/>
  <c r="I58" i="31"/>
  <c r="I66" i="31"/>
  <c r="I74" i="31"/>
  <c r="I82" i="31"/>
  <c r="I90" i="31"/>
  <c r="I98" i="31"/>
  <c r="I106" i="31"/>
  <c r="I114" i="31"/>
  <c r="I122" i="31"/>
  <c r="I130" i="31"/>
  <c r="I138" i="31"/>
  <c r="I146" i="31"/>
  <c r="I154" i="31"/>
  <c r="I162" i="31"/>
  <c r="I170" i="31"/>
  <c r="I178" i="31"/>
  <c r="I186" i="31"/>
  <c r="I194" i="31"/>
  <c r="I177" i="31"/>
  <c r="I193" i="31"/>
  <c r="I205" i="31"/>
  <c r="I213" i="31"/>
  <c r="I221" i="31"/>
  <c r="I229" i="31"/>
  <c r="I237" i="31"/>
  <c r="I245" i="31"/>
  <c r="I253" i="31"/>
  <c r="I261" i="31"/>
  <c r="I269" i="31"/>
  <c r="I277" i="31"/>
  <c r="I285" i="31"/>
  <c r="I293" i="31"/>
  <c r="I301" i="31"/>
  <c r="I309" i="31"/>
  <c r="I317" i="31"/>
  <c r="I325" i="31"/>
  <c r="I333" i="31"/>
  <c r="I341" i="31"/>
  <c r="I349" i="31"/>
  <c r="I357" i="31"/>
  <c r="I191" i="31"/>
  <c r="I204" i="31"/>
  <c r="I212" i="31"/>
  <c r="I220" i="31"/>
  <c r="I228" i="31"/>
  <c r="I236" i="31"/>
  <c r="I244" i="31"/>
  <c r="I252" i="31"/>
  <c r="I260" i="31"/>
  <c r="I268" i="31"/>
  <c r="I276" i="31"/>
  <c r="I284" i="31"/>
  <c r="I292" i="31"/>
  <c r="I300" i="31"/>
  <c r="I308" i="31"/>
  <c r="I524" i="31"/>
  <c r="I516" i="31"/>
  <c r="I508" i="31"/>
  <c r="I500" i="31"/>
  <c r="I492" i="31"/>
  <c r="I484" i="31"/>
  <c r="I476" i="31"/>
  <c r="I468" i="31"/>
  <c r="I460" i="31"/>
  <c r="I452" i="31"/>
  <c r="I444" i="31"/>
  <c r="I436" i="31"/>
  <c r="I428" i="31"/>
  <c r="I420" i="31"/>
  <c r="I412" i="31"/>
  <c r="I404" i="31"/>
  <c r="I396" i="31"/>
  <c r="I388" i="31"/>
  <c r="I380" i="31"/>
  <c r="I372" i="31"/>
  <c r="I364" i="31"/>
  <c r="I354" i="31"/>
  <c r="I338" i="31"/>
  <c r="I322" i="31"/>
  <c r="E170" i="31"/>
  <c r="E166" i="31"/>
  <c r="AC27" i="21"/>
  <c r="F113" i="21"/>
  <c r="G113" i="21" s="1"/>
  <c r="H113" i="21" s="1"/>
  <c r="J37" i="21"/>
  <c r="F37" i="21"/>
  <c r="H37" i="21"/>
  <c r="W25" i="21"/>
  <c r="T491" i="31"/>
  <c r="S491" i="31"/>
  <c r="T427" i="31"/>
  <c r="S427" i="31"/>
  <c r="T411" i="31"/>
  <c r="S411" i="31"/>
  <c r="T395" i="31"/>
  <c r="S395" i="31"/>
  <c r="T379" i="31"/>
  <c r="S379" i="31"/>
  <c r="T363" i="31"/>
  <c r="S363" i="31"/>
  <c r="T347" i="31"/>
  <c r="S347" i="31"/>
  <c r="T339" i="31"/>
  <c r="S339" i="31"/>
  <c r="S323" i="31"/>
  <c r="T323" i="31"/>
  <c r="S319" i="31"/>
  <c r="T319" i="31"/>
  <c r="S311" i="31"/>
  <c r="T311" i="31"/>
  <c r="S303" i="31"/>
  <c r="T303" i="31"/>
  <c r="S295" i="31"/>
  <c r="T295" i="31"/>
  <c r="S291" i="31"/>
  <c r="T291" i="31"/>
  <c r="S283" i="31"/>
  <c r="T283" i="31"/>
  <c r="S271" i="31"/>
  <c r="T271" i="31"/>
  <c r="S487" i="31"/>
  <c r="S471" i="31"/>
  <c r="S425" i="31"/>
  <c r="S417" i="31"/>
  <c r="S409" i="31"/>
  <c r="S401" i="31"/>
  <c r="S393" i="31"/>
  <c r="S385" i="31"/>
  <c r="S377" i="31"/>
  <c r="S369" i="31"/>
  <c r="S361" i="31"/>
  <c r="S353" i="31"/>
  <c r="S345" i="31"/>
  <c r="S337" i="31"/>
  <c r="S329" i="31"/>
  <c r="S515" i="31"/>
  <c r="S459" i="31"/>
  <c r="S467" i="31"/>
  <c r="S509" i="31"/>
  <c r="S439" i="31"/>
  <c r="S447" i="31"/>
  <c r="S431" i="31"/>
  <c r="S441" i="31"/>
  <c r="S433" i="31"/>
  <c r="S469" i="31"/>
  <c r="S461" i="31"/>
  <c r="S453" i="31"/>
  <c r="S513" i="31"/>
  <c r="T259" i="31"/>
  <c r="T263" i="31"/>
  <c r="T267" i="31"/>
  <c r="T273" i="31"/>
  <c r="T281" i="31"/>
  <c r="T289" i="31"/>
  <c r="T297" i="31"/>
  <c r="T305" i="31"/>
  <c r="T313" i="31"/>
  <c r="T321" i="31"/>
  <c r="S335" i="31"/>
  <c r="S351" i="31"/>
  <c r="S367" i="31"/>
  <c r="S383" i="31"/>
  <c r="S399" i="31"/>
  <c r="S415" i="31"/>
  <c r="S527" i="31"/>
  <c r="S525" i="31"/>
  <c r="S523" i="31"/>
  <c r="S521" i="31"/>
  <c r="S519" i="31"/>
  <c r="S499"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475" i="31"/>
  <c r="S475" i="31"/>
  <c r="T419" i="31"/>
  <c r="S419" i="31"/>
  <c r="T403" i="31"/>
  <c r="S403" i="31"/>
  <c r="T387" i="31"/>
  <c r="S387" i="31"/>
  <c r="T371" i="31"/>
  <c r="S371" i="31"/>
  <c r="T355" i="31"/>
  <c r="S355" i="31"/>
  <c r="T331" i="31"/>
  <c r="S331" i="31"/>
  <c r="S315" i="31"/>
  <c r="T315" i="31"/>
  <c r="S307" i="31"/>
  <c r="T307" i="31"/>
  <c r="S299" i="31"/>
  <c r="T299" i="31"/>
  <c r="S287" i="31"/>
  <c r="T287" i="31"/>
  <c r="S279" i="31"/>
  <c r="T279" i="31"/>
  <c r="S275" i="31"/>
  <c r="T275" i="31"/>
  <c r="F89" i="21"/>
  <c r="G89" i="21" s="1"/>
  <c r="H89" i="21" s="1"/>
  <c r="F26" i="21"/>
  <c r="S26" i="21" s="1"/>
  <c r="AC28" i="2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187"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1" i="31"/>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8" i="31"/>
  <c r="G366" i="31"/>
  <c r="G364" i="31"/>
  <c r="G362" i="31"/>
  <c r="G360" i="31"/>
  <c r="G358" i="31"/>
  <c r="G355" i="31"/>
  <c r="G351" i="31"/>
  <c r="G347" i="31"/>
  <c r="G343" i="31"/>
  <c r="G339" i="31"/>
  <c r="G335" i="31"/>
  <c r="G331" i="31"/>
  <c r="E11" i="31"/>
  <c r="F11" i="31" s="1"/>
  <c r="G11" i="31" s="1"/>
  <c r="H11" i="31" s="1"/>
  <c r="I11" i="31" s="1"/>
  <c r="J11" i="31" s="1"/>
  <c r="K11" i="31" s="1"/>
  <c r="L11" i="31" s="1"/>
  <c r="M11" i="31" s="1"/>
  <c r="N11" i="31" s="1"/>
  <c r="O11" i="31" s="1"/>
  <c r="P11" i="31" s="1"/>
  <c r="Q11" i="31" s="1"/>
  <c r="R11" i="31" s="1"/>
  <c r="S11" i="31" s="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3" i="31"/>
  <c r="G349" i="31"/>
  <c r="G345" i="31"/>
  <c r="G341" i="31"/>
  <c r="G337" i="31"/>
  <c r="G333" i="31"/>
  <c r="S10" i="21"/>
  <c r="C5" i="43"/>
  <c r="D5" i="43"/>
  <c r="F9" i="31"/>
  <c r="G9" i="31" s="1"/>
  <c r="H9" i="31" s="1"/>
  <c r="I9" i="31" s="1"/>
  <c r="J9" i="31" s="1"/>
  <c r="K9" i="31" s="1"/>
  <c r="L9" i="31" s="1"/>
  <c r="M9" i="31" s="1"/>
  <c r="N9" i="31" s="1"/>
  <c r="O9" i="31" s="1"/>
  <c r="P9" i="31" s="1"/>
  <c r="Q9" i="31" s="1"/>
  <c r="R9" i="31" s="1"/>
  <c r="S9" i="31" s="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P72" i="15"/>
  <c r="U33" i="21"/>
  <c r="H43" i="21"/>
  <c r="AB43" i="21" s="1"/>
  <c r="F43" i="21"/>
  <c r="J43" i="21"/>
  <c r="F123" i="21"/>
  <c r="G123" i="21" s="1"/>
  <c r="H123" i="21" s="1"/>
  <c r="I123" i="21" s="1"/>
  <c r="J123" i="21" s="1"/>
  <c r="K123" i="21" s="1"/>
  <c r="L123" i="21" s="1"/>
  <c r="M123" i="21" s="1"/>
  <c r="F42" i="21"/>
  <c r="J42" i="21"/>
  <c r="H42" i="21"/>
  <c r="AB42" i="21" s="1"/>
  <c r="W10" i="21"/>
  <c r="S8" i="21"/>
  <c r="AC33" i="21"/>
  <c r="W40" i="21"/>
  <c r="AA32" i="21"/>
  <c r="S21" i="21"/>
  <c r="AC15" i="21"/>
  <c r="S23" i="21"/>
  <c r="AB36" i="21"/>
  <c r="U10" i="21"/>
  <c r="AC9" i="21"/>
  <c r="AB23" i="21"/>
  <c r="W23" i="21"/>
  <c r="W21" i="21"/>
  <c r="U19" i="21"/>
  <c r="U17" i="21"/>
  <c r="AA15" i="21"/>
  <c r="D42" i="50"/>
  <c r="D43" i="50" s="1"/>
  <c r="G124" i="57"/>
  <c r="F125" i="57"/>
  <c r="D21" i="50"/>
  <c r="D22" i="50" s="1"/>
  <c r="B35" i="60" s="1"/>
  <c r="D12" i="52"/>
  <c r="AB39" i="21"/>
  <c r="W39" i="21"/>
  <c r="U35" i="21"/>
  <c r="AB38" i="21"/>
  <c r="AC38" i="21"/>
  <c r="S35" i="21"/>
  <c r="W34" i="21"/>
  <c r="AA34" i="21"/>
  <c r="AB34" i="21"/>
  <c r="AB32" i="21"/>
  <c r="S33" i="21"/>
  <c r="S27" i="21"/>
  <c r="S28" i="21"/>
  <c r="U27" i="21"/>
  <c r="U28" i="21"/>
  <c r="C19" i="11"/>
  <c r="C20" i="11" s="1"/>
  <c r="C28" i="11" s="1"/>
  <c r="C27" i="11" s="1"/>
  <c r="C13" i="12"/>
  <c r="C16" i="12" s="1"/>
  <c r="C21" i="12" s="1"/>
  <c r="C22" i="12" s="1"/>
  <c r="C15" i="15"/>
  <c r="C19" i="15" s="1"/>
  <c r="C20" i="15" s="1"/>
  <c r="C26" i="15" s="1"/>
  <c r="C21" i="11"/>
  <c r="C29" i="11" s="1"/>
  <c r="D27" i="11" s="1"/>
  <c r="C94" i="9"/>
  <c r="C92" i="9"/>
  <c r="C93" i="57"/>
  <c r="C95" i="57"/>
  <c r="D79" i="57"/>
  <c r="D78" i="9"/>
  <c r="M18" i="15"/>
  <c r="F54" i="57"/>
  <c r="F52" i="9"/>
  <c r="F32" i="15"/>
  <c r="F61" i="15" s="1"/>
  <c r="F28" i="15"/>
  <c r="C28" i="15" s="1"/>
  <c r="F53" i="57"/>
  <c r="D68" i="9"/>
  <c r="D69" i="57"/>
  <c r="F31" i="12"/>
  <c r="F48" i="9"/>
  <c r="O52" i="9" s="1"/>
  <c r="F30" i="11"/>
  <c r="F49" i="57"/>
  <c r="O53" i="57" s="1"/>
  <c r="F55" i="57"/>
  <c r="F54" i="9"/>
  <c r="F53" i="9"/>
  <c r="B14" i="1"/>
  <c r="H10" i="39" s="1"/>
  <c r="I20" i="43"/>
  <c r="C20" i="43" s="1"/>
  <c r="C36" i="11"/>
  <c r="C38" i="11"/>
  <c r="C35" i="11"/>
  <c r="C50" i="15"/>
  <c r="D125" i="57"/>
  <c r="E124" i="57"/>
  <c r="C109" i="9"/>
  <c r="H106" i="9" s="1"/>
  <c r="H105" i="9"/>
  <c r="C111" i="9"/>
  <c r="H108" i="9" s="1"/>
  <c r="C110" i="9"/>
  <c r="H107" i="9" s="1"/>
  <c r="C12" i="50"/>
  <c r="D41" i="50"/>
  <c r="B63" i="60" s="1"/>
  <c r="C21" i="50"/>
  <c r="C34" i="15"/>
  <c r="D20" i="50"/>
  <c r="D128" i="9"/>
  <c r="D11" i="52" s="1"/>
  <c r="C23" i="12"/>
  <c r="J18" i="15"/>
  <c r="D18" i="50"/>
  <c r="D8" i="62"/>
  <c r="C8" i="62"/>
  <c r="F48" i="35"/>
  <c r="G48" i="35" s="1"/>
  <c r="H48" i="35" s="1"/>
  <c r="I48" i="35" s="1"/>
  <c r="J48" i="35" s="1"/>
  <c r="K48" i="35" s="1"/>
  <c r="L48" i="35" s="1"/>
  <c r="M48" i="35" s="1"/>
  <c r="N48" i="35" s="1"/>
  <c r="O48" i="35" s="1"/>
  <c r="AB10" i="39"/>
  <c r="U10" i="39"/>
  <c r="E46" i="36"/>
  <c r="E59" i="34"/>
  <c r="E52" i="37"/>
  <c r="D58" i="33"/>
  <c r="E58" i="21"/>
  <c r="I55" i="15"/>
  <c r="H10" i="40"/>
  <c r="J10" i="40"/>
  <c r="C7" i="62"/>
  <c r="D7" i="62"/>
  <c r="C14" i="50"/>
  <c r="B6" i="48"/>
  <c r="D6" i="48" s="1"/>
  <c r="F8" i="48"/>
  <c r="H8" i="48" s="1"/>
  <c r="F13" i="48"/>
  <c r="H13" i="48" s="1"/>
  <c r="B14" i="48"/>
  <c r="D14" i="48" s="1"/>
  <c r="X6" i="59"/>
  <c r="Y6" i="59"/>
  <c r="Z6"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F10" i="48"/>
  <c r="H10" i="48" s="1"/>
  <c r="F14" i="48"/>
  <c r="H14" i="48" s="1"/>
  <c r="B9" i="48"/>
  <c r="F11" i="48"/>
  <c r="H11" i="48" s="1"/>
  <c r="I1" i="61"/>
  <c r="B30" i="1" s="1"/>
  <c r="K1" i="61"/>
  <c r="D4" i="61"/>
  <c r="D5" i="61"/>
  <c r="D6" i="61"/>
  <c r="D3" i="61"/>
  <c r="D7" i="61"/>
  <c r="G1" i="61"/>
  <c r="E20" i="43" l="1"/>
  <c r="P28" i="43" s="1"/>
  <c r="M60" i="15"/>
  <c r="N60" i="15"/>
  <c r="D70" i="39"/>
  <c r="E68" i="39"/>
  <c r="C65" i="40"/>
  <c r="D63" i="40"/>
  <c r="L60" i="15"/>
  <c r="Q72" i="15" s="1"/>
  <c r="F10" i="40"/>
  <c r="S10" i="40" s="1"/>
  <c r="F10" i="39"/>
  <c r="J58" i="15"/>
  <c r="J56" i="15" s="1"/>
  <c r="J59" i="15" s="1"/>
  <c r="Q48" i="15" s="1"/>
  <c r="L59" i="15"/>
  <c r="L57" i="15"/>
  <c r="J54" i="15"/>
  <c r="I326" i="31"/>
  <c r="I342" i="31"/>
  <c r="I358" i="31"/>
  <c r="I366" i="31"/>
  <c r="I374" i="31"/>
  <c r="I382" i="31"/>
  <c r="I390" i="31"/>
  <c r="I398" i="31"/>
  <c r="I406" i="31"/>
  <c r="I414" i="31"/>
  <c r="I422" i="31"/>
  <c r="I430" i="31"/>
  <c r="I438" i="31"/>
  <c r="I446" i="31"/>
  <c r="I454" i="31"/>
  <c r="I462" i="31"/>
  <c r="I470" i="31"/>
  <c r="I478" i="31"/>
  <c r="I486" i="31"/>
  <c r="I494" i="31"/>
  <c r="I502" i="31"/>
  <c r="I510" i="31"/>
  <c r="I518" i="31"/>
  <c r="I526" i="31"/>
  <c r="I306" i="31"/>
  <c r="I298" i="31"/>
  <c r="I290" i="31"/>
  <c r="I282" i="31"/>
  <c r="I274" i="31"/>
  <c r="I266" i="31"/>
  <c r="I258" i="31"/>
  <c r="I250" i="31"/>
  <c r="I242" i="31"/>
  <c r="I234" i="31"/>
  <c r="I226" i="31"/>
  <c r="I218" i="31"/>
  <c r="I210" i="31"/>
  <c r="I202" i="31"/>
  <c r="I187" i="31"/>
  <c r="I355" i="31"/>
  <c r="I347" i="31"/>
  <c r="I339" i="31"/>
  <c r="I331" i="31"/>
  <c r="I323" i="31"/>
  <c r="I315" i="31"/>
  <c r="I307" i="31"/>
  <c r="I299" i="31"/>
  <c r="I291" i="31"/>
  <c r="I283" i="31"/>
  <c r="I275" i="31"/>
  <c r="I267" i="31"/>
  <c r="I259" i="31"/>
  <c r="I251" i="31"/>
  <c r="I243" i="31"/>
  <c r="I235" i="31"/>
  <c r="I227" i="31"/>
  <c r="I219" i="31"/>
  <c r="I211" i="31"/>
  <c r="I203" i="31"/>
  <c r="I189" i="31"/>
  <c r="I200" i="31"/>
  <c r="I192" i="31"/>
  <c r="I184" i="31"/>
  <c r="I176" i="31"/>
  <c r="I168" i="31"/>
  <c r="I160" i="31"/>
  <c r="I152" i="31"/>
  <c r="I144" i="31"/>
  <c r="I136" i="31"/>
  <c r="I128" i="31"/>
  <c r="I120" i="31"/>
  <c r="I112" i="31"/>
  <c r="I104" i="31"/>
  <c r="I96" i="31"/>
  <c r="I88" i="31"/>
  <c r="I80" i="31"/>
  <c r="I72" i="31"/>
  <c r="I64" i="31"/>
  <c r="I56" i="31"/>
  <c r="I48" i="31"/>
  <c r="I40" i="31"/>
  <c r="I32" i="31"/>
  <c r="I169" i="31"/>
  <c r="I161" i="31"/>
  <c r="I153" i="31"/>
  <c r="I145" i="31"/>
  <c r="I137" i="31"/>
  <c r="I129" i="31"/>
  <c r="I121" i="31"/>
  <c r="I113" i="31"/>
  <c r="I105" i="31"/>
  <c r="I97" i="31"/>
  <c r="I89" i="31"/>
  <c r="I81" i="31"/>
  <c r="I73" i="31"/>
  <c r="I65" i="31"/>
  <c r="I57" i="31"/>
  <c r="I49" i="31"/>
  <c r="I41" i="31"/>
  <c r="I33" i="31"/>
  <c r="I324" i="31"/>
  <c r="I340" i="31"/>
  <c r="I356" i="31"/>
  <c r="I365" i="31"/>
  <c r="I373" i="31"/>
  <c r="I381" i="31"/>
  <c r="I389" i="31"/>
  <c r="I397" i="31"/>
  <c r="I405" i="31"/>
  <c r="I413" i="31"/>
  <c r="I421" i="31"/>
  <c r="I429" i="31"/>
  <c r="I437" i="31"/>
  <c r="I445" i="31"/>
  <c r="I453" i="31"/>
  <c r="I461" i="31"/>
  <c r="I469" i="31"/>
  <c r="I477" i="31"/>
  <c r="I485" i="31"/>
  <c r="I493" i="31"/>
  <c r="I501" i="31"/>
  <c r="I509" i="31"/>
  <c r="I517" i="31"/>
  <c r="I523" i="31"/>
  <c r="T18" i="59"/>
  <c r="D18" i="59"/>
  <c r="C17" i="59"/>
  <c r="C34" i="59"/>
  <c r="D33" i="59"/>
  <c r="S12" i="35"/>
  <c r="AA12" i="35"/>
  <c r="W43" i="39"/>
  <c r="AC43" i="39"/>
  <c r="D49" i="59"/>
  <c r="C50" i="59"/>
  <c r="AB25" i="36"/>
  <c r="U25" i="36"/>
  <c r="S32" i="40"/>
  <c r="AA32" i="40"/>
  <c r="S13" i="36"/>
  <c r="AA13" i="36"/>
  <c r="U46" i="21"/>
  <c r="AB46" i="21"/>
  <c r="W31" i="39"/>
  <c r="AC31" i="39"/>
  <c r="S9" i="34"/>
  <c r="AA9" i="34"/>
  <c r="AC36" i="39"/>
  <c r="W36" i="39"/>
  <c r="S28" i="37"/>
  <c r="AA28" i="37"/>
  <c r="AC47" i="34"/>
  <c r="W47" i="34"/>
  <c r="W31" i="34"/>
  <c r="AC31" i="34"/>
  <c r="S44" i="33"/>
  <c r="AA44" i="33"/>
  <c r="W28" i="34"/>
  <c r="AC28" i="34"/>
  <c r="AC14" i="37"/>
  <c r="W14" i="37"/>
  <c r="U43" i="21"/>
  <c r="J10" i="39"/>
  <c r="AC10" i="39" s="1"/>
  <c r="H7" i="35"/>
  <c r="J7" i="35"/>
  <c r="H26" i="21"/>
  <c r="AB26" i="21" s="1"/>
  <c r="I314" i="31"/>
  <c r="I330" i="31"/>
  <c r="I346" i="31"/>
  <c r="I360" i="31"/>
  <c r="I368" i="31"/>
  <c r="I376" i="31"/>
  <c r="I384" i="31"/>
  <c r="I392" i="31"/>
  <c r="I400" i="31"/>
  <c r="I408" i="31"/>
  <c r="I416" i="31"/>
  <c r="I424" i="31"/>
  <c r="I432" i="31"/>
  <c r="I440" i="31"/>
  <c r="I448" i="31"/>
  <c r="I456" i="31"/>
  <c r="I464" i="31"/>
  <c r="I472" i="31"/>
  <c r="I480" i="31"/>
  <c r="I488" i="31"/>
  <c r="I496" i="31"/>
  <c r="I504" i="31"/>
  <c r="I512" i="31"/>
  <c r="I520" i="31"/>
  <c r="I312" i="31"/>
  <c r="I304" i="31"/>
  <c r="I296" i="31"/>
  <c r="I288" i="31"/>
  <c r="I280" i="31"/>
  <c r="I272" i="31"/>
  <c r="I264" i="31"/>
  <c r="I256" i="31"/>
  <c r="I248" i="31"/>
  <c r="I240" i="31"/>
  <c r="I232" i="31"/>
  <c r="I224" i="31"/>
  <c r="I216" i="31"/>
  <c r="I208" i="31"/>
  <c r="I199" i="31"/>
  <c r="I183" i="31"/>
  <c r="I353" i="31"/>
  <c r="I345" i="31"/>
  <c r="I337" i="31"/>
  <c r="I329" i="31"/>
  <c r="I321" i="31"/>
  <c r="I313" i="31"/>
  <c r="I305" i="31"/>
  <c r="I297" i="31"/>
  <c r="I289" i="31"/>
  <c r="I281" i="31"/>
  <c r="I273" i="31"/>
  <c r="I265" i="31"/>
  <c r="I257" i="31"/>
  <c r="I249" i="31"/>
  <c r="I241" i="31"/>
  <c r="I233" i="31"/>
  <c r="I225" i="31"/>
  <c r="I217" i="31"/>
  <c r="I209" i="31"/>
  <c r="I201" i="31"/>
  <c r="I185" i="31"/>
  <c r="I198" i="31"/>
  <c r="I190" i="31"/>
  <c r="I182" i="31"/>
  <c r="I174" i="31"/>
  <c r="I166" i="31"/>
  <c r="I158" i="31"/>
  <c r="I150" i="31"/>
  <c r="I142" i="31"/>
  <c r="I134" i="31"/>
  <c r="I126" i="31"/>
  <c r="I118" i="31"/>
  <c r="I110" i="31"/>
  <c r="I102" i="31"/>
  <c r="I94" i="31"/>
  <c r="I86" i="31"/>
  <c r="I78" i="31"/>
  <c r="I70" i="31"/>
  <c r="I62" i="31"/>
  <c r="I54" i="31"/>
  <c r="I46" i="31"/>
  <c r="I38" i="31"/>
  <c r="I175" i="31"/>
  <c r="I167" i="31"/>
  <c r="I159" i="31"/>
  <c r="I151" i="31"/>
  <c r="I143" i="31"/>
  <c r="I135" i="31"/>
  <c r="I127" i="31"/>
  <c r="I119" i="31"/>
  <c r="I111" i="31"/>
  <c r="I103" i="31"/>
  <c r="I95" i="31"/>
  <c r="I87" i="31"/>
  <c r="I79" i="31"/>
  <c r="I71" i="31"/>
  <c r="I63" i="31"/>
  <c r="I55" i="31"/>
  <c r="I47" i="31"/>
  <c r="I39" i="31"/>
  <c r="I30" i="31"/>
  <c r="I328" i="31"/>
  <c r="I344" i="31"/>
  <c r="I359" i="31"/>
  <c r="I367" i="31"/>
  <c r="I375" i="31"/>
  <c r="I383" i="31"/>
  <c r="I391" i="31"/>
  <c r="I399" i="31"/>
  <c r="I407" i="31"/>
  <c r="I415" i="31"/>
  <c r="I423" i="31"/>
  <c r="I431" i="31"/>
  <c r="I439" i="31"/>
  <c r="I447" i="31"/>
  <c r="I455" i="31"/>
  <c r="I463" i="31"/>
  <c r="I471" i="31"/>
  <c r="I479" i="31"/>
  <c r="I487" i="31"/>
  <c r="I495" i="31"/>
  <c r="I503" i="31"/>
  <c r="I511" i="31"/>
  <c r="I519" i="31"/>
  <c r="I527" i="31"/>
  <c r="C25" i="59"/>
  <c r="D24" i="59"/>
  <c r="T14" i="59"/>
  <c r="D14" i="59"/>
  <c r="C13" i="59"/>
  <c r="W12" i="35"/>
  <c r="AC12" i="35"/>
  <c r="D57" i="59"/>
  <c r="C56" i="59"/>
  <c r="O57" i="59"/>
  <c r="S11" i="35"/>
  <c r="AA11" i="35"/>
  <c r="W25" i="36"/>
  <c r="AC25" i="36"/>
  <c r="AB13" i="36"/>
  <c r="U13" i="36"/>
  <c r="AA46" i="21"/>
  <c r="S46" i="21"/>
  <c r="S14" i="33"/>
  <c r="AA14" i="33"/>
  <c r="S31" i="39"/>
  <c r="AA31" i="39"/>
  <c r="AB36" i="39"/>
  <c r="U36" i="39"/>
  <c r="S25" i="35"/>
  <c r="AA25" i="35"/>
  <c r="U47" i="34"/>
  <c r="AB47" i="34"/>
  <c r="AA13" i="34"/>
  <c r="S13" i="34"/>
  <c r="U44" i="33"/>
  <c r="AB44" i="33"/>
  <c r="U28" i="34"/>
  <c r="AB28" i="34"/>
  <c r="S14" i="37"/>
  <c r="AA14" i="37"/>
  <c r="F7" i="35"/>
  <c r="S7" i="35" s="1"/>
  <c r="I318" i="31"/>
  <c r="I334" i="31"/>
  <c r="I350" i="31"/>
  <c r="I362" i="31"/>
  <c r="I370" i="31"/>
  <c r="I378" i="31"/>
  <c r="I386" i="31"/>
  <c r="I394" i="31"/>
  <c r="I402" i="31"/>
  <c r="I410" i="31"/>
  <c r="I418" i="31"/>
  <c r="I426" i="31"/>
  <c r="I434" i="31"/>
  <c r="I442" i="31"/>
  <c r="I450" i="31"/>
  <c r="I458" i="31"/>
  <c r="I466" i="31"/>
  <c r="I474" i="31"/>
  <c r="I482" i="31"/>
  <c r="I490" i="31"/>
  <c r="I498" i="31"/>
  <c r="I506" i="31"/>
  <c r="I514" i="31"/>
  <c r="I522" i="31"/>
  <c r="I310" i="31"/>
  <c r="I302" i="31"/>
  <c r="I294" i="31"/>
  <c r="I286" i="31"/>
  <c r="I278" i="31"/>
  <c r="I270" i="31"/>
  <c r="I262" i="31"/>
  <c r="I254" i="31"/>
  <c r="I246" i="31"/>
  <c r="I238" i="31"/>
  <c r="I230" i="31"/>
  <c r="I222" i="31"/>
  <c r="I214" i="31"/>
  <c r="I206" i="31"/>
  <c r="I195" i="31"/>
  <c r="I179" i="31"/>
  <c r="I351" i="31"/>
  <c r="I343" i="31"/>
  <c r="I335" i="31"/>
  <c r="I327" i="31"/>
  <c r="I319" i="31"/>
  <c r="I311" i="31"/>
  <c r="I303" i="31"/>
  <c r="I295" i="31"/>
  <c r="I287" i="31"/>
  <c r="I279" i="31"/>
  <c r="I271" i="31"/>
  <c r="I263" i="31"/>
  <c r="I255" i="31"/>
  <c r="I247" i="31"/>
  <c r="I239" i="31"/>
  <c r="I231" i="31"/>
  <c r="I223" i="31"/>
  <c r="I215" i="31"/>
  <c r="I207" i="31"/>
  <c r="I197" i="31"/>
  <c r="I181" i="31"/>
  <c r="I196" i="31"/>
  <c r="I188" i="31"/>
  <c r="I180" i="31"/>
  <c r="I172" i="31"/>
  <c r="I164" i="31"/>
  <c r="I156" i="31"/>
  <c r="I148" i="31"/>
  <c r="I140" i="31"/>
  <c r="I132" i="31"/>
  <c r="I124" i="31"/>
  <c r="I116" i="31"/>
  <c r="I108" i="31"/>
  <c r="I100" i="31"/>
  <c r="I92" i="31"/>
  <c r="I84" i="31"/>
  <c r="I76" i="31"/>
  <c r="I68" i="31"/>
  <c r="I60" i="31"/>
  <c r="I52" i="31"/>
  <c r="I44" i="31"/>
  <c r="I36" i="31"/>
  <c r="I173" i="31"/>
  <c r="I165" i="31"/>
  <c r="I157" i="31"/>
  <c r="I149" i="31"/>
  <c r="I141" i="31"/>
  <c r="I133" i="31"/>
  <c r="I125" i="31"/>
  <c r="I117" i="31"/>
  <c r="I109" i="31"/>
  <c r="I101" i="31"/>
  <c r="I93" i="31"/>
  <c r="I85" i="31"/>
  <c r="I77" i="31"/>
  <c r="I69" i="31"/>
  <c r="I61" i="31"/>
  <c r="I53" i="31"/>
  <c r="I45" i="31"/>
  <c r="I37" i="31"/>
  <c r="F13" i="31"/>
  <c r="G13" i="31" s="1"/>
  <c r="H13" i="31" s="1"/>
  <c r="I13" i="31" s="1"/>
  <c r="J13" i="31" s="1"/>
  <c r="K13" i="31" s="1"/>
  <c r="L13" i="31" s="1"/>
  <c r="M13" i="31" s="1"/>
  <c r="N13" i="31" s="1"/>
  <c r="O13" i="31" s="1"/>
  <c r="P13" i="31" s="1"/>
  <c r="Q13" i="31" s="1"/>
  <c r="R13" i="31" s="1"/>
  <c r="S13" i="31" s="1"/>
  <c r="I332" i="31"/>
  <c r="I348" i="31"/>
  <c r="I361" i="31"/>
  <c r="I369" i="31"/>
  <c r="I377" i="31"/>
  <c r="I385" i="31"/>
  <c r="I393" i="31"/>
  <c r="I401" i="31"/>
  <c r="I409" i="31"/>
  <c r="I417" i="31"/>
  <c r="I425" i="31"/>
  <c r="I433" i="31"/>
  <c r="I441" i="31"/>
  <c r="I449" i="31"/>
  <c r="I457" i="31"/>
  <c r="I465" i="31"/>
  <c r="I473" i="31"/>
  <c r="I481" i="31"/>
  <c r="I489" i="31"/>
  <c r="I497" i="31"/>
  <c r="I505" i="31"/>
  <c r="I513" i="31"/>
  <c r="I521" i="31"/>
  <c r="D21" i="59"/>
  <c r="C22" i="59"/>
  <c r="Q57" i="59"/>
  <c r="F56" i="59"/>
  <c r="C24" i="12"/>
  <c r="C29" i="12" s="1"/>
  <c r="D28" i="12" s="1"/>
  <c r="C77" i="9"/>
  <c r="C74" i="9" s="1"/>
  <c r="C78" i="57"/>
  <c r="C75" i="57" s="1"/>
  <c r="AA9" i="35"/>
  <c r="S9" i="35"/>
  <c r="D73" i="59"/>
  <c r="C72" i="59"/>
  <c r="D72" i="59" s="1"/>
  <c r="AB11" i="35"/>
  <c r="U11" i="35"/>
  <c r="AB14" i="21"/>
  <c r="U14" i="21"/>
  <c r="AA47" i="34"/>
  <c r="S47" i="34"/>
  <c r="AA36" i="39"/>
  <c r="S36" i="39"/>
  <c r="W28" i="37"/>
  <c r="AC28" i="37"/>
  <c r="U25" i="35"/>
  <c r="AB25" i="35"/>
  <c r="AB31" i="34"/>
  <c r="U31" i="34"/>
  <c r="U13" i="34"/>
  <c r="AB13" i="34"/>
  <c r="AC14" i="33"/>
  <c r="W14" i="33"/>
  <c r="AC26" i="33"/>
  <c r="W26" i="33"/>
  <c r="AA28" i="34"/>
  <c r="S28" i="34"/>
  <c r="U14" i="37"/>
  <c r="AB14" i="37"/>
  <c r="E17" i="59"/>
  <c r="E16" i="59" s="1"/>
  <c r="U18" i="59"/>
  <c r="D58" i="65"/>
  <c r="E58" i="65" s="1"/>
  <c r="F58" i="65" s="1"/>
  <c r="G58" i="65" s="1"/>
  <c r="H58" i="65" s="1"/>
  <c r="I58" i="65" s="1"/>
  <c r="J58" i="65" s="1"/>
  <c r="K58" i="65" s="1"/>
  <c r="L58" i="65" s="1"/>
  <c r="M58" i="65" s="1"/>
  <c r="N58" i="65" s="1"/>
  <c r="O58" i="65" s="1"/>
  <c r="H7" i="65"/>
  <c r="F7" i="65"/>
  <c r="AC9" i="35"/>
  <c r="W9" i="35"/>
  <c r="AA43" i="39"/>
  <c r="S43" i="39"/>
  <c r="W19" i="21"/>
  <c r="AC19" i="21"/>
  <c r="AB15" i="21"/>
  <c r="U15" i="21"/>
  <c r="AC32" i="40"/>
  <c r="W32" i="40"/>
  <c r="W13" i="36"/>
  <c r="AC13" i="36"/>
  <c r="AC14" i="21"/>
  <c r="W14" i="21"/>
  <c r="AB31" i="39"/>
  <c r="U31" i="39"/>
  <c r="I316" i="31"/>
  <c r="I31" i="31"/>
  <c r="I29" i="31"/>
  <c r="U28" i="37"/>
  <c r="AB28" i="37"/>
  <c r="W25" i="35"/>
  <c r="AC25" i="35"/>
  <c r="S31" i="34"/>
  <c r="AA31" i="34"/>
  <c r="AC44" i="33"/>
  <c r="W44" i="33"/>
  <c r="U14" i="33"/>
  <c r="AB14" i="33"/>
  <c r="AB26" i="33"/>
  <c r="U26" i="33"/>
  <c r="D113" i="43"/>
  <c r="B5" i="59"/>
  <c r="S6" i="59"/>
  <c r="U37" i="21"/>
  <c r="AB37" i="21"/>
  <c r="W37" i="21"/>
  <c r="AC37" i="21"/>
  <c r="AA37" i="21"/>
  <c r="S37" i="21"/>
  <c r="U26" i="21"/>
  <c r="I89" i="21"/>
  <c r="J89" i="21" s="1"/>
  <c r="K89" i="21" s="1"/>
  <c r="L89" i="21" s="1"/>
  <c r="M89" i="21" s="1"/>
  <c r="J26" i="21"/>
  <c r="AA26" i="21"/>
  <c r="B33" i="60"/>
  <c r="S43" i="21"/>
  <c r="AA43" i="21"/>
  <c r="AC43" i="21"/>
  <c r="W43" i="21"/>
  <c r="AA42" i="21"/>
  <c r="S42" i="21"/>
  <c r="U42" i="21"/>
  <c r="AC42" i="21"/>
  <c r="W42" i="21"/>
  <c r="C33" i="11"/>
  <c r="C39" i="11" s="1"/>
  <c r="C46" i="11" s="1"/>
  <c r="C45" i="11" s="1"/>
  <c r="C30" i="11"/>
  <c r="C48" i="11"/>
  <c r="C30" i="12"/>
  <c r="C28" i="12" s="1"/>
  <c r="S10" i="39"/>
  <c r="AA10" i="39"/>
  <c r="B31" i="60"/>
  <c r="D19" i="50"/>
  <c r="B32" i="60" s="1"/>
  <c r="D10" i="48"/>
  <c r="E3" i="4"/>
  <c r="B5" i="55" s="1"/>
  <c r="B55" i="60" s="1"/>
  <c r="D9" i="48"/>
  <c r="C3" i="4"/>
  <c r="W10" i="39"/>
  <c r="W10" i="40"/>
  <c r="AC10" i="40"/>
  <c r="U7" i="35"/>
  <c r="AB7" i="35"/>
  <c r="T38" i="35" s="1"/>
  <c r="G38" i="35" s="1"/>
  <c r="F52" i="37"/>
  <c r="F59" i="34"/>
  <c r="W7" i="35"/>
  <c r="AC7" i="35"/>
  <c r="V38" i="35" s="1"/>
  <c r="I38" i="35" s="1"/>
  <c r="AB10" i="40"/>
  <c r="U10" i="40"/>
  <c r="B33" i="1"/>
  <c r="F41" i="15" s="1"/>
  <c r="F70" i="15" s="1"/>
  <c r="Q50" i="15"/>
  <c r="Q71" i="15"/>
  <c r="Q58" i="15"/>
  <c r="F58" i="21"/>
  <c r="E58" i="33"/>
  <c r="F58" i="33" s="1"/>
  <c r="G58" i="33" s="1"/>
  <c r="H58" i="33" s="1"/>
  <c r="I58" i="33" s="1"/>
  <c r="J58" i="33" s="1"/>
  <c r="K58" i="33" s="1"/>
  <c r="L58" i="33" s="1"/>
  <c r="M58" i="33" s="1"/>
  <c r="N58" i="33" s="1"/>
  <c r="O58" i="33" s="1"/>
  <c r="F46" i="36"/>
  <c r="AA7" i="35"/>
  <c r="R38" i="35" s="1"/>
  <c r="C19" i="43"/>
  <c r="C29" i="43" s="1"/>
  <c r="P24" i="43"/>
  <c r="B66" i="40" s="1"/>
  <c r="P21" i="43"/>
  <c r="B71" i="39" s="1"/>
  <c r="P23" i="43"/>
  <c r="P22" i="43"/>
  <c r="E27" i="1"/>
  <c r="F11" i="15"/>
  <c r="M11" i="15"/>
  <c r="J10" i="15" s="1"/>
  <c r="J5" i="15" s="1"/>
  <c r="AA10" i="40" l="1"/>
  <c r="D65" i="40"/>
  <c r="E63" i="40"/>
  <c r="O28" i="43"/>
  <c r="F68" i="39"/>
  <c r="E70" i="39"/>
  <c r="M28" i="43"/>
  <c r="Q59" i="15"/>
  <c r="N28" i="43"/>
  <c r="T34" i="59"/>
  <c r="D34" i="59"/>
  <c r="U7" i="65"/>
  <c r="AB7" i="65"/>
  <c r="T48" i="65" s="1"/>
  <c r="G48" i="65" s="1"/>
  <c r="Q56" i="59"/>
  <c r="Q55" i="59"/>
  <c r="T50" i="59"/>
  <c r="D50" i="59"/>
  <c r="D17" i="59"/>
  <c r="C16" i="59"/>
  <c r="D16" i="59" s="1"/>
  <c r="S7" i="65"/>
  <c r="AA7" i="65"/>
  <c r="R48" i="65" s="1"/>
  <c r="D22" i="59"/>
  <c r="T22" i="59"/>
  <c r="O55" i="59"/>
  <c r="O56" i="59"/>
  <c r="D56" i="59"/>
  <c r="D13" i="59"/>
  <c r="C12" i="59"/>
  <c r="C26" i="59"/>
  <c r="D25" i="59"/>
  <c r="H7" i="33"/>
  <c r="U7" i="33" s="1"/>
  <c r="J7" i="33"/>
  <c r="W7" i="33" s="1"/>
  <c r="J7" i="65"/>
  <c r="W26" i="21"/>
  <c r="AC26" i="21"/>
  <c r="B18" i="49"/>
  <c r="B4" i="60" s="1"/>
  <c r="B4" i="55"/>
  <c r="B53" i="60" s="1"/>
  <c r="E38" i="35"/>
  <c r="R39" i="35"/>
  <c r="G46" i="36"/>
  <c r="G58" i="21"/>
  <c r="I43" i="35"/>
  <c r="J43" i="35" s="1"/>
  <c r="I42" i="35"/>
  <c r="J42" i="35" s="1"/>
  <c r="G52" i="37"/>
  <c r="AC7" i="33"/>
  <c r="V48" i="33" s="1"/>
  <c r="I48" i="33" s="1"/>
  <c r="G59" i="34"/>
  <c r="H59" i="34" s="1"/>
  <c r="I59" i="34" s="1"/>
  <c r="J59" i="34" s="1"/>
  <c r="K59" i="34" s="1"/>
  <c r="L59" i="34" s="1"/>
  <c r="M59" i="34" s="1"/>
  <c r="N59" i="34" s="1"/>
  <c r="O59" i="34" s="1"/>
  <c r="G43" i="35"/>
  <c r="H43" i="35" s="1"/>
  <c r="G42" i="35"/>
  <c r="H42" i="35" s="1"/>
  <c r="F7" i="3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54" i="15"/>
  <c r="C49" i="15" s="1"/>
  <c r="J24" i="15"/>
  <c r="J26" i="15"/>
  <c r="J29" i="15" s="1"/>
  <c r="F22" i="11"/>
  <c r="F24" i="15"/>
  <c r="F25" i="12"/>
  <c r="G68" i="39" l="1"/>
  <c r="F70" i="39"/>
  <c r="E65" i="40"/>
  <c r="F63" i="40"/>
  <c r="AB7" i="33"/>
  <c r="T48" i="33" s="1"/>
  <c r="G48" i="33" s="1"/>
  <c r="G52" i="33" s="1"/>
  <c r="H52" i="33" s="1"/>
  <c r="J7" i="34"/>
  <c r="W7" i="34" s="1"/>
  <c r="G52" i="65"/>
  <c r="H52" i="65" s="1"/>
  <c r="H7" i="34"/>
  <c r="U7" i="34" s="1"/>
  <c r="W7" i="65"/>
  <c r="AC7" i="65"/>
  <c r="V48" i="65" s="1"/>
  <c r="I48" i="65" s="1"/>
  <c r="T26" i="59"/>
  <c r="D26" i="59"/>
  <c r="E48" i="65"/>
  <c r="R49" i="65"/>
  <c r="D12" i="59"/>
  <c r="C11" i="59"/>
  <c r="I52" i="33"/>
  <c r="J52" i="33" s="1"/>
  <c r="H52" i="37"/>
  <c r="C38" i="35"/>
  <c r="C39" i="35"/>
  <c r="AA7" i="33"/>
  <c r="R48" i="33" s="1"/>
  <c r="S7" i="33"/>
  <c r="AC7" i="34"/>
  <c r="V49" i="34" s="1"/>
  <c r="I49" i="34" s="1"/>
  <c r="H58" i="21"/>
  <c r="H46" i="36"/>
  <c r="E43" i="35"/>
  <c r="F43" i="35" s="1"/>
  <c r="E42" i="35"/>
  <c r="F42" i="35" s="1"/>
  <c r="F7" i="34"/>
  <c r="E39" i="43"/>
  <c r="G34" i="43"/>
  <c r="I34" i="43" s="1"/>
  <c r="E34" i="43"/>
  <c r="G37" i="43"/>
  <c r="I37" i="43" s="1"/>
  <c r="E35" i="43"/>
  <c r="G35" i="43"/>
  <c r="I35" i="43" s="1"/>
  <c r="E33" i="43"/>
  <c r="C26" i="43" s="1"/>
  <c r="B2" i="43" s="1"/>
  <c r="B3" i="43" s="1"/>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H68" i="39" l="1"/>
  <c r="G70" i="39"/>
  <c r="F65" i="40"/>
  <c r="G63" i="40"/>
  <c r="G53" i="33"/>
  <c r="H53" i="33" s="1"/>
  <c r="C10" i="59"/>
  <c r="D11" i="59"/>
  <c r="AB7" i="34"/>
  <c r="T49" i="34" s="1"/>
  <c r="G49" i="34" s="1"/>
  <c r="G53" i="34" s="1"/>
  <c r="H53" i="34" s="1"/>
  <c r="C48" i="65"/>
  <c r="C49" i="65"/>
  <c r="I53" i="65"/>
  <c r="J53" i="65" s="1"/>
  <c r="I52" i="65"/>
  <c r="J52" i="65" s="1"/>
  <c r="G53" i="65"/>
  <c r="H53" i="65" s="1"/>
  <c r="E52" i="65"/>
  <c r="F52" i="65" s="1"/>
  <c r="E53" i="65"/>
  <c r="F53" i="65" s="1"/>
  <c r="S7" i="34"/>
  <c r="AA7" i="34"/>
  <c r="R49" i="34" s="1"/>
  <c r="I46" i="36"/>
  <c r="I58" i="21"/>
  <c r="E48" i="33"/>
  <c r="R49" i="33"/>
  <c r="I53" i="34"/>
  <c r="J53" i="34" s="1"/>
  <c r="B3" i="35"/>
  <c r="B2" i="35"/>
  <c r="I52" i="37"/>
  <c r="C41" i="11"/>
  <c r="C49" i="11" s="1"/>
  <c r="C51" i="11" s="1"/>
  <c r="C29" i="15"/>
  <c r="J14" i="15" s="1"/>
  <c r="C22" i="11"/>
  <c r="C31" i="11" s="1"/>
  <c r="C32" i="12"/>
  <c r="G65" i="40" l="1"/>
  <c r="H63" i="40"/>
  <c r="G54" i="34"/>
  <c r="H54" i="34" s="1"/>
  <c r="I68" i="39"/>
  <c r="H70" i="39"/>
  <c r="B3" i="65"/>
  <c r="F6" i="15" s="1"/>
  <c r="C6" i="15" s="1"/>
  <c r="B2" i="65"/>
  <c r="C9" i="59"/>
  <c r="D10" i="59"/>
  <c r="T10" i="59"/>
  <c r="C49" i="33"/>
  <c r="B2" i="33" s="1"/>
  <c r="B3" i="33" s="1"/>
  <c r="C48" i="33"/>
  <c r="J58" i="21"/>
  <c r="R50" i="34"/>
  <c r="E49" i="34"/>
  <c r="J52" i="37"/>
  <c r="E52" i="33"/>
  <c r="F52" i="33" s="1"/>
  <c r="E53" i="33"/>
  <c r="F53" i="33" s="1"/>
  <c r="I53" i="33"/>
  <c r="J53" i="33" s="1"/>
  <c r="J46" i="36"/>
  <c r="J60" i="15"/>
  <c r="J61" i="15" s="1"/>
  <c r="L47" i="15" s="1"/>
  <c r="J19" i="15"/>
  <c r="J17" i="15" s="1"/>
  <c r="C58" i="15"/>
  <c r="C65" i="15" s="1"/>
  <c r="C13" i="15"/>
  <c r="J34" i="15" s="1"/>
  <c r="Q47" i="15"/>
  <c r="C52" i="11"/>
  <c r="C36" i="15"/>
  <c r="J13" i="15"/>
  <c r="J23" i="15" s="1"/>
  <c r="J22" i="15"/>
  <c r="B2" i="12"/>
  <c r="B3" i="12"/>
  <c r="J68" i="39" l="1"/>
  <c r="I70" i="39"/>
  <c r="H65" i="40"/>
  <c r="I63" i="40"/>
  <c r="C32" i="15"/>
  <c r="C10" i="15"/>
  <c r="C5" i="15" s="1"/>
  <c r="C38" i="15" s="1"/>
  <c r="C33" i="15"/>
  <c r="C8" i="59"/>
  <c r="D9" i="59"/>
  <c r="E53" i="34"/>
  <c r="F53" i="34" s="1"/>
  <c r="E54" i="34"/>
  <c r="F54" i="34" s="1"/>
  <c r="I54" i="34"/>
  <c r="J54" i="34" s="1"/>
  <c r="K46" i="36"/>
  <c r="K52" i="37"/>
  <c r="C49" i="34"/>
  <c r="C50" i="34"/>
  <c r="B2" i="34" s="1"/>
  <c r="B3" i="34" s="1"/>
  <c r="K58" i="21"/>
  <c r="Q46" i="15"/>
  <c r="C62" i="15"/>
  <c r="C60" i="15" s="1"/>
  <c r="C57" i="15"/>
  <c r="C66" i="15" s="1"/>
  <c r="C37" i="15"/>
  <c r="Q68" i="15"/>
  <c r="J16" i="15"/>
  <c r="J25" i="15" s="1"/>
  <c r="C56" i="11"/>
  <c r="C57" i="11" s="1"/>
  <c r="B2" i="11"/>
  <c r="B3" i="11"/>
  <c r="J63" i="40" l="1"/>
  <c r="I65" i="40"/>
  <c r="K68" i="39"/>
  <c r="J70" i="39"/>
  <c r="C7" i="59"/>
  <c r="D8" i="59"/>
  <c r="C31" i="15"/>
  <c r="C30" i="15" s="1"/>
  <c r="C39" i="15" s="1"/>
  <c r="L46" i="36"/>
  <c r="L58" i="21"/>
  <c r="L52" i="37"/>
  <c r="C59" i="15"/>
  <c r="C68" i="15" s="1"/>
  <c r="C69" i="15" s="1"/>
  <c r="C72" i="15" s="1"/>
  <c r="L68" i="39" l="1"/>
  <c r="K70" i="39"/>
  <c r="K63" i="40"/>
  <c r="J65" i="40"/>
  <c r="C40" i="15"/>
  <c r="L52" i="15" s="1"/>
  <c r="Q65" i="15" s="1"/>
  <c r="J38" i="15"/>
  <c r="J39" i="15" s="1"/>
  <c r="Q67" i="15"/>
  <c r="Q66" i="15" s="1"/>
  <c r="D7" i="59"/>
  <c r="C6" i="59"/>
  <c r="M52" i="37"/>
  <c r="M58" i="21"/>
  <c r="M46" i="36"/>
  <c r="B3" i="15"/>
  <c r="B2" i="15"/>
  <c r="D19" i="9"/>
  <c r="D20" i="9"/>
  <c r="L70" i="39" l="1"/>
  <c r="M68" i="39"/>
  <c r="K65" i="40"/>
  <c r="L63" i="40"/>
  <c r="Q63" i="15"/>
  <c r="Q54" i="15"/>
  <c r="Q45" i="15"/>
  <c r="Q51" i="15" s="1"/>
  <c r="C47" i="15"/>
  <c r="C43" i="15"/>
  <c r="J41" i="15"/>
  <c r="C5" i="59"/>
  <c r="D5" i="59" s="1"/>
  <c r="T6" i="59"/>
  <c r="D6" i="59"/>
  <c r="M20" i="43" s="1"/>
  <c r="D101" i="9"/>
  <c r="D102" i="9"/>
  <c r="N46" i="36"/>
  <c r="O46" i="36" s="1"/>
  <c r="J7" i="36"/>
  <c r="N58" i="21"/>
  <c r="O58" i="21" s="1"/>
  <c r="N52" i="37"/>
  <c r="O52" i="37" s="1"/>
  <c r="J7" i="37" s="1"/>
  <c r="F7" i="37"/>
  <c r="H7" i="37"/>
  <c r="L58" i="15"/>
  <c r="L61" i="15" s="1"/>
  <c r="Q64" i="15" s="1"/>
  <c r="Q73" i="15" s="1"/>
  <c r="M63" i="40" l="1"/>
  <c r="L65" i="40"/>
  <c r="N68" i="39"/>
  <c r="M70" i="39"/>
  <c r="J42" i="15"/>
  <c r="D35" i="9"/>
  <c r="D34" i="9" s="1"/>
  <c r="H7" i="21"/>
  <c r="AB7" i="37"/>
  <c r="T42" i="37" s="1"/>
  <c r="G42" i="37" s="1"/>
  <c r="U7" i="37"/>
  <c r="AC7" i="37"/>
  <c r="V42" i="37" s="1"/>
  <c r="I42" i="37" s="1"/>
  <c r="W7" i="37"/>
  <c r="F7" i="21"/>
  <c r="J7" i="21"/>
  <c r="F7" i="36"/>
  <c r="H7" i="36"/>
  <c r="S7" i="37"/>
  <c r="AA7" i="37"/>
  <c r="R42" i="37" s="1"/>
  <c r="AB7" i="21"/>
  <c r="T48" i="21" s="1"/>
  <c r="G48" i="21" s="1"/>
  <c r="U7" i="21"/>
  <c r="W7" i="36"/>
  <c r="AC7" i="36"/>
  <c r="V36" i="36" s="1"/>
  <c r="I36" i="36" s="1"/>
  <c r="Q55" i="15"/>
  <c r="Q60" i="15" s="1"/>
  <c r="O68" i="39" l="1"/>
  <c r="O70" i="39" s="1"/>
  <c r="N70" i="39"/>
  <c r="N63" i="40"/>
  <c r="M65" i="40"/>
  <c r="I40" i="36"/>
  <c r="J40" i="36" s="1"/>
  <c r="E42" i="37"/>
  <c r="I47" i="37" s="1"/>
  <c r="J47" i="37" s="1"/>
  <c r="R43" i="37"/>
  <c r="U7" i="36"/>
  <c r="AB7" i="36"/>
  <c r="T36" i="36" s="1"/>
  <c r="G36" i="36" s="1"/>
  <c r="AC7" i="21"/>
  <c r="V48" i="21" s="1"/>
  <c r="I48" i="21" s="1"/>
  <c r="G53" i="21" s="1"/>
  <c r="H53" i="21" s="1"/>
  <c r="W7" i="21"/>
  <c r="G52" i="21"/>
  <c r="H52" i="21" s="1"/>
  <c r="S7" i="36"/>
  <c r="AA7" i="36"/>
  <c r="R36" i="36" s="1"/>
  <c r="AA7" i="21"/>
  <c r="R48" i="21" s="1"/>
  <c r="S7" i="21"/>
  <c r="I46" i="37"/>
  <c r="J46" i="37" s="1"/>
  <c r="G47" i="37"/>
  <c r="H47" i="37" s="1"/>
  <c r="G46" i="37"/>
  <c r="H46" i="37" s="1"/>
  <c r="J7" i="40" l="1"/>
  <c r="N65" i="40"/>
  <c r="O63" i="40"/>
  <c r="O65" i="40" s="1"/>
  <c r="F7" i="39"/>
  <c r="J7" i="39"/>
  <c r="H7" i="39"/>
  <c r="E36" i="36"/>
  <c r="R37" i="36"/>
  <c r="G41" i="36"/>
  <c r="H41" i="36" s="1"/>
  <c r="G40" i="36"/>
  <c r="H40" i="36" s="1"/>
  <c r="C42" i="37"/>
  <c r="C43" i="37"/>
  <c r="B2" i="37" s="1"/>
  <c r="B3" i="37" s="1"/>
  <c r="R49" i="21"/>
  <c r="E48" i="21"/>
  <c r="I52" i="21"/>
  <c r="J52" i="21" s="1"/>
  <c r="E46" i="37"/>
  <c r="F46" i="37" s="1"/>
  <c r="E47" i="37"/>
  <c r="F47" i="37" s="1"/>
  <c r="W7" i="39" l="1"/>
  <c r="AC7" i="39"/>
  <c r="V47" i="39" s="1"/>
  <c r="I47" i="39" s="1"/>
  <c r="S7" i="39"/>
  <c r="AA7" i="39"/>
  <c r="R47" i="39" s="1"/>
  <c r="W7" i="40"/>
  <c r="AC7" i="40"/>
  <c r="V42" i="40" s="1"/>
  <c r="I42" i="40" s="1"/>
  <c r="I46" i="40" s="1"/>
  <c r="J46" i="40" s="1"/>
  <c r="AB7" i="39"/>
  <c r="T47" i="39" s="1"/>
  <c r="G47" i="39" s="1"/>
  <c r="U7" i="39"/>
  <c r="F7" i="40"/>
  <c r="H7" i="40"/>
  <c r="E52" i="21"/>
  <c r="F52" i="21" s="1"/>
  <c r="E53" i="21"/>
  <c r="F53" i="21" s="1"/>
  <c r="C37" i="36"/>
  <c r="B2" i="36" s="1"/>
  <c r="B3" i="36" s="1"/>
  <c r="C36" i="36"/>
  <c r="I53" i="21"/>
  <c r="J53" i="21" s="1"/>
  <c r="C48" i="21"/>
  <c r="C49" i="21"/>
  <c r="B2" i="21" s="1"/>
  <c r="E40" i="36"/>
  <c r="F40" i="36" s="1"/>
  <c r="E41" i="36"/>
  <c r="F41" i="36" s="1"/>
  <c r="I41" i="36"/>
  <c r="J41" i="36" s="1"/>
  <c r="E4" i="52"/>
  <c r="B38" i="60" s="1"/>
  <c r="D19" i="57"/>
  <c r="C19" i="9"/>
  <c r="AA7" i="40" l="1"/>
  <c r="R42" i="40" s="1"/>
  <c r="S7" i="40"/>
  <c r="E47" i="39"/>
  <c r="R48" i="39"/>
  <c r="G51" i="39"/>
  <c r="H51" i="39" s="1"/>
  <c r="G52" i="39"/>
  <c r="H52" i="39" s="1"/>
  <c r="U7" i="40"/>
  <c r="AB7" i="40"/>
  <c r="T42" i="40" s="1"/>
  <c r="G42" i="40" s="1"/>
  <c r="I51" i="39"/>
  <c r="J51" i="39" s="1"/>
  <c r="I52" i="39"/>
  <c r="J52" i="39" s="1"/>
  <c r="D102" i="57"/>
  <c r="C101" i="9"/>
  <c r="G19" i="9"/>
  <c r="D22" i="9"/>
  <c r="B3" i="21"/>
  <c r="G4" i="52"/>
  <c r="B41" i="60" s="1"/>
  <c r="D4" i="52"/>
  <c r="B37" i="60" s="1"/>
  <c r="F4" i="52"/>
  <c r="B40" i="60" s="1"/>
  <c r="C20" i="9"/>
  <c r="D20" i="57"/>
  <c r="R43" i="40" l="1"/>
  <c r="E42" i="40"/>
  <c r="G46" i="40"/>
  <c r="H46" i="40" s="1"/>
  <c r="G47" i="40"/>
  <c r="H47" i="40" s="1"/>
  <c r="C48" i="39"/>
  <c r="C47" i="39"/>
  <c r="E51" i="39"/>
  <c r="F51" i="39" s="1"/>
  <c r="E52" i="39"/>
  <c r="F52" i="39" s="1"/>
  <c r="D103" i="57"/>
  <c r="C102" i="9"/>
  <c r="G20" i="9"/>
  <c r="R27" i="31" s="1"/>
  <c r="F7" i="66" s="1"/>
  <c r="E46" i="40" l="1"/>
  <c r="F46" i="40" s="1"/>
  <c r="E47" i="40"/>
  <c r="F47" i="40" s="1"/>
  <c r="I47" i="40"/>
  <c r="J47" i="40" s="1"/>
  <c r="B60" i="39"/>
  <c r="F60" i="39" s="1"/>
  <c r="B63" i="39"/>
  <c r="F63" i="39" s="1"/>
  <c r="B58" i="39"/>
  <c r="F58" i="39" s="1"/>
  <c r="B56" i="39"/>
  <c r="F56" i="39" s="1"/>
  <c r="F66" i="39" s="1"/>
  <c r="B2" i="39" s="1"/>
  <c r="B3" i="39" s="1"/>
  <c r="B64" i="39"/>
  <c r="F64" i="39" s="1"/>
  <c r="B65" i="39"/>
  <c r="F65" i="39" s="1"/>
  <c r="B57" i="39"/>
  <c r="F57" i="39" s="1"/>
  <c r="B59" i="39"/>
  <c r="F59" i="39" s="1"/>
  <c r="B62" i="39"/>
  <c r="F62" i="39" s="1"/>
  <c r="B61" i="39"/>
  <c r="F61" i="39" s="1"/>
  <c r="C43" i="40"/>
  <c r="C42" i="40"/>
  <c r="C32" i="9"/>
  <c r="I121" i="9" s="1"/>
  <c r="R28" i="31"/>
  <c r="F8" i="66" s="1"/>
  <c r="R29" i="31"/>
  <c r="F9" i="66" s="1"/>
  <c r="C32" i="57"/>
  <c r="B52" i="40" l="1"/>
  <c r="F52" i="40" s="1"/>
  <c r="B56" i="40"/>
  <c r="F56" i="40" s="1"/>
  <c r="B53" i="40"/>
  <c r="F53" i="40" s="1"/>
  <c r="B55" i="40"/>
  <c r="F55" i="40" s="1"/>
  <c r="B54" i="40"/>
  <c r="F54" i="40" s="1"/>
  <c r="B51" i="40"/>
  <c r="F51" i="40" s="1"/>
  <c r="F61" i="40" s="1"/>
  <c r="B2" i="40" s="1"/>
  <c r="B3" i="40" s="1"/>
  <c r="B58" i="40"/>
  <c r="F58" i="40" s="1"/>
  <c r="B59" i="40"/>
  <c r="F59" i="40" s="1"/>
  <c r="B60" i="40"/>
  <c r="F60" i="40" s="1"/>
  <c r="B57" i="40"/>
  <c r="F57" i="40" s="1"/>
  <c r="F10" i="66"/>
  <c r="C35" i="9"/>
  <c r="C34" i="9" s="1"/>
  <c r="E121" i="9" s="1"/>
  <c r="D121" i="9" s="1"/>
  <c r="D122" i="9" s="1"/>
  <c r="D5" i="52" s="1"/>
  <c r="B39" i="60" s="1"/>
  <c r="T27" i="31"/>
  <c r="G7" i="66" s="1"/>
  <c r="S27" i="31"/>
  <c r="T29" i="31"/>
  <c r="G9" i="66" s="1"/>
  <c r="S29" i="31"/>
  <c r="C104" i="9"/>
  <c r="H121" i="9"/>
  <c r="I103" i="9"/>
  <c r="D107" i="9"/>
  <c r="S28" i="31"/>
  <c r="T28" i="31"/>
  <c r="G8" i="66" l="1"/>
  <c r="G10" i="66" s="1"/>
  <c r="G121" i="9"/>
  <c r="F121" i="9" s="1"/>
  <c r="F122" i="9" s="1"/>
  <c r="F5" i="52" s="1"/>
  <c r="B42" i="60" s="1"/>
  <c r="T25" i="31"/>
  <c r="C103" i="9"/>
  <c r="H122" i="9"/>
  <c r="I102" i="9"/>
  <c r="D106" i="9"/>
  <c r="D112" i="9" s="1"/>
  <c r="S25" i="31"/>
  <c r="E15" i="62" l="1"/>
  <c r="F15" i="62"/>
  <c r="D117" i="9"/>
  <c r="I115" i="9" s="1"/>
  <c r="D113" i="9"/>
  <c r="I111" i="9" s="1"/>
  <c r="D126" i="9" s="1"/>
  <c r="R25" i="31"/>
  <c r="B23" i="31"/>
  <c r="M48" i="9"/>
  <c r="D45" i="9"/>
  <c r="I110" i="9"/>
  <c r="C72" i="9" l="1"/>
  <c r="D52" i="9"/>
  <c r="D55" i="9"/>
  <c r="M53" i="9" s="1"/>
  <c r="D59" i="9"/>
  <c r="M55" i="9" s="1"/>
  <c r="C78" i="9"/>
  <c r="C73" i="9" s="1"/>
  <c r="C93" i="9"/>
  <c r="C86" i="9" s="1"/>
  <c r="D53" i="9"/>
  <c r="D48" i="9" s="1"/>
  <c r="M52" i="9" s="1"/>
  <c r="C64" i="9"/>
  <c r="C63" i="9" s="1"/>
  <c r="C67" i="9" s="1"/>
  <c r="C68" i="9" s="1"/>
  <c r="D54" i="9" s="1"/>
  <c r="C85" i="9"/>
  <c r="B24" i="31"/>
  <c r="B3" i="31" s="1"/>
  <c r="B2" i="31"/>
  <c r="D125" i="9"/>
  <c r="M49" i="9"/>
  <c r="C20" i="57"/>
  <c r="C19" i="57"/>
  <c r="G20" i="57" l="1"/>
  <c r="C103" i="57"/>
  <c r="G19" i="57"/>
  <c r="C102" i="57"/>
  <c r="D22" i="57"/>
  <c r="C34" i="57"/>
  <c r="I124" i="57" s="1"/>
  <c r="I104" i="57" s="1"/>
  <c r="C33" i="57"/>
  <c r="H124" i="57" s="1"/>
  <c r="D14" i="62" s="1"/>
  <c r="C95" i="9"/>
  <c r="C97" i="9" s="1"/>
  <c r="D58" i="9" s="1"/>
  <c r="D56" i="9" s="1"/>
  <c r="M54" i="9" s="1"/>
  <c r="N57" i="9" s="1"/>
  <c r="N59" i="9" s="1"/>
  <c r="L63" i="9"/>
  <c r="M63" i="9" s="1"/>
  <c r="L64" i="9"/>
  <c r="M64" i="9" s="1"/>
  <c r="L66" i="9"/>
  <c r="M66" i="9" s="1"/>
  <c r="L67" i="9"/>
  <c r="M67" i="9" s="1"/>
  <c r="L65" i="9"/>
  <c r="M65" i="9" s="1"/>
  <c r="L68" i="9"/>
  <c r="M68" i="9" s="1"/>
  <c r="C79" i="9"/>
  <c r="C107" i="57" l="1"/>
  <c r="I103" i="57"/>
  <c r="D46" i="57" s="1"/>
  <c r="D110" i="57"/>
  <c r="I4" i="52"/>
  <c r="D109" i="57"/>
  <c r="D120" i="57" s="1"/>
  <c r="H125" i="57"/>
  <c r="H5" i="52" s="1"/>
  <c r="H4" i="52"/>
  <c r="C106" i="57"/>
  <c r="C104" i="57"/>
  <c r="C105" i="57"/>
  <c r="C96" i="9"/>
  <c r="E96" i="9" s="1"/>
  <c r="E97" i="9" s="1"/>
  <c r="N60" i="9"/>
  <c r="N61" i="9"/>
  <c r="C81" i="9"/>
  <c r="C80" i="9"/>
  <c r="E80" i="9" s="1"/>
  <c r="E81" i="9" s="1"/>
  <c r="D30" i="50"/>
  <c r="D9" i="50"/>
  <c r="B21" i="60" s="1"/>
  <c r="M69" i="9"/>
  <c r="N69" i="9" s="1"/>
  <c r="E14" i="62"/>
  <c r="B5" i="62"/>
  <c r="F14" i="62"/>
  <c r="P57" i="9"/>
  <c r="N58" i="9"/>
  <c r="I111" i="57"/>
  <c r="D7" i="50" l="1"/>
  <c r="D8" i="50" s="1"/>
  <c r="B22" i="60" s="1"/>
  <c r="M49" i="57"/>
  <c r="D28" i="50"/>
  <c r="D29" i="50" s="1"/>
  <c r="D115" i="57"/>
  <c r="D116" i="57" s="1"/>
  <c r="I112" i="57" s="1"/>
  <c r="C73" i="57"/>
  <c r="C79" i="57"/>
  <c r="C74" i="57" s="1"/>
  <c r="C65" i="57"/>
  <c r="C64" i="57" s="1"/>
  <c r="C68" i="57" s="1"/>
  <c r="C69" i="57" s="1"/>
  <c r="D55" i="57" s="1"/>
  <c r="D56" i="57"/>
  <c r="M54" i="57" s="1"/>
  <c r="D54" i="57"/>
  <c r="D49" i="57" s="1"/>
  <c r="M53" i="57" s="1"/>
  <c r="D53" i="57"/>
  <c r="C94" i="57"/>
  <c r="C87" i="57" s="1"/>
  <c r="C86" i="57"/>
  <c r="B19" i="60"/>
  <c r="D128" i="57"/>
  <c r="M50" i="57"/>
  <c r="D36" i="50"/>
  <c r="D37" i="50" s="1"/>
  <c r="D15" i="50"/>
  <c r="D5" i="62"/>
  <c r="C5" i="62"/>
  <c r="I116" i="57"/>
  <c r="D23" i="50" s="1"/>
  <c r="B34" i="60" s="1"/>
  <c r="D44" i="50"/>
  <c r="D38" i="50" l="1"/>
  <c r="B62" i="60" s="1"/>
  <c r="D16" i="50"/>
  <c r="B30" i="60" s="1"/>
  <c r="B29" i="60"/>
  <c r="L65" i="57"/>
  <c r="M65" i="57" s="1"/>
  <c r="L69" i="57"/>
  <c r="M69" i="57" s="1"/>
  <c r="L67" i="57"/>
  <c r="M67" i="57" s="1"/>
  <c r="L66" i="57"/>
  <c r="M66" i="57" s="1"/>
  <c r="L64" i="57"/>
  <c r="M64" i="57" s="1"/>
  <c r="L68" i="57"/>
  <c r="M68" i="57" s="1"/>
  <c r="C96" i="57"/>
  <c r="C80" i="57"/>
  <c r="G14" i="62"/>
  <c r="B6" i="62" s="1"/>
  <c r="D8" i="52"/>
  <c r="D129" i="57"/>
  <c r="D17" i="50"/>
  <c r="M70" i="57" l="1"/>
  <c r="N70" i="57" s="1"/>
  <c r="C81" i="57"/>
  <c r="E81" i="57" s="1"/>
  <c r="E82" i="57" s="1"/>
  <c r="D10" i="52"/>
  <c r="D9" i="52"/>
  <c r="C6" i="62"/>
  <c r="D6" i="62"/>
  <c r="C97" i="57"/>
  <c r="E97" i="57" s="1"/>
  <c r="E98" i="57" s="1"/>
  <c r="C98" i="57" l="1"/>
  <c r="D59" i="57" s="1"/>
  <c r="D57" i="57" s="1"/>
  <c r="M55" i="57" s="1"/>
  <c r="N58" i="57" s="1"/>
  <c r="C82" i="57"/>
  <c r="N59" i="57" l="1"/>
  <c r="P58" i="57"/>
  <c r="N60" i="57"/>
  <c r="N62" i="57" l="1"/>
  <c r="N61" i="5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<sst xmlns="http://schemas.openxmlformats.org/spreadsheetml/2006/main" count="7272" uniqueCount="2927">
  <si>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</si>
  <si>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</si>
  <si>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</si>
  <si>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</si>
  <si>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</si>
  <si>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</si>
  <si>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</si>
  <si>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</si>
  <si>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</si>
  <si>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</si>
  <si>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</si>
  <si>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</si>
  <si>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</si>
  <si>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</si>
  <si>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</si>
  <si>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</si>
  <si>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</si>
  <si>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</si>
  <si>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</si>
  <si>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</si>
  <si>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</si>
  <si>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</si>
  <si>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</si>
  <si>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</si>
  <si>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</si>
  <si>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</si>
  <si>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</si>
  <si>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</si>
  <si>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</si>
  <si>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</si>
  <si>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</si>
  <si>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</si>
  <si>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</si>
  <si>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</si>
  <si>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</si>
  <si>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</si>
  <si>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</si>
  <si>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</si>
  <si>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</si>
  <si>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</si>
  <si>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</si>
  <si>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</si>
  <si>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</si>
  <si>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</si>
  <si>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</si>
  <si>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</si>
  <si>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</si>
  <si>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</si>
  <si>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</si>
  <si>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</si>
  <si>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</si>
  <si>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</si>
  <si>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</si>
  <si>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</si>
  <si>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</si>
  <si>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</si>
  <si>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</si>
  <si>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</si>
  <si>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</si>
  <si>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</si>
  <si>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</si>
  <si>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</si>
  <si>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</si>
  <si>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</si>
  <si>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</si>
  <si>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</si>
  <si>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</si>
  <si>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</si>
  <si>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</si>
  <si>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</si>
  <si>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</si>
  <si>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</si>
  <si>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</si>
  <si>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</si>
  <si>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</si>
  <si>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</si>
  <si>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</si>
  <si>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</si>
  <si>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</si>
  <si>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</si>
  <si>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</si>
  <si>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</si>
  <si>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</si>
  <si>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</si>
  <si>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</si>
  <si>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</si>
  <si>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</si>
  <si>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</si>
  <si>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</si>
  <si>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</si>
  <si>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</si>
  <si>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</si>
  <si>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</si>
  <si>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</si>
  <si>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</si>
  <si>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</si>
  <si>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</si>
  <si>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</si>
  <si>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</si>
  <si>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</si>
  <si>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</si>
  <si>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</si>
  <si>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</si>
  <si>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</si>
  <si>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</si>
  <si>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</si>
  <si>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</si>
  <si>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</si>
  <si>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</si>
  <si>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</si>
  <si>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</si>
  <si>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</si>
  <si>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</si>
  <si>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</si>
  <si>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</si>
  <si>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</si>
  <si>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</si>
  <si>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</si>
  <si>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</si>
  <si>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</si>
  <si>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</si>
  <si>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</si>
  <si>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</si>
  <si>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</si>
  <si>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</si>
  <si>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</si>
  <si>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</si>
  <si>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</si>
  <si>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</si>
  <si>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</si>
  <si>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</si>
  <si>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</si>
  <si>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</si>
  <si>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</si>
  <si>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</si>
  <si>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</si>
  <si>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</si>
  <si>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</si>
  <si>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</si>
  <si>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</si>
  <si>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</si>
  <si>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</si>
  <si>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</si>
  <si>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</si>
  <si>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</si>
  <si>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</si>
  <si>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</si>
  <si>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</si>
  <si>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</si>
  <si>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</si>
  <si>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</si>
  <si>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</si>
  <si>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</si>
  <si>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</si>
  <si>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</si>
  <si>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</si>
  <si>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</si>
  <si>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</si>
  <si>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</si>
  <si>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</si>
  <si>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</si>
  <si>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</si>
  <si>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</si>
  <si>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</si>
  <si>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</si>
  <si>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</si>
  <si>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</si>
  <si>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</si>
  <si>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</si>
  <si>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</si>
  <si>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</si>
  <si>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</si>
  <si>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</si>
  <si>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</si>
  <si>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</si>
  <si>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</si>
  <si>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</si>
  <si>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</si>
  <si>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</si>
  <si>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</si>
  <si>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</si>
  <si>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</si>
  <si>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</si>
  <si>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</si>
  <si>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</si>
  <si>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</si>
  <si>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</si>
  <si>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</si>
  <si>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</si>
  <si>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</si>
  <si>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</si>
  <si>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</si>
  <si>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</si>
  <si>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</si>
  <si>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</si>
  <si>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</si>
  <si>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</si>
  <si>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</si>
  <si>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</si>
  <si>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</si>
  <si>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</si>
  <si>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</si>
  <si>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</si>
  <si>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</si>
  <si>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</si>
  <si>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</si>
  <si>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</si>
  <si>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</si>
  <si>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</si>
  <si>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</si>
  <si>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</si>
  <si>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</si>
  <si>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</si>
  <si>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</si>
  <si>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</si>
  <si>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</si>
  <si>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</si>
  <si>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</si>
  <si>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</si>
  <si>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</si>
  <si>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</si>
  <si>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</si>
  <si>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</si>
  <si>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</si>
  <si>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</si>
  <si>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</si>
  <si>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</si>
  <si>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</si>
  <si>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</si>
  <si>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</si>
  <si>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</si>
  <si>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</si>
  <si>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</si>
  <si>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</si>
  <si>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</si>
  <si>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</si>
  <si>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</si>
  <si>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</si>
  <si>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</si>
  <si>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</si>
  <si>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</si>
  <si>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</si>
  <si>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</si>
  <si>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</si>
  <si>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</si>
  <si>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</si>
  <si>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</si>
  <si>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</si>
  <si>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</si>
  <si>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</si>
  <si>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</si>
  <si>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</si>
  <si>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</si>
  <si>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</si>
  <si>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</si>
  <si>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</si>
  <si>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</si>
  <si>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</si>
  <si>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</si>
  <si>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</si>
  <si>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</si>
  <si>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</si>
  <si>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</si>
  <si>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</si>
  <si>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</si>
  <si>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</si>
  <si>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</si>
  <si>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</si>
  <si>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</si>
  <si>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</si>
  <si>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</si>
  <si>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</si>
  <si>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</si>
  <si>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</si>
  <si>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</si>
  <si>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</si>
  <si>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</si>
  <si>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</si>
  <si>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</si>
  <si>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</si>
  <si>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</si>
  <si>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</si>
  <si>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</si>
  <si>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</si>
  <si>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</si>
  <si>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</si>
  <si>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</si>
  <si>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</si>
  <si>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</si>
  <si>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</si>
  <si>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</si>
  <si>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</si>
  <si>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</si>
  <si>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</si>
  <si>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</si>
  <si>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</si>
  <si>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</si>
  <si>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</si>
  <si>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</si>
  <si>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</si>
  <si>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</si>
  <si>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</si>
  <si>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</si>
  <si>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</si>
  <si>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</si>
  <si>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</si>
  <si>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</si>
  <si>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</si>
  <si>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</si>
  <si>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</si>
  <si>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</si>
  <si>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</si>
  <si>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</si>
  <si>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</si>
  <si>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</si>
  <si>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</si>
  <si>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</si>
  <si>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</si>
  <si>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</si>
  <si>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</si>
  <si>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</si>
  <si>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</si>
  <si>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</si>
  <si>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</si>
  <si>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</si>
  <si>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</si>
  <si>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</si>
  <si>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</si>
  <si>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</si>
  <si>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</si>
  <si>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</si>
  <si>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</si>
  <si>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</si>
  <si>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</si>
  <si>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</si>
  <si>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</si>
  <si>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</si>
  <si>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</si>
  <si>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</si>
  <si>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</si>
  <si>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</si>
  <si>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</si>
  <si>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</si>
  <si>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</si>
  <si>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</si>
  <si>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</si>
  <si>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</si>
  <si>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</si>
  <si>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</si>
  <si>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</si>
  <si>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</si>
  <si>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</si>
  <si>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</si>
  <si>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</si>
  <si>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</si>
  <si>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</si>
  <si>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</si>
  <si>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</si>
  <si>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</si>
  <si>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</si>
  <si>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</si>
  <si>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</si>
  <si>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</si>
  <si>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</si>
  <si>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</si>
  <si>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</si>
  <si>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</si>
  <si>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</si>
  <si>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</si>
  <si>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</si>
  <si>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</si>
  <si>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</si>
  <si>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</si>
  <si>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</si>
  <si>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</si>
  <si>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</si>
  <si>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</si>
  <si>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</si>
  <si>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</si>
  <si>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</si>
  <si>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</si>
  <si>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</si>
  <si>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</si>
  <si>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</si>
  <si>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</si>
  <si>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</si>
  <si>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</si>
  <si>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</si>
  <si>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</si>
  <si>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</si>
  <si>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</si>
  <si>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</si>
  <si>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</si>
  <si>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</si>
  <si>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</si>
  <si>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</si>
  <si>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</si>
  <si>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</si>
  <si>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</si>
  <si>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</si>
  <si>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</si>
  <si>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</si>
  <si>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</si>
  <si>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</si>
  <si>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</si>
  <si>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</si>
  <si>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</si>
  <si>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</si>
  <si>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</si>
  <si>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</si>
  <si>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</si>
  <si>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</si>
  <si>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</si>
  <si>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</si>
  <si>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</si>
  <si>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</si>
  <si>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</si>
  <si>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</si>
  <si>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</si>
  <si>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</si>
  <si>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</si>
  <si>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</si>
  <si>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</si>
  <si>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</si>
  <si>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</si>
  <si>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</si>
  <si>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</si>
  <si>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</si>
  <si>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</si>
  <si>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</si>
  <si>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</si>
  <si>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</si>
  <si>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</si>
  <si>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</si>
  <si>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</si>
  <si>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</si>
  <si>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</si>
  <si>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</si>
  <si>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</si>
  <si>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</si>
  <si>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</si>
  <si>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</si>
  <si>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</si>
  <si>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</si>
  <si>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</si>
  <si>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</si>
  <si>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</si>
  <si>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</si>
  <si>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</si>
  <si>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</si>
  <si>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</si>
  <si>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</si>
  <si>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</si>
  <si>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</si>
  <si>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</si>
  <si>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</si>
  <si>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</si>
  <si>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</si>
  <si>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</si>
  <si>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</si>
  <si>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</si>
  <si>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</si>
  <si>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</si>
  <si>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</si>
  <si>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</si>
  <si>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</si>
  <si>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</si>
  <si>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</si>
  <si>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</si>
  <si>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</si>
  <si>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</si>
  <si>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</si>
  <si>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</si>
  <si>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</si>
  <si>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</si>
  <si>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</si>
  <si>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</si>
  <si>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</si>
  <si>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</si>
  <si>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</si>
  <si>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</si>
  <si>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</si>
  <si>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</si>
  <si>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</si>
  <si>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</si>
  <si>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</si>
  <si>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</si>
  <si>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</si>
  <si>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</si>
  <si>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</si>
  <si>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</si>
  <si>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</si>
  <si>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</si>
  <si>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</si>
  <si>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</si>
  <si>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</si>
  <si>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</si>
  <si>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</si>
  <si>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</si>
  <si>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</si>
  <si>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</si>
  <si>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</si>
  <si>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</si>
  <si>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</si>
  <si>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</si>
  <si>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</si>
  <si>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</si>
  <si>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</si>
  <si>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</si>
  <si>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</si>
  <si>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</si>
  <si>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</si>
  <si>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</si>
  <si>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</si>
  <si>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</si>
  <si>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</si>
  <si>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</si>
  <si>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</si>
  <si>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</si>
  <si>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</si>
  <si>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</si>
  <si>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</si>
  <si>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</si>
  <si>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</si>
  <si>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</si>
  <si>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</si>
  <si>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</si>
  <si>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</si>
  <si>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</si>
  <si>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</si>
  <si>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</si>
  <si>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</si>
  <si>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</si>
  <si>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</si>
  <si>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</si>
  <si>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</si>
  <si>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</si>
  <si>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</si>
  <si>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</si>
  <si>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</si>
  <si>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</si>
  <si>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</si>
  <si>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</si>
  <si>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</si>
  <si>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</si>
  <si>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</si>
  <si>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</si>
  <si>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</si>
  <si>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</si>
  <si>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</si>
  <si>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</si>
  <si>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</si>
  <si>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</si>
  <si>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</si>
  <si>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</si>
  <si>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</si>
  <si>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</si>
  <si>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</si>
  <si>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</si>
  <si>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</si>
  <si>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</si>
  <si>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</si>
  <si>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</si>
  <si>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</si>
  <si>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</si>
  <si>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</si>
  <si>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</si>
  <si>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</si>
  <si>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</si>
  <si>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</si>
  <si>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</si>
  <si>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</si>
  <si>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</si>
  <si>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</si>
  <si>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</si>
  <si>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</si>
  <si>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</si>
  <si>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</si>
  <si>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</si>
  <si>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</si>
  <si>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</si>
  <si>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</si>
  <si>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</si>
  <si>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</si>
  <si>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</si>
  <si>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</si>
  <si>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</si>
  <si>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</si>
  <si>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</si>
  <si>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</si>
  <si>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</si>
  <si>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</si>
  <si>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</si>
  <si>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</si>
  <si>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</si>
  <si>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</si>
  <si>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</si>
  <si>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</si>
  <si>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</si>
  <si>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</si>
  <si>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</si>
  <si>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</si>
  <si>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</si>
  <si>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</si>
  <si>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</si>
  <si>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</si>
  <si>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</si>
  <si>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</si>
  <si>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</si>
  <si>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</si>
  <si>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</si>
  <si>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</si>
  <si>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</si>
  <si>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</si>
  <si>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</si>
  <si>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</si>
  <si>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</si>
  <si>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</si>
  <si>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</si>
  <si>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</si>
  <si>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</si>
  <si>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</si>
  <si>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</si>
  <si>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</si>
  <si>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</si>
  <si>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</si>
  <si>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</si>
  <si>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</si>
  <si>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</si>
  <si>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</si>
  <si>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</si>
  <si>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</si>
  <si>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</si>
  <si>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</si>
  <si>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</si>
  <si>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</si>
  <si>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</si>
  <si>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</si>
  <si>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</si>
  <si>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</si>
  <si>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</si>
  <si>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</si>
  <si>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</si>
  <si>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</si>
  <si>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</si>
  <si>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</si>
  <si>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</si>
  <si>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</si>
  <si>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</si>
  <si>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</si>
  <si>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</si>
  <si>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</si>
  <si>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</si>
  <si>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</si>
  <si>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</si>
  <si>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</si>
  <si>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</si>
  <si>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</si>
  <si>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</si>
  <si>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</si>
  <si>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</si>
  <si>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</si>
  <si>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</si>
  <si>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</si>
  <si>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</si>
  <si>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</si>
  <si>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</si>
  <si>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</si>
  <si>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</si>
  <si>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</si>
  <si>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</si>
  <si>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</si>
  <si>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</si>
  <si>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</si>
  <si>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</si>
  <si>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</si>
  <si>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</si>
  <si>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</si>
  <si>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</si>
  <si>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</si>
  <si>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</si>
  <si>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</si>
  <si>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</si>
  <si>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</si>
  <si>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</si>
  <si>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</si>
  <si>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</si>
  <si>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</si>
  <si>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</si>
  <si>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</si>
  <si>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</si>
  <si>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</si>
  <si>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</si>
  <si>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</si>
  <si>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</si>
  <si>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</si>
  <si>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</si>
  <si>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</si>
  <si>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</si>
  <si>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</si>
  <si>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</si>
  <si>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</si>
  <si>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</si>
  <si>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</si>
  <si>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</si>
  <si>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</si>
  <si>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</si>
  <si>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</si>
  <si>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</si>
  <si>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</si>
  <si>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</si>
  <si>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</si>
  <si>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</si>
  <si>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</si>
  <si>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</si>
  <si>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</si>
  <si>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</si>
  <si>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</si>
  <si>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</si>
  <si>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</si>
  <si>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</si>
  <si>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</si>
  <si>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</si>
  <si>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</si>
  <si>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</si>
  <si>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</si>
  <si>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</si>
  <si>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</si>
  <si>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</si>
  <si>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</si>
  <si>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</si>
  <si>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</si>
  <si>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</si>
  <si>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</si>
  <si>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</si>
  <si>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</si>
  <si>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</si>
  <si>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</si>
  <si>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</si>
  <si>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</si>
  <si>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</si>
  <si>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</si>
  <si>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</si>
  <si>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</si>
  <si>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</si>
  <si>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</si>
  <si>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</si>
  <si>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</si>
  <si>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</si>
  <si>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</si>
  <si>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</si>
  <si>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</si>
  <si>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</si>
  <si>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</si>
  <si>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</si>
  <si>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</si>
  <si>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</si>
  <si>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</si>
  <si>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</si>
  <si>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</si>
  <si>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</si>
  <si>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</si>
  <si>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</si>
  <si>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</si>
  <si>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</si>
  <si>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</si>
  <si>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</si>
  <si>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</si>
  <si>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</si>
  <si>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</si>
  <si>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</si>
  <si>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</si>
  <si>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</si>
  <si>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</si>
  <si>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</si>
  <si>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</si>
  <si>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</si>
  <si>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</si>
  <si>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</si>
  <si>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</si>
  <si>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</si>
  <si>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</si>
  <si>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</si>
  <si>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</si>
  <si>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</si>
  <si>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</si>
  <si>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</si>
  <si>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</si>
  <si>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</si>
  <si>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</si>
  <si>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</si>
  <si>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</si>
  <si>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</si>
  <si>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</si>
  <si>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</si>
  <si>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</si>
  <si>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</si>
  <si>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</si>
  <si>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</si>
  <si>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</si>
  <si>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</si>
  <si>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</si>
  <si>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</si>
  <si>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</si>
  <si>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</si>
  <si>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</si>
  <si>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</si>
  <si>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</si>
  <si>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</si>
  <si>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</si>
  <si>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</si>
  <si>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</si>
  <si>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</si>
  <si>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</si>
  <si>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</si>
  <si>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</si>
  <si>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</si>
  <si>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</si>
  <si>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</si>
  <si>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</si>
  <si>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</si>
  <si>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</si>
  <si>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</si>
  <si>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</si>
  <si>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</si>
  <si>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</si>
  <si>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</si>
  <si>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</si>
  <si>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</si>
  <si>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</si>
  <si>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</si>
  <si>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</si>
  <si>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</si>
  <si>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</si>
  <si>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</si>
  <si>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</si>
  <si>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</si>
  <si>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</si>
  <si>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</si>
  <si>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</si>
  <si>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</si>
  <si>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</si>
  <si>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</si>
  <si>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</si>
  <si>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</si>
  <si>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</si>
  <si>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</si>
  <si>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</si>
  <si>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</si>
  <si>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</si>
  <si>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</si>
  <si>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</si>
  <si>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</si>
  <si>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</si>
  <si>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</si>
  <si>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</si>
  <si>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</si>
  <si>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</si>
  <si>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</si>
  <si>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</si>
  <si>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</si>
  <si>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</si>
  <si>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</si>
  <si>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</si>
  <si>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</si>
  <si>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</si>
  <si>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</si>
  <si>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</si>
  <si>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</si>
  <si>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</si>
  <si>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</si>
  <si>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</si>
  <si>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</si>
  <si>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</si>
  <si>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</si>
  <si>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</si>
  <si>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</si>
  <si>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</si>
  <si>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</si>
  <si>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</si>
  <si>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</si>
  <si>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</si>
  <si>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</si>
  <si>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</si>
  <si>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</si>
  <si>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</si>
  <si>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</si>
  <si>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</si>
  <si>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</si>
  <si>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</si>
  <si>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</si>
  <si>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</si>
  <si>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</si>
  <si>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</si>
  <si>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</si>
  <si>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</si>
  <si>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</si>
  <si>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</si>
  <si>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</si>
  <si>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</si>
  <si>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</si>
  <si>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</si>
  <si>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</si>
  <si>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</si>
  <si>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</si>
  <si>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</si>
  <si>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</si>
  <si>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</si>
  <si>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</si>
  <si>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</si>
  <si>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</si>
  <si>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</si>
  <si>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</si>
  <si>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</si>
  <si>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</si>
  <si>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</si>
  <si>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</si>
  <si>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</si>
  <si>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</si>
  <si>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</si>
  <si>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</si>
  <si>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</si>
  <si>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</si>
  <si>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</si>
  <si>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</si>
  <si>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</si>
  <si>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</si>
  <si>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</si>
  <si>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</si>
  <si>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</si>
  <si>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</si>
  <si>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</si>
  <si>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</si>
  <si>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</si>
  <si>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</si>
  <si>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</si>
  <si>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</si>
  <si>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</si>
  <si>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</si>
  <si>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</si>
  <si>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</si>
  <si>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</si>
  <si>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</si>
  <si>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</si>
  <si>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</si>
  <si>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</si>
  <si>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</si>
  <si>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</si>
  <si>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</si>
  <si>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</si>
  <si>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</si>
  <si>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</si>
  <si>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</si>
  <si>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</si>
  <si>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</si>
  <si>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</si>
  <si>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</si>
  <si>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</si>
  <si>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</si>
  <si>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</si>
  <si>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</si>
  <si>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</si>
  <si>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</si>
  <si>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</si>
  <si>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</si>
  <si>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</si>
  <si>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</si>
  <si>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</si>
  <si>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</si>
  <si>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</si>
  <si>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</si>
  <si>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</si>
  <si>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</si>
  <si>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</si>
  <si>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</si>
  <si>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</si>
  <si>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</si>
  <si>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</si>
  <si>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</si>
  <si>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</si>
  <si>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</si>
  <si>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</si>
  <si>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</si>
  <si>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</si>
  <si>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</si>
  <si>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</si>
  <si>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</si>
  <si>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</si>
  <si>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</si>
  <si>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</si>
  <si>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</si>
  <si>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</si>
  <si>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</si>
  <si>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</si>
  <si>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</si>
  <si>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</si>
  <si>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</si>
  <si>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</si>
  <si>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</si>
  <si>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</si>
  <si>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</si>
  <si>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</si>
  <si>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</si>
  <si>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</si>
  <si>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</si>
  <si>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</si>
  <si>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</si>
  <si>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</si>
  <si>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</si>
  <si>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</si>
  <si>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</si>
  <si>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</si>
  <si>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</si>
  <si>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</si>
  <si>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</si>
  <si>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</si>
  <si>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</si>
  <si>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</si>
  <si>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</si>
  <si>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</si>
  <si>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</si>
  <si>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</si>
  <si>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</si>
  <si>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</si>
  <si>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</si>
  <si>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</si>
  <si>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</si>
  <si>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</si>
  <si>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</si>
  <si>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</si>
  <si>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</si>
  <si>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</si>
  <si>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</si>
  <si>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</si>
  <si>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</si>
  <si>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</si>
  <si>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</si>
  <si>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</si>
  <si>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</si>
  <si>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</si>
  <si>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</si>
  <si>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</si>
  <si>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</si>
  <si>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</si>
  <si>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</si>
  <si>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</si>
  <si>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</si>
  <si>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</si>
  <si>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</si>
  <si>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</si>
  <si>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</si>
  <si>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</si>
  <si>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</si>
  <si>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</si>
  <si>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</si>
  <si>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</si>
  <si>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</si>
  <si>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</si>
  <si>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</si>
  <si>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</si>
  <si>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</si>
  <si>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</si>
  <si>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</si>
  <si>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</si>
  <si>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</si>
  <si>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</si>
  <si>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</si>
  <si>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</si>
  <si>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</si>
  <si>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</si>
  <si>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</si>
  <si>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</si>
  <si>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</si>
  <si>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</si>
  <si>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</si>
  <si>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</si>
  <si>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</si>
  <si>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</si>
  <si>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</si>
  <si>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</si>
  <si>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</si>
  <si>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</si>
  <si>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</si>
  <si>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</si>
  <si>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</si>
  <si>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</si>
  <si>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</si>
  <si>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</si>
  <si>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</si>
  <si>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</si>
  <si>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</si>
  <si>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</si>
  <si>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</si>
  <si>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</si>
  <si>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</si>
  <si>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</si>
  <si>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</si>
  <si>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</si>
  <si>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</si>
  <si>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</si>
  <si>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</si>
  <si>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</si>
  <si>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</si>
  <si>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</si>
  <si>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</si>
  <si>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</si>
  <si>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</si>
  <si>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</si>
  <si>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</si>
  <si>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</si>
  <si>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</si>
  <si>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</si>
  <si>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</si>
  <si>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</si>
  <si>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</si>
  <si>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</si>
  <si>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</si>
  <si>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</si>
  <si>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</si>
  <si>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</si>
  <si>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</si>
  <si>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</si>
  <si>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</si>
  <si>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</si>
  <si>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</si>
  <si>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</si>
  <si>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</si>
  <si>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</si>
  <si>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</si>
  <si>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</si>
  <si>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</si>
  <si>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</si>
  <si>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</si>
  <si>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</si>
  <si>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</si>
  <si>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</si>
  <si>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</si>
  <si>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</si>
  <si>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</si>
  <si>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</si>
  <si>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</si>
  <si>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</si>
  <si>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</si>
  <si>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</si>
  <si>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</si>
  <si>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</si>
  <si>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</si>
  <si>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</si>
  <si>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</si>
  <si>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</si>
  <si>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</si>
  <si>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</si>
  <si>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</si>
  <si>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</si>
  <si>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</si>
  <si>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</si>
  <si>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</si>
  <si>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</si>
  <si>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</si>
  <si>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</si>
  <si>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</si>
  <si>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</si>
  <si>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</si>
  <si>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</si>
  <si>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</si>
  <si>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</si>
  <si>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</si>
  <si>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</si>
  <si>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</si>
  <si>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</si>
  <si>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</si>
  <si>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</si>
  <si>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</si>
  <si>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</si>
  <si>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</si>
  <si>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</si>
  <si>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</si>
  <si>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</si>
  <si>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</si>
  <si>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</si>
  <si>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</si>
  <si>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</si>
  <si>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</si>
  <si>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</si>
  <si>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</si>
  <si>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</si>
  <si>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</si>
  <si>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</si>
  <si>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</si>
  <si>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</si>
  <si>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</si>
  <si>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</si>
  <si>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</si>
  <si>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</si>
  <si>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</si>
  <si>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</si>
  <si>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</si>
  <si>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</si>
  <si>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</si>
  <si>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</si>
  <si>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</si>
  <si>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</si>
  <si>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</si>
  <si>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</si>
  <si>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</si>
  <si>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</si>
  <si>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</si>
  <si>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</si>
  <si>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</si>
  <si>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</si>
  <si>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</si>
  <si>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</si>
  <si>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</si>
  <si>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</si>
  <si>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</si>
  <si>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</si>
  <si>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</si>
  <si>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</si>
  <si>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</si>
  <si>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</si>
  <si>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</si>
  <si>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</si>
  <si>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</si>
  <si>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</si>
  <si>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</si>
  <si>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</si>
  <si>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</si>
  <si>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</si>
  <si>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</si>
  <si>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</si>
  <si>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</si>
  <si>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</si>
  <si>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</si>
  <si>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</si>
  <si>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</si>
  <si>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</si>
  <si>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</si>
  <si>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</si>
  <si>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</si>
  <si>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</si>
  <si>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</si>
  <si>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</si>
  <si>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</si>
  <si>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</si>
  <si>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</si>
  <si>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</si>
  <si>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</si>
  <si>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</si>
  <si>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</si>
  <si>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</si>
  <si>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</si>
  <si>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</si>
  <si>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</si>
  <si>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</si>
  <si>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</si>
  <si>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</si>
  <si>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</si>
  <si>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</si>
  <si>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</si>
  <si>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</si>
  <si>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</si>
  <si>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</si>
  <si>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</si>
  <si>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</si>
  <si>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</si>
  <si>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</si>
  <si>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</si>
  <si>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</si>
  <si>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</si>
  <si>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</si>
  <si>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</si>
  <si>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</si>
  <si>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</si>
  <si>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</si>
  <si>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</si>
  <si>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</si>
  <si>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</si>
  <si>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</si>
  <si>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</si>
  <si>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</si>
  <si>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</si>
  <si>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</si>
  <si>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</si>
  <si>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</si>
  <si>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</si>
  <si>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</si>
  <si>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</si>
  <si>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</si>
  <si>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</si>
  <si>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</si>
  <si>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</si>
  <si>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</si>
  <si>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</si>
  <si>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</si>
  <si>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</si>
  <si>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</si>
  <si>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</si>
  <si>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</si>
  <si>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</si>
  <si>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</si>
  <si>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</si>
  <si>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</si>
  <si>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</si>
  <si>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</si>
  <si>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</si>
  <si>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</si>
  <si>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</si>
  <si>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</si>
  <si>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</si>
  <si>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</si>
  <si>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</si>
  <si>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</si>
  <si>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</si>
  <si>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</si>
  <si>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</si>
  <si>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</si>
  <si>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</si>
  <si>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</si>
  <si>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</si>
  <si>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</si>
  <si>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</si>
  <si>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</si>
  <si>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</si>
  <si>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</si>
  <si>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</si>
  <si>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</si>
  <si>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</si>
  <si>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</si>
  <si>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</si>
  <si>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</si>
  <si>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</si>
  <si>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</si>
  <si>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</si>
  <si>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</si>
  <si>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</si>
  <si>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</si>
  <si>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</si>
  <si>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</si>
  <si>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</si>
  <si>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</si>
  <si>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</si>
  <si>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</si>
  <si>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</si>
  <si>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</si>
  <si>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</si>
  <si>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</si>
  <si>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</si>
  <si>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</si>
  <si>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</si>
  <si>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</si>
  <si>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</si>
  <si>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</si>
  <si>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</si>
  <si>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</si>
  <si>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</si>
  <si>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</si>
  <si>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</si>
  <si>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</si>
  <si>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</si>
  <si>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</si>
  <si>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</si>
  <si>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</si>
  <si>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</si>
  <si>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</si>
  <si>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</si>
  <si>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</si>
  <si>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</si>
  <si>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</si>
  <si>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</si>
  <si>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</si>
  <si>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</si>
  <si>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</si>
  <si>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</si>
  <si>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</si>
  <si>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</si>
  <si>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</si>
  <si>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</si>
  <si>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</si>
  <si>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</si>
  <si>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</si>
  <si>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</si>
  <si>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</si>
  <si>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</si>
  <si>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</si>
  <si>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</si>
  <si>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</si>
  <si>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</si>
  <si>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</si>
  <si>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</si>
  <si>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</si>
  <si>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</si>
  <si>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</si>
  <si>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</si>
  <si>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</si>
  <si>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</si>
  <si>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</si>
  <si>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</si>
  <si>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</si>
  <si>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</si>
  <si>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</si>
  <si>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</si>
  <si>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</si>
  <si>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</si>
  <si>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</si>
  <si>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</si>
  <si>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</si>
  <si>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</si>
  <si>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</si>
  <si>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</si>
  <si>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</si>
  <si>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</si>
  <si>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</si>
  <si>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</si>
  <si>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</si>
  <si>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</si>
  <si>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</si>
  <si>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</si>
  <si>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</si>
  <si>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</si>
  <si>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</si>
  <si>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</si>
  <si>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</si>
  <si>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</si>
  <si>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</si>
  <si>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</si>
  <si>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</si>
  <si>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</si>
  <si>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</si>
  <si>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</si>
  <si>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</si>
  <si>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</si>
  <si>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</si>
  <si>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</si>
  <si>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</si>
  <si>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</si>
  <si>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</si>
  <si>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</si>
  <si>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</si>
  <si>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</si>
  <si>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</si>
  <si>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</si>
  <si>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</si>
  <si>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</si>
  <si>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</si>
  <si>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</si>
  <si>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</si>
  <si>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</si>
  <si>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</si>
  <si>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</si>
  <si>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</si>
  <si>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</si>
  <si>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</si>
  <si>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</si>
  <si>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</si>
  <si>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</si>
  <si>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</si>
  <si>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</si>
  <si>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</si>
  <si>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</si>
  <si>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</si>
  <si>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</si>
  <si>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</si>
  <si>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</si>
  <si>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</si>
  <si>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</si>
  <si>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</si>
  <si>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</si>
  <si>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</si>
  <si>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</si>
  <si>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</si>
  <si>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</si>
  <si>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</si>
  <si>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</si>
  <si>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</si>
  <si>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</si>
  <si>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</si>
  <si>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</si>
  <si>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</si>
  <si>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</si>
  <si>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</si>
  <si>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</si>
  <si>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</si>
  <si>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</si>
  <si>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</si>
  <si>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</si>
  <si>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</si>
  <si>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</si>
  <si>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</si>
  <si>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</si>
  <si>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</si>
  <si>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</si>
  <si>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</si>
  <si>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</si>
  <si>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</si>
  <si>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</si>
  <si>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</si>
  <si>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</si>
  <si>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</si>
  <si>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</si>
  <si>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</si>
  <si>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</si>
  <si>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</si>
  <si>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</si>
  <si>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</si>
  <si>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</si>
  <si>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</si>
  <si>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</si>
  <si>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</si>
  <si>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</si>
  <si>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</si>
  <si>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</si>
  <si>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</si>
  <si>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</si>
  <si>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</si>
  <si>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</si>
  <si>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</si>
  <si>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</si>
  <si>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</si>
  <si>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</si>
  <si>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</si>
  <si>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</si>
  <si>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</si>
  <si>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</si>
  <si>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</si>
  <si>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</si>
  <si>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</si>
  <si>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</si>
  <si>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</si>
  <si>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</si>
  <si>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</si>
  <si>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</si>
  <si>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</si>
  <si>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</si>
  <si>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</si>
  <si>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</si>
  <si>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</si>
  <si>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</si>
  <si>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</si>
  <si>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</si>
  <si>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</si>
  <si>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</si>
  <si>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</si>
  <si>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</si>
  <si>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</si>
  <si>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</si>
  <si>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</si>
  <si>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</si>
  <si>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</si>
  <si>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</si>
  <si>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</si>
  <si>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</si>
  <si>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</si>
  <si>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</si>
  <si>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</si>
  <si>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</si>
  <si>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</si>
  <si>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</si>
  <si>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</si>
  <si>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</si>
  <si>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</si>
  <si>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</si>
  <si>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</si>
  <si>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</si>
  <si>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</si>
  <si>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</si>
  <si>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</si>
  <si>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</si>
  <si>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</si>
  <si>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</si>
  <si>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</si>
  <si>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</si>
  <si>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</si>
  <si>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</si>
  <si>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</si>
  <si>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</si>
  <si>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</si>
  <si>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</si>
  <si>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</si>
  <si>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</si>
  <si>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</si>
  <si>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</si>
  <si>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</si>
  <si>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</si>
  <si>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</si>
  <si>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</si>
  <si>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</si>
  <si>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</si>
  <si>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</si>
  <si>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</si>
  <si>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</si>
  <si>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</si>
  <si>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</si>
  <si>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</si>
  <si>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</si>
  <si>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</si>
  <si>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</si>
  <si>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</si>
  <si>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</si>
  <si>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</si>
  <si>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</si>
  <si>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</si>
  <si>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</si>
  <si>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</si>
  <si>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</si>
  <si>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</si>
  <si>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</si>
  <si>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</si>
  <si>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</si>
  <si>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</si>
  <si>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</si>
  <si>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</si>
  <si>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</si>
  <si>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</si>
  <si>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</si>
  <si>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</si>
  <si>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</si>
  <si>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</si>
  <si>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</si>
  <si>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</si>
  <si>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</si>
  <si>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</si>
  <si>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</si>
  <si>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</si>
  <si>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</si>
  <si>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</si>
  <si>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</si>
  <si>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</si>
  <si>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</si>
  <si>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</si>
  <si>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</si>
  <si>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</si>
  <si>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</si>
  <si>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</si>
  <si>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</si>
  <si>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</si>
  <si>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</si>
  <si>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</si>
  <si>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</si>
  <si>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</si>
  <si>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</si>
  <si>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</si>
  <si>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</si>
  <si>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</si>
  <si>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</si>
  <si>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</si>
  <si>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</si>
  <si>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</si>
  <si>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</si>
  <si>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</si>
  <si>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</si>
  <si>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</si>
  <si>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</si>
  <si>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</si>
  <si>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</si>
  <si>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</si>
  <si>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</si>
  <si>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</si>
  <si>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</si>
  <si>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</si>
  <si>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</si>
  <si>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</si>
  <si>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</si>
  <si>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</si>
  <si>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</si>
  <si>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</si>
  <si>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</si>
  <si>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</si>
  <si>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</si>
  <si>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</si>
  <si>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</si>
  <si>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</si>
  <si>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</si>
  <si>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</si>
  <si>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</si>
  <si>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</si>
  <si>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</si>
  <si>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</si>
  <si>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</si>
  <si>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</si>
  <si>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</si>
  <si>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</si>
  <si>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</si>
  <si>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</si>
  <si>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</si>
  <si>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</si>
  <si>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</si>
  <si>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</si>
  <si>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</si>
  <si>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</si>
  <si>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</si>
  <si>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</si>
  <si>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</si>
  <si>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</si>
  <si>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</si>
  <si>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</si>
  <si>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</si>
  <si>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</si>
  <si>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</si>
  <si>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</si>
  <si>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</si>
  <si>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</si>
  <si>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</si>
  <si>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</si>
  <si>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</si>
  <si>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</si>
  <si>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</si>
  <si>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</si>
  <si>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</si>
  <si>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</si>
  <si>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</si>
  <si>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</si>
  <si>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</si>
  <si>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</si>
  <si>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</si>
  <si>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</si>
  <si>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</si>
  <si>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</si>
  <si>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</si>
  <si>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</si>
  <si>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</si>
  <si>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</si>
  <si>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</si>
  <si>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</si>
  <si>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</si>
  <si>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</si>
  <si>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</si>
  <si>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</si>
  <si>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</si>
  <si>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</si>
  <si>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</si>
  <si>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</si>
  <si>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</si>
  <si>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</si>
  <si>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</si>
  <si>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</si>
  <si>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</si>
  <si>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</si>
  <si>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</si>
  <si>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</si>
  <si>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</si>
  <si>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</si>
  <si>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</si>
  <si>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</si>
  <si>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</si>
  <si>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</si>
  <si>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</si>
  <si>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</si>
  <si>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</si>
  <si>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</si>
  <si>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</si>
  <si>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</si>
  <si>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</si>
  <si>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</si>
  <si>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</si>
  <si>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</si>
  <si>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</si>
  <si>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</si>
  <si>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</si>
  <si>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</si>
  <si>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</si>
  <si>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</si>
  <si>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</si>
  <si>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</si>
  <si>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</si>
  <si>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</si>
  <si>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</si>
  <si>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</si>
  <si>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</si>
  <si>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</si>
  <si>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</si>
  <si>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</si>
  <si>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</si>
  <si>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</si>
  <si>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</si>
  <si>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</si>
  <si>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</si>
  <si>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</si>
  <si>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</si>
  <si>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</si>
  <si>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</si>
  <si>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</si>
  <si>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</si>
  <si>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</si>
  <si>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</si>
  <si>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</si>
  <si>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</si>
  <si>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</si>
  <si>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</si>
  <si>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</si>
  <si>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</si>
  <si>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</si>
  <si>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</si>
  <si>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</si>
  <si>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</si>
  <si>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</si>
  <si>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</si>
  <si>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</si>
  <si>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</si>
  <si>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</si>
  <si>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</si>
  <si>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</si>
  <si>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</si>
  <si>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</si>
  <si>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</si>
  <si>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</si>
  <si>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</si>
  <si>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</si>
  <si>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</si>
  <si>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</si>
  <si>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</si>
  <si>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</si>
  <si>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</si>
  <si>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</si>
  <si>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</si>
  <si>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</si>
  <si>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</si>
  <si>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</si>
  <si>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</si>
  <si>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</si>
  <si>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</si>
  <si>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</si>
  <si>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</si>
  <si>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</si>
  <si>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</si>
  <si>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</si>
  <si>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</si>
  <si>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</si>
  <si>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</si>
  <si>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</si>
  <si>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</si>
  <si>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</si>
  <si>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</si>
  <si>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</si>
  <si>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</si>
  <si>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</si>
  <si>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</si>
  <si>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</si>
  <si>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</si>
  <si>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</si>
  <si>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</si>
  <si>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</si>
  <si>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</si>
  <si>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</si>
  <si>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</si>
  <si>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</si>
  <si>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</si>
  <si>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</si>
  <si>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</si>
  <si>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</si>
  <si>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</si>
  <si>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</si>
  <si>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</si>
  <si>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</si>
  <si>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</si>
  <si>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</si>
  <si>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</si>
  <si>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</si>
  <si>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</si>
  <si>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</si>
  <si>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</si>
  <si>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</si>
  <si>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</si>
  <si>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</si>
  <si>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</si>
  <si>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</si>
  <si>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</si>
  <si>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</si>
  <si>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</si>
  <si>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</si>
  <si>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</si>
  <si>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</si>
  <si>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</si>
  <si>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</si>
  <si>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</si>
  <si>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</si>
  <si>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</si>
  <si>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</si>
  <si>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</si>
  <si>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</si>
  <si>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</si>
  <si>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</si>
  <si>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</si>
  <si>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</si>
  <si>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</si>
  <si>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</si>
  <si>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</si>
  <si>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</si>
  <si>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</si>
  <si>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</si>
  <si>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</si>
  <si>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</si>
  <si>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</si>
  <si>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</si>
  <si>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</si>
  <si>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</si>
  <si>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</si>
  <si>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</si>
  <si>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</si>
  <si>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</si>
  <si>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</si>
  <si>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</si>
  <si>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</si>
  <si>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</si>
  <si>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</si>
  <si>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</si>
  <si>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</si>
  <si>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</si>
  <si>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</si>
  <si>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</si>
  <si>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</si>
  <si>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</si>
  <si>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</si>
  <si>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</si>
  <si>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</si>
  <si>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</si>
  <si>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</si>
  <si>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</si>
  <si>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</si>
  <si>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</si>
  <si>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</si>
  <si>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</si>
  <si>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</si>
  <si>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</si>
  <si>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</si>
  <si>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</si>
  <si>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</si>
  <si>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</si>
  <si>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</si>
  <si>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</si>
  <si>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</si>
  <si>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</si>
  <si>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</si>
  <si>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</si>
  <si>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</si>
  <si>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</si>
  <si>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</si>
  <si>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</si>
  <si>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</si>
  <si>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</si>
  <si>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</si>
  <si>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</si>
  <si>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</si>
  <si>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</si>
  <si>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</si>
  <si>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</si>
  <si>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</si>
  <si>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</si>
  <si>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</si>
  <si>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</si>
  <si>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</si>
  <si>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</si>
  <si>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</si>
  <si>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</si>
  <si>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</si>
  <si>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</si>
  <si>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</si>
  <si>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</si>
  <si>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</si>
  <si>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</si>
  <si>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</si>
  <si>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</si>
  <si>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</si>
  <si>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</si>
  <si>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</si>
  <si>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</si>
  <si>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</si>
  <si>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</si>
  <si>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</si>
  <si>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</si>
  <si>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</si>
  <si>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</si>
  <si>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</si>
  <si>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</si>
  <si>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</si>
  <si>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</si>
  <si>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</si>
  <si>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</si>
  <si>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</si>
  <si>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</si>
  <si>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</si>
  <si>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</si>
  <si>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</si>
  <si>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</si>
  <si>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</si>
  <si>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</si>
  <si>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</si>
  <si>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</si>
  <si>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</si>
  <si>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</si>
  <si>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</si>
  <si>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</si>
  <si>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</si>
  <si>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</si>
  <si>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</si>
  <si>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</si>
  <si>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</si>
  <si>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</si>
  <si>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</si>
  <si>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</si>
  <si>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</si>
  <si>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</si>
  <si>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</si>
  <si>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</si>
  <si>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</si>
  <si>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</si>
  <si>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</si>
  <si>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</si>
  <si>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</si>
  <si>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</si>
  <si>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</si>
  <si>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</si>
  <si>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</si>
  <si>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</si>
  <si>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</si>
  <si>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</si>
  <si>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</si>
  <si>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</si>
  <si>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</si>
  <si>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</si>
  <si>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</si>
  <si>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</si>
  <si>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</si>
  <si>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</si>
  <si>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</si>
  <si>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</si>
  <si>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</si>
  <si>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</si>
  <si>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</si>
  <si>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</si>
  <si>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</si>
  <si>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</si>
  <si>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</si>
  <si>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</si>
  <si>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</si>
  <si>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</si>
  <si>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</si>
  <si>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</si>
  <si>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</si>
  <si>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</si>
  <si>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</si>
  <si>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</si>
  <si>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</si>
  <si>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</si>
  <si>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</si>
  <si>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</si>
  <si>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</si>
  <si>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</si>
  <si>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</si>
  <si>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</si>
  <si>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</si>
  <si>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</si>
  <si>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</si>
  <si>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</si>
  <si>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</si>
  <si>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</si>
  <si>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</si>
  <si>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</si>
  <si>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</si>
  <si>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</si>
  <si>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</si>
  <si>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</si>
  <si>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</si>
  <si>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</si>
  <si>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</si>
  <si>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</si>
  <si>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</si>
  <si>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</si>
  <si>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</si>
  <si>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</si>
  <si>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</si>
  <si>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</si>
  <si>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</si>
  <si>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</si>
  <si>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</si>
  <si>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</si>
  <si>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</si>
  <si>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</si>
  <si>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</si>
  <si>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</si>
  <si>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</si>
  <si>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</si>
  <si>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</si>
  <si>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</si>
  <si>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</si>
  <si>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</si>
  <si>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</si>
  <si>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</si>
  <si>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</si>
  <si>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</si>
  <si>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</si>
  <si>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</si>
  <si>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</si>
  <si>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</si>
  <si>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</si>
  <si>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</si>
  <si>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</si>
  <si>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</si>
  <si>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</si>
  <si>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</si>
  <si>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</si>
  <si>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</si>
  <si>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</si>
  <si>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</si>
  <si>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</si>
  <si>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</si>
  <si>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</si>
  <si>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</si>
  <si>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</si>
  <si>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</si>
  <si>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</si>
  <si>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</si>
  <si>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</si>
  <si>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</si>
  <si>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</si>
  <si>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</si>
  <si>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</si>
  <si>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</si>
  <si>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</si>
  <si>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</si>
  <si>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</si>
  <si>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</si>
  <si>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</si>
  <si>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</si>
  <si>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</si>
  <si>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</si>
  <si>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</si>
  <si>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</si>
  <si>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</si>
  <si>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</si>
  <si>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</si>
  <si>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</si>
  <si>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</si>
  <si>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</si>
  <si>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</si>
  <si>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</si>
  <si>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</si>
  <si>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</si>
  <si>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</si>
  <si>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</si>
  <si>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</si>
  <si>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</si>
  <si>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</si>
  <si>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</si>
  <si>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</si>
  <si>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</si>
  <si>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</si>
  <si>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</si>
  <si>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</si>
  <si>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</si>
  <si>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</si>
  <si>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</si>
  <si>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</si>
  <si>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</si>
  <si>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</si>
  <si>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</si>
  <si>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</si>
  <si>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</si>
  <si>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</si>
  <si>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</si>
  <si>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</si>
  <si>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</si>
  <si>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</si>
  <si>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</si>
  <si>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</si>
  <si>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</si>
  <si>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</si>
  <si>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</si>
  <si>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</si>
  <si>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</si>
  <si>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</si>
  <si>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</si>
  <si>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</si>
  <si>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</si>
  <si>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</si>
  <si>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</si>
  <si>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</si>
  <si>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</si>
  <si>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</si>
  <si>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</si>
  <si>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</si>
  <si>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</si>
  <si>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</si>
  <si>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</si>
  <si>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</si>
  <si>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</si>
  <si>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</si>
  <si>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</si>
  <si>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</si>
  <si>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</si>
  <si>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</si>
  <si>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</si>
  <si>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</si>
  <si>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</si>
  <si>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</si>
  <si>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</si>
  <si>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</si>
  <si>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</si>
  <si>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</si>
  <si>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</si>
  <si>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</si>
  <si>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</si>
  <si>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</si>
  <si>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</si>
  <si>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</si>
  <si>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</si>
  <si>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</si>
  <si>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</si>
  <si>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</si>
  <si>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</si>
  <si>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</si>
  <si>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</si>
  <si>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</si>
  <si>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</si>
  <si>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</si>
  <si>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</si>
  <si>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</si>
  <si>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</si>
  <si>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</si>
  <si>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</si>
  <si>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</si>
  <si>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</si>
  <si>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</si>
  <si>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</si>
  <si>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</si>
  <si>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</si>
  <si>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</si>
  <si>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</si>
  <si>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</si>
  <si>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</si>
  <si>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</si>
  <si>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</si>
  <si>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</si>
  <si>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</si>
  <si>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</si>
  <si>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</si>
  <si>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</si>
  <si>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</si>
  <si>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</si>
  <si>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</si>
  <si>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</si>
  <si>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</si>
  <si>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</si>
  <si>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</si>
  <si>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</si>
  <si>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</si>
  <si>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</si>
  <si>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</si>
  <si>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</si>
  <si>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</si>
  <si>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</si>
  <si>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</si>
  <si>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</si>
  <si>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</si>
  <si>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</si>
  <si>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</si>
  <si>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</si>
  <si>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</si>
  <si>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</si>
  <si>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</si>
  <si>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</si>
  <si>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</si>
  <si>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</si>
  <si>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</si>
  <si>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</si>
  <si>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</si>
  <si>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</si>
  <si>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</si>
  <si>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</si>
  <si>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</si>
  <si>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</si>
  <si>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</si>
  <si>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</si>
  <si>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</si>
  <si>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</si>
  <si>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</si>
  <si>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</si>
  <si>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</si>
  <si>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</si>
  <si>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</si>
  <si>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</si>
  <si>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</si>
  <si>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</si>
  <si>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</si>
  <si>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</si>
  <si>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</si>
  <si>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</si>
  <si>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</si>
  <si>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</si>
  <si>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</si>
  <si>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</si>
  <si>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</si>
  <si>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</si>
  <si>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</si>
  <si>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</si>
  <si>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</si>
  <si>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</si>
  <si>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</si>
  <si>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</si>
  <si>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</si>
  <si>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</si>
  <si>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</si>
  <si>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</si>
  <si>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</si>
  <si>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</si>
  <si>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</si>
  <si>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</si>
  <si>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</si>
  <si>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</si>
  <si>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</si>
  <si>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</si>
  <si>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</si>
  <si>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</si>
  <si>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</si>
  <si>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</si>
  <si>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</si>
  <si>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</si>
  <si>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</si>
  <si>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</si>
  <si>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</si>
  <si>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</si>
  <si>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</si>
  <si>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</si>
  <si>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</si>
  <si>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</si>
  <si>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</si>
  <si>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</si>
  <si>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</si>
  <si>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</si>
  <si>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</si>
  <si>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</si>
  <si>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</si>
  <si>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</si>
  <si>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</si>
  <si>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</si>
  <si>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</si>
  <si>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</si>
  <si>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</si>
  <si>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</si>
  <si>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</si>
  <si>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</si>
  <si>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</si>
  <si>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</si>
  <si>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</si>
  <si>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</si>
  <si>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</si>
  <si>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</si>
  <si>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</si>
  <si>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</si>
  <si>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</si>
  <si>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</si>
  <si>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</si>
  <si>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</si>
  <si>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</si>
  <si>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</si>
  <si>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</si>
  <si>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</si>
  <si>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</si>
  <si>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</si>
  <si>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</si>
  <si>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</si>
  <si>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</si>
  <si>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</si>
  <si>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</si>
  <si>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</si>
  <si>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</si>
  <si>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</si>
  <si>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</si>
  <si>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</si>
  <si>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</si>
  <si>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</si>
  <si>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</si>
  <si>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</si>
  <si>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</si>
  <si>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</si>
  <si>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</si>
  <si>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</si>
  <si>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</si>
  <si>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</si>
  <si>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</si>
  <si>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</si>
  <si>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</si>
  <si>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</si>
  <si>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</si>
  <si>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</si>
  <si>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</si>
  <si>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</si>
  <si>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</si>
  <si>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</si>
  <si>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</si>
  <si>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</si>
  <si>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</si>
  <si>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</si>
  <si>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</si>
  <si>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</si>
  <si>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</si>
  <si>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</si>
  <si>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</si>
  <si>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</si>
  <si>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</si>
  <si>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</si>
  <si>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</si>
  <si>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</si>
  <si>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</si>
  <si>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</si>
  <si>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</si>
  <si>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</si>
  <si>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</si>
  <si>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</si>
  <si>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</si>
  <si>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</si>
  <si>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</si>
  <si>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</si>
  <si>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</si>
  <si>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</si>
  <si>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</si>
  <si>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</si>
  <si>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</si>
  <si>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</si>
  <si>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</si>
  <si>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</si>
  <si>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</si>
  <si>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</si>
  <si>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</si>
  <si>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</si>
  <si>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</si>
  <si>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</si>
  <si>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</si>
  <si>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</si>
  <si>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</si>
  <si>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</si>
  <si>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</si>
  <si>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</si>
  <si>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</si>
  <si>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</si>
  <si>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</si>
  <si>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</si>
  <si>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</si>
  <si>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</si>
  <si>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</si>
  <si>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</si>
  <si>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</si>
  <si>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</si>
  <si>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</si>
  <si>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</si>
  <si>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</si>
  <si>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</si>
  <si>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</si>
  <si>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</si>
  <si>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</si>
  <si>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</si>
  <si>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</si>
  <si>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</si>
  <si>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</si>
  <si>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</si>
  <si>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</si>
  <si>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</si>
  <si>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</si>
  <si>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</si>
  <si>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</si>
  <si>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</si>
  <si>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</si>
  <si>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</si>
  <si>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</si>
  <si>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</si>
  <si>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</si>
  <si>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</si>
  <si>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</si>
  <si>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</si>
  <si>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</si>
  <si>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</si>
  <si>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</si>
  <si>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</si>
  <si>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</si>
  <si>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</si>
  <si>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</si>
  <si>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</si>
  <si>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</si>
  <si>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</si>
  <si>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</si>
  <si>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</si>
  <si>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</si>
  <si>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</si>
  <si>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</si>
  <si>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</si>
  <si>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</si>
  <si>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</si>
  <si>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</si>
  <si>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</si>
  <si>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</si>
  <si>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</si>
  <si>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</si>
  <si>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</si>
  <si>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</si>
  <si>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</si>
  <si>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</si>
  <si>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</si>
  <si>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</si>
  <si>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</si>
  <si>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</si>
  <si>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</si>
  <si>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</si>
  <si>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</si>
  <si>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</si>
  <si>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</si>
  <si>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</si>
  <si>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</si>
  <si>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</si>
  <si>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</si>
  <si>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</si>
  <si>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</si>
  <si>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</si>
  <si>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</si>
  <si>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</si>
  <si>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</si>
  <si>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</si>
  <si>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</si>
  <si>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</si>
  <si>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</si>
  <si>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</si>
  <si>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</si>
  <si>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</si>
  <si>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</si>
  <si>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</si>
  <si>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</si>
  <si>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</si>
  <si>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</si>
  <si>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</si>
  <si>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</si>
  <si>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</si>
  <si>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</si>
  <si>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</si>
  <si>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</si>
  <si>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</si>
  <si>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</si>
  <si>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</si>
  <si>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</si>
  <si>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</si>
  <si>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</si>
  <si>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</si>
  <si>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</si>
  <si>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</si>
  <si>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</si>
  <si>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</si>
  <si>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</si>
  <si>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</si>
  <si>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</si>
  <si>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</si>
  <si>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</si>
  <si>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</si>
  <si>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</si>
  <si>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</si>
  <si>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</si>
  <si>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</si>
  <si>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</si>
  <si>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</si>
  <si>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</si>
  <si>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</si>
  <si>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</si>
  <si>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</si>
  <si>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</si>
  <si>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</si>
  <si>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</si>
  <si>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</si>
  <si>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</si>
  <si>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</si>
  <si>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</si>
  <si>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</si>
  <si>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</si>
  <si>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</si>
  <si>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</si>
  <si>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</si>
  <si>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</si>
  <si>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</si>
  <si>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</si>
  <si>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</si>
  <si>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</si>
  <si>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</si>
  <si>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</si>
  <si>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</si>
  <si>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</si>
  <si>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</si>
  <si>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</si>
  <si>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</si>
  <si>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</si>
  <si>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</si>
  <si>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</si>
  <si>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</si>
  <si>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</si>
  <si>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</si>
  <si>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</si>
  <si>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</si>
  <si>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</si>
  <si>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</si>
  <si>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</si>
  <si>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</si>
  <si>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</si>
  <si>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</si>
  <si>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</si>
  <si>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</si>
  <si>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</si>
  <si>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</si>
  <si>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</si>
  <si>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</si>
  <si>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</si>
  <si>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</si>
  <si>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</si>
  <si>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</si>
  <si>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</si>
  <si>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</si>
  <si>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</si>
  <si>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</si>
  <si>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</si>
  <si>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</si>
  <si>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</si>
  <si>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</si>
  <si>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</si>
  <si>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</si>
  <si>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</si>
  <si>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</si>
  <si>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</si>
  <si>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</si>
  <si>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</si>
  <si>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</si>
  <si>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</si>
  <si>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</si>
  <si>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</si>
  <si>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</si>
  <si>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</si>
  <si>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</si>
  <si>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</si>
  <si>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</si>
  <si>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</si>
  <si>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</si>
  <si>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</si>
  <si>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</si>
  <si>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</si>
  <si>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</si>
  <si>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</si>
  <si>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</si>
  <si>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</si>
  <si>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</si>
  <si>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</si>
  <si>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</si>
  <si>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</si>
  <si>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</si>
  <si>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</si>
  <si>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</si>
  <si>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</si>
  <si>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</si>
  <si>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</si>
  <si>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</si>
  <si>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</si>
  <si>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</si>
  <si>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</si>
  <si>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</si>
  <si>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</si>
  <si>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</si>
  <si>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</si>
  <si>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</si>
  <si>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</si>
  <si>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</si>
  <si>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</si>
  <si>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</si>
  <si>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</si>
  <si>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</si>
  <si>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</si>
  <si>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</si>
  <si>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</si>
  <si>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</si>
  <si>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</si>
  <si>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</si>
  <si>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</si>
  <si>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</si>
  <si>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</si>
  <si>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</si>
  <si>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</si>
  <si>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</si>
  <si>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</si>
  <si>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</si>
  <si>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</si>
  <si>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</si>
  <si>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</si>
  <si>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</si>
  <si>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</si>
  <si>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</si>
  <si>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</si>
  <si>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</si>
  <si>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</si>
  <si>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</si>
  <si>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</si>
  <si>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</si>
  <si>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</si>
  <si>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</si>
  <si>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</si>
  <si>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</si>
  <si>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</si>
  <si>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</si>
  <si>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</si>
  <si>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</si>
  <si>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</si>
  <si>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</si>
  <si>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</si>
  <si>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</si>
  <si>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</si>
  <si>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</si>
  <si>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</si>
  <si>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</si>
  <si>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</si>
  <si>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</si>
  <si>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</si>
  <si>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</si>
  <si>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</si>
  <si>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</si>
  <si>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</si>
  <si>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</si>
  <si>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</si>
  <si>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</si>
  <si>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</si>
  <si>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</si>
  <si>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</si>
  <si>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</si>
  <si>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</si>
  <si>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</si>
  <si>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</si>
  <si>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</si>
  <si>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</si>
  <si>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</si>
  <si>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</si>
  <si>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</si>
  <si>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</si>
  <si>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</si>
  <si>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</si>
  <si>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</si>
  <si>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</si>
  <si>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</si>
  <si>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</si>
  <si>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</si>
  <si>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</si>
  <si>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</si>
  <si>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</si>
  <si>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</si>
  <si>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</si>
  <si>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</si>
  <si>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</si>
  <si>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</si>
  <si>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</si>
  <si>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</si>
  <si>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</si>
  <si>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</si>
  <si>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</si>
  <si>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</si>
  <si>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</si>
  <si>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</si>
  <si>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</si>
  <si>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</si>
  <si>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</si>
  <si>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</si>
  <si>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</si>
  <si>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</si>
  <si>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</si>
  <si>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</si>
  <si>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</si>
  <si>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</si>
  <si>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</si>
  <si>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</si>
  <si>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</si>
  <si>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</si>
  <si>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</si>
  <si>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</si>
  <si>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</si>
  <si>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</si>
  <si>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</si>
  <si>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</si>
  <si>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</si>
  <si>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</si>
  <si>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</si>
  <si>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</si>
  <si>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</si>
  <si>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</si>
  <si>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</si>
  <si>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</si>
  <si>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</si>
  <si>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</si>
  <si>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</si>
  <si>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</si>
  <si>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</si>
  <si>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</si>
  <si>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</si>
  <si>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</si>
  <si>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</si>
  <si>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</si>
  <si>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</si>
  <si>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</si>
  <si>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</si>
  <si>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</si>
  <si>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</si>
  <si>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</si>
  <si>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</si>
  <si>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</si>
  <si>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</si>
  <si>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</si>
  <si>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</si>
  <si>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</si>
  <si>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</si>
  <si>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</si>
  <si>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</si>
  <si>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</si>
  <si>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</si>
  <si>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</si>
  <si>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</si>
  <si>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</si>
  <si>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</si>
  <si>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</si>
  <si>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</si>
  <si>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</si>
  <si>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</si>
  <si>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</si>
  <si>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</si>
  <si>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</si>
  <si>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</si>
  <si>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</si>
  <si>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</si>
  <si>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</si>
  <si>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</si>
  <si>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</si>
  <si>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</si>
  <si>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</si>
  <si>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吴薇</t>
  </si>
  <si>
    <t>崔锴</t>
  </si>
  <si>
    <t>核定资产</t>
  </si>
  <si>
    <t>房地产市场价值</t>
  </si>
  <si>
    <t>房地产抵押价值</t>
  </si>
  <si>
    <t>企业</t>
  </si>
  <si>
    <t>与房产证证载一致</t>
  </si>
  <si>
    <t>其他：</t>
  </si>
  <si>
    <t>辽宁省大连市</t>
    <phoneticPr fontId="7" type="noConversion"/>
  </si>
  <si>
    <t>房屋所有权证</t>
  </si>
  <si>
    <t>原件</t>
  </si>
  <si>
    <t>《房屋所有权证》</t>
  </si>
  <si>
    <t>楼面单价</t>
  </si>
  <si>
    <t>住宅</t>
  </si>
  <si>
    <t>无租约</t>
  </si>
  <si>
    <t>高区</t>
  </si>
  <si>
    <t>中区</t>
  </si>
  <si>
    <t>低区</t>
  </si>
  <si>
    <t>塔楼</t>
    <phoneticPr fontId="4" type="noConversion"/>
  </si>
  <si>
    <t>板楼</t>
    <phoneticPr fontId="4" type="noConversion"/>
  </si>
  <si>
    <t>钢混</t>
    <phoneticPr fontId="4" type="noConversion"/>
  </si>
  <si>
    <t>混合</t>
    <phoneticPr fontId="4" type="noConversion"/>
  </si>
  <si>
    <t>精装</t>
    <phoneticPr fontId="4" type="noConversion"/>
  </si>
  <si>
    <t>简装</t>
    <phoneticPr fontId="4" type="noConversion"/>
  </si>
  <si>
    <t>毛坯</t>
    <phoneticPr fontId="4" type="noConversion"/>
  </si>
  <si>
    <t>专业</t>
    <phoneticPr fontId="4" type="noConversion"/>
  </si>
  <si>
    <t>业余</t>
    <phoneticPr fontId="4" type="noConversion"/>
  </si>
  <si>
    <t>七通</t>
  </si>
  <si>
    <t>六通</t>
  </si>
  <si>
    <t>五通</t>
  </si>
  <si>
    <t>四通</t>
  </si>
  <si>
    <t>三通</t>
  </si>
  <si>
    <t>仅计算典型户型</t>
  </si>
  <si>
    <t>售价</t>
  </si>
  <si>
    <t>2-21-3</t>
    <phoneticPr fontId="20" type="noConversion"/>
  </si>
  <si>
    <t>2-16-1</t>
    <phoneticPr fontId="20" type="noConversion"/>
  </si>
  <si>
    <t>2-16-2</t>
    <phoneticPr fontId="20" type="noConversion"/>
  </si>
  <si>
    <t>住宅</t>
    <phoneticPr fontId="20" type="noConversion"/>
  </si>
  <si>
    <t>60-70（含）</t>
  </si>
  <si>
    <t>塔楼</t>
  </si>
  <si>
    <t>钢混</t>
  </si>
  <si>
    <t>精装</t>
  </si>
  <si>
    <t>专业</t>
  </si>
  <si>
    <t>毛坯</t>
  </si>
  <si>
    <t>正常</t>
  </si>
  <si>
    <t>简装</t>
  </si>
  <si>
    <t>北欧假日</t>
    <phoneticPr fontId="4" type="noConversion"/>
  </si>
  <si>
    <t>按租金收入计税</t>
  </si>
  <si>
    <t>押一</t>
  </si>
  <si>
    <t>设定收益年期(n)</t>
  </si>
  <si>
    <t>非生产用房</t>
  </si>
  <si>
    <t>否</t>
  </si>
  <si>
    <t>收益还原</t>
  </si>
  <si>
    <t>内部装修</t>
    <phoneticPr fontId="4" type="noConversion"/>
  </si>
  <si>
    <t>精装</t>
    <phoneticPr fontId="20" type="noConversion"/>
  </si>
  <si>
    <t>简装</t>
    <phoneticPr fontId="20" type="noConversion"/>
  </si>
  <si>
    <t>毛坯</t>
    <phoneticPr fontId="20" type="noConversion"/>
  </si>
  <si>
    <t>比较法-住宅</t>
  </si>
  <si>
    <t>收益法</t>
  </si>
  <si>
    <t>50-60（含）</t>
  </si>
  <si>
    <t>朝向</t>
    <phoneticPr fontId="20" type="noConversion"/>
  </si>
  <si>
    <t>南北</t>
    <phoneticPr fontId="20" type="noConversion"/>
  </si>
  <si>
    <t>南北</t>
    <phoneticPr fontId="20" type="noConversion"/>
  </si>
  <si>
    <t>南</t>
  </si>
  <si>
    <t>南</t>
    <phoneticPr fontId="20" type="noConversion"/>
  </si>
  <si>
    <t>南北</t>
  </si>
  <si>
    <t>东北</t>
  </si>
  <si>
    <t>东北</t>
    <phoneticPr fontId="20" type="noConversion"/>
  </si>
  <si>
    <t>五险一金【</t>
    <phoneticPr fontId="146" type="noConversion"/>
  </si>
  <si>
    <t>东南</t>
    <phoneticPr fontId="20" type="noConversion"/>
  </si>
  <si>
    <t>西南</t>
    <phoneticPr fontId="20" type="noConversion"/>
  </si>
  <si>
    <t>西北</t>
  </si>
  <si>
    <t>西北</t>
    <phoneticPr fontId="20" type="noConversion"/>
  </si>
  <si>
    <t>东</t>
    <phoneticPr fontId="20" type="noConversion"/>
  </si>
  <si>
    <t>西</t>
    <phoneticPr fontId="20" type="noConversion"/>
  </si>
  <si>
    <t>典型户型修正</t>
  </si>
  <si>
    <t>万元</t>
  </si>
  <si>
    <t>装修维护情况</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</si>
  <si>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</si>
  <si>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</si>
  <si>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</si>
  <si>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</si>
  <si>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</si>
  <si>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高区</t>
    <phoneticPr fontId="20" type="noConversion"/>
  </si>
  <si>
    <t>楼层</t>
    <phoneticPr fontId="20" type="noConversion"/>
  </si>
  <si>
    <t>楼层</t>
    <phoneticPr fontId="20" type="noConversion"/>
  </si>
  <si>
    <t>高区</t>
    <phoneticPr fontId="146" type="noConversion"/>
  </si>
  <si>
    <t>高区</t>
    <phoneticPr fontId="20" type="noConversion"/>
  </si>
  <si>
    <t>低区</t>
    <phoneticPr fontId="20" type="noConversion"/>
  </si>
  <si>
    <t>中区</t>
    <phoneticPr fontId="20" type="noConversion"/>
  </si>
  <si>
    <r>
      <rPr>
        <sz val="11"/>
        <rFont val="宋体"/>
        <family val="3"/>
        <charset val="134"/>
      </rPr>
      <t>朝向</t>
    </r>
  </si>
  <si>
    <t>房号</t>
    <phoneticPr fontId="146" type="noConversion"/>
  </si>
  <si>
    <t>建筑面积</t>
    <phoneticPr fontId="146" type="noConversion"/>
  </si>
  <si>
    <t>单价</t>
    <phoneticPr fontId="146" type="noConversion"/>
  </si>
  <si>
    <t>总价</t>
    <phoneticPr fontId="146" type="noConversion"/>
  </si>
  <si>
    <t>东南</t>
  </si>
  <si>
    <t>西南</t>
  </si>
  <si>
    <t>东</t>
  </si>
  <si>
    <t>西</t>
  </si>
  <si>
    <t xml:space="preserve"> </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</si>
</sst>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3"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181" fontId="117" fillId="6" borderId="31" xfId="0"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0" fontId="143" fillId="6"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xf>
    <xf numFmtId="0" fontId="135" fillId="5" borderId="0" xfId="0" applyFont="1" applyFill="1" applyBorder="1" applyAlignment="1" applyProtection="1">
      <alignment horizontal="center" vertical="center"/>
      <protection locked="0"/>
    </xf>
    <xf numFmtId="0" fontId="135" fillId="0" borderId="83" xfId="0" applyNumberFormat="1" applyFont="1" applyFill="1" applyBorder="1" applyAlignment="1" applyProtection="1">
      <alignment horizontal="center" vertical="center"/>
      <protection locked="0"/>
    </xf>
    <xf numFmtId="1" fontId="45" fillId="5" borderId="20" xfId="0" applyNumberFormat="1" applyFont="1" applyFill="1" applyBorder="1" applyAlignment="1" applyProtection="1">
      <alignment vertical="center" wrapText="1"/>
    </xf>
    <xf numFmtId="1" fontId="45" fillId="5" borderId="62" xfId="0" applyNumberFormat="1" applyFont="1" applyFill="1" applyBorder="1" applyAlignment="1" applyProtection="1">
      <alignment vertical="center" wrapText="1"/>
    </xf>
    <xf numFmtId="1" fontId="45" fillId="5" borderId="48"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45" fillId="5" borderId="40" xfId="0" applyNumberFormat="1" applyFont="1" applyFill="1" applyBorder="1" applyAlignment="1" applyProtection="1">
      <alignment vertical="center" wrapText="1"/>
    </xf>
    <xf numFmtId="0" fontId="75" fillId="0" borderId="39"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1"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10" fontId="75" fillId="5" borderId="1" xfId="0" applyNumberFormat="1" applyFont="1" applyFill="1" applyBorder="1" applyAlignment="1" applyProtection="1">
      <alignment horizontal="left"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10" fontId="42" fillId="5" borderId="1" xfId="0" applyNumberFormat="1"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161925</xdr:rowOff>
    </xdr:from>
    <xdr:to>
      <xdr:col>6</xdr:col>
      <xdr:colOff>506999</xdr:colOff>
      <xdr:row>31</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05125"/>
          <a:ext cx="4621799" cy="2486025"/>
        </a:xfrm>
        <a:prstGeom prst="rect">
          <a:avLst/>
        </a:prstGeom>
      </xdr:spPr>
    </xdr:pic>
    <xdr:clientData/>
  </xdr:twoCellAnchor>
  <xdr:twoCellAnchor editAs="oneCell">
    <xdr:from>
      <xdr:col>0</xdr:col>
      <xdr:colOff>0</xdr:colOff>
      <xdr:row>1</xdr:row>
      <xdr:rowOff>0</xdr:rowOff>
    </xdr:from>
    <xdr:to>
      <xdr:col>6</xdr:col>
      <xdr:colOff>419100</xdr:colOff>
      <xdr:row>15</xdr:row>
      <xdr:rowOff>74486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
          <a:ext cx="4533900" cy="2474786"/>
        </a:xfrm>
        <a:prstGeom prst="rect">
          <a:avLst/>
        </a:prstGeom>
      </xdr:spPr>
    </xdr:pic>
    <xdr:clientData/>
  </xdr:twoCellAnchor>
  <xdr:twoCellAnchor editAs="oneCell">
    <xdr:from>
      <xdr:col>6</xdr:col>
      <xdr:colOff>635462</xdr:colOff>
      <xdr:row>0</xdr:row>
      <xdr:rowOff>0</xdr:rowOff>
    </xdr:from>
    <xdr:to>
      <xdr:col>13</xdr:col>
      <xdr:colOff>579688</xdr:colOff>
      <xdr:row>16</xdr:row>
      <xdr:rowOff>161106</xdr:rowOff>
    </xdr:to>
    <xdr:pic>
      <xdr:nvPicPr>
        <xdr:cNvPr id="4" name="图片 3"/>
        <xdr:cNvPicPr>
          <a:picLocks noChangeAspect="1"/>
        </xdr:cNvPicPr>
      </xdr:nvPicPr>
      <xdr:blipFill>
        <a:blip xmlns:r="http://schemas.openxmlformats.org/officeDocument/2006/relationships" r:embed="rId3"/>
        <a:stretch>
          <a:fillRect/>
        </a:stretch>
      </xdr:blipFill>
      <xdr:spPr>
        <a:xfrm>
          <a:off x="4750262" y="0"/>
          <a:ext cx="4744826" cy="2904306"/>
        </a:xfrm>
        <a:prstGeom prst="rect">
          <a:avLst/>
        </a:prstGeom>
      </xdr:spPr>
    </xdr:pic>
    <xdr:clientData/>
  </xdr:twoCellAnchor>
  <xdr:twoCellAnchor editAs="oneCell">
    <xdr:from>
      <xdr:col>6</xdr:col>
      <xdr:colOff>604246</xdr:colOff>
      <xdr:row>17</xdr:row>
      <xdr:rowOff>19050</xdr:rowOff>
    </xdr:from>
    <xdr:to>
      <xdr:col>14</xdr:col>
      <xdr:colOff>275261</xdr:colOff>
      <xdr:row>39</xdr:row>
      <xdr:rowOff>104055</xdr:rowOff>
    </xdr:to>
    <xdr:pic>
      <xdr:nvPicPr>
        <xdr:cNvPr id="5" name="图片 4"/>
        <xdr:cNvPicPr>
          <a:picLocks noChangeAspect="1"/>
        </xdr:cNvPicPr>
      </xdr:nvPicPr>
      <xdr:blipFill>
        <a:blip xmlns:r="http://schemas.openxmlformats.org/officeDocument/2006/relationships" r:embed="rId4"/>
        <a:stretch>
          <a:fillRect/>
        </a:stretch>
      </xdr:blipFill>
      <xdr:spPr>
        <a:xfrm>
          <a:off x="4719046" y="2933700"/>
          <a:ext cx="5157415" cy="3856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484943</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57143"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2" sqref="B2:B70"/>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1101</v>
      </c>
      <c r="B1" s="1690" t="s">
        <v>1163</v>
      </c>
    </row>
    <row r="2" spans="1:2" s="1693" customFormat="1" ht="15.75" thickTop="1">
      <c r="A2" s="1692" t="s">
        <v>1102</v>
      </c>
      <c r="B2" s="1678" t="str">
        <f>'预评函-封皮'!B9</f>
        <v>辽宁省大连市房地产市场价值预评估</v>
      </c>
    </row>
    <row r="3" spans="1:2" s="1693" customFormat="1">
      <c r="A3" s="1694" t="s">
        <v>1103</v>
      </c>
      <c r="B3" s="1679" t="str">
        <f>'预评函-封皮'!B12</f>
        <v>xx</v>
      </c>
    </row>
    <row r="4" spans="1:2" s="1693" customFormat="1">
      <c r="A4" s="1694" t="s">
        <v>1104</v>
      </c>
      <c r="B4" s="1679" t="str">
        <f ca="1">'预评函-封皮'!B18</f>
        <v>吴薇（注册号:1419970001）、崔锴（注册号:1120100036)</v>
      </c>
    </row>
    <row r="5" spans="1:2" s="1691" customFormat="1" ht="15.75" thickBot="1">
      <c r="A5" s="1695" t="s">
        <v>1105</v>
      </c>
      <c r="B5" s="1680" t="str">
        <f>'预评函-封皮'!B21</f>
        <v>康正预评字号</v>
      </c>
    </row>
    <row r="6" spans="1:2" s="1693" customFormat="1" ht="15.75" thickTop="1">
      <c r="A6" s="1694" t="s">
        <v>1106</v>
      </c>
      <c r="B6" s="1678" t="str">
        <f>'预评函-1'!A4</f>
        <v>受您的委托，我公司对辽宁省大连市房地产进行了预评估。</v>
      </c>
    </row>
    <row r="7" spans="1:2">
      <c r="A7" s="1694" t="s">
        <v>1107</v>
      </c>
      <c r="B7" s="1681" t="str">
        <f>'预评函-1'!A6</f>
        <v>估价对象为辽宁省大连市房地产，为XX所有。根据《房屋所有权证》[]，估价对象建筑面积为平方米。根据《不动产权证书》[]，估价对象（分摊）出让国有建设用地使用权面积为平方米。估价对象用途为。</v>
      </c>
    </row>
    <row r="8" spans="1:2">
      <c r="A8" s="1694" t="s">
        <v>1108</v>
      </c>
      <c r="B8" s="1681" t="str">
        <f>'预评函-1'!A8</f>
        <v>为估价委托人了解估价对象房地产市场价值提供参考依据。</v>
      </c>
    </row>
    <row r="9" spans="1:2">
      <c r="A9" s="1694" t="s">
        <v>1109</v>
      </c>
      <c r="B9" s="1681" t="str">
        <f>'预评函-1'!A10</f>
        <v>2020年6月17日</v>
      </c>
    </row>
    <row r="10" spans="1:2">
      <c r="A10" s="1694" t="s">
        <v>1110</v>
      </c>
      <c r="B10" s="1681" t="str">
        <f>'预评函-1'!A13</f>
        <v>本次估价的“房地产价值”是指在正常市场情况下，在价值时点2020年6月17日，估价对象规划用途为，假定未设立法定优先受偿款下的房地产市场价值。</v>
      </c>
    </row>
    <row r="11" spans="1:2">
      <c r="A11" s="1694" t="s">
        <v>1111</v>
      </c>
      <c r="B11" s="1681"/>
    </row>
    <row r="12" spans="1:2">
      <c r="A12" s="1694" t="s">
        <v>1112</v>
      </c>
      <c r="B12" s="1681" t="str">
        <f>'预评函-1'!A14</f>
        <v>——</v>
      </c>
    </row>
    <row r="13" spans="1:2">
      <c r="A13" s="1694" t="s">
        <v>1113</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1114</v>
      </c>
      <c r="B14" s="1681" t="str">
        <f>'预评函-1'!A16</f>
        <v>——</v>
      </c>
    </row>
    <row r="15" spans="1:2" s="1691" customFormat="1" ht="15.75" thickBot="1">
      <c r="A15" s="1695" t="s">
        <v>1115</v>
      </c>
      <c r="B15" s="1682" t="str">
        <f>'预评函-1'!A18</f>
        <v>本次评估采用的主估价方法为基准地价系数修正法和比较法。</v>
      </c>
    </row>
    <row r="16" spans="1:2" ht="15.75" thickTop="1">
      <c r="A16" s="1692" t="s">
        <v>1116</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1117</v>
      </c>
      <c r="B17" s="1681" t="str">
        <f>'预评函-2（1）'!B6</f>
        <v>辽宁省大连市房地产</v>
      </c>
    </row>
    <row r="18" spans="1:2">
      <c r="A18" s="1694" t="s">
        <v>1118</v>
      </c>
      <c r="B18" s="1681">
        <f>'预评函-2（1）'!C6</f>
        <v>0</v>
      </c>
    </row>
    <row r="19" spans="1:2">
      <c r="A19" s="1694" t="s">
        <v>1119</v>
      </c>
      <c r="B19" s="1681">
        <f ca="1">'预评函-2（1）'!D7</f>
        <v>420</v>
      </c>
    </row>
    <row r="20" spans="1:2">
      <c r="A20" s="1694" t="s">
        <v>1157</v>
      </c>
      <c r="B20" s="1681" t="str">
        <f>'预评函-2（1）'!C7</f>
        <v>总价（万元）</v>
      </c>
    </row>
    <row r="21" spans="1:2">
      <c r="A21" s="1694" t="s">
        <v>1120</v>
      </c>
      <c r="B21" s="1681">
        <f ca="1">'预评函-2（1）'!D9</f>
        <v>11092</v>
      </c>
    </row>
    <row r="22" spans="1:2">
      <c r="A22" s="1694" t="s">
        <v>1121</v>
      </c>
      <c r="B22" s="1681" t="str">
        <f ca="1">'预评函-2（1）'!D8</f>
        <v>肆佰贰拾万元整</v>
      </c>
    </row>
    <row r="23" spans="1:2">
      <c r="A23" s="1694" t="s">
        <v>1158</v>
      </c>
      <c r="B23" s="1681">
        <f>'预评函-2（1）'!D10</f>
        <v>0</v>
      </c>
    </row>
    <row r="24" spans="1:2">
      <c r="A24" s="1694" t="s">
        <v>1159</v>
      </c>
      <c r="B24" s="1681" t="str">
        <f>'预评函-2（1）'!C10</f>
        <v>总额（万元）</v>
      </c>
    </row>
    <row r="25" spans="1:2">
      <c r="A25" s="1694" t="s">
        <v>1122</v>
      </c>
      <c r="B25" s="1681" t="str">
        <f>'预评函-2（1）'!D11</f>
        <v>零元整</v>
      </c>
    </row>
    <row r="26" spans="1:2">
      <c r="A26" s="1694" t="s">
        <v>1123</v>
      </c>
      <c r="B26" s="1681">
        <f>'预评函-2（1）'!D12</f>
        <v>0</v>
      </c>
    </row>
    <row r="27" spans="1:2">
      <c r="A27" s="1694" t="s">
        <v>1124</v>
      </c>
      <c r="B27" s="1681">
        <f>'预评函-2（1）'!D13</f>
        <v>0</v>
      </c>
    </row>
    <row r="28" spans="1:2">
      <c r="A28" s="1694" t="s">
        <v>1125</v>
      </c>
      <c r="B28" s="1681">
        <f>'预评函-2（1）'!D14</f>
        <v>0</v>
      </c>
    </row>
    <row r="29" spans="1:2">
      <c r="A29" s="1694" t="s">
        <v>1126</v>
      </c>
      <c r="B29" s="1681">
        <f ca="1">'预评函-2（1）'!D15</f>
        <v>420</v>
      </c>
    </row>
    <row r="30" spans="1:2">
      <c r="A30" s="1694" t="s">
        <v>1127</v>
      </c>
      <c r="B30" s="1681" t="str">
        <f ca="1">'预评函-2（1）'!D16</f>
        <v>肆佰贰拾万元整</v>
      </c>
    </row>
    <row r="31" spans="1:2">
      <c r="A31" s="1694" t="s">
        <v>1128</v>
      </c>
      <c r="B31" s="1681" t="str">
        <f>'预评函-2（1）'!D18</f>
        <v>——</v>
      </c>
    </row>
    <row r="32" spans="1:2">
      <c r="A32" s="1694" t="s">
        <v>1129</v>
      </c>
      <c r="B32" s="1681" t="e">
        <f>'预评函-2（1）'!D19</f>
        <v>#VALUE!</v>
      </c>
    </row>
    <row r="33" spans="1:2">
      <c r="A33" s="1694" t="s">
        <v>1130</v>
      </c>
      <c r="B33" s="1681" t="str">
        <f>'预评函-2（1）'!D21</f>
        <v>——</v>
      </c>
    </row>
    <row r="34" spans="1:2">
      <c r="A34" s="1694" t="s">
        <v>1131</v>
      </c>
      <c r="B34" s="1681" t="str">
        <f ca="1">'预评函-2（1）'!D23</f>
        <v>——</v>
      </c>
    </row>
    <row r="35" spans="1:2">
      <c r="A35" s="1694" t="s">
        <v>1132</v>
      </c>
      <c r="B35" s="1681" t="e">
        <f>'预评函-2（1）'!D22</f>
        <v>#VALUE!</v>
      </c>
    </row>
    <row r="36" spans="1:2">
      <c r="A36" s="1694" t="s">
        <v>1133</v>
      </c>
      <c r="B36" s="1681">
        <f>'预评函-2（2）'!C4</f>
        <v>0</v>
      </c>
    </row>
    <row r="37" spans="1:2">
      <c r="A37" s="1694" t="s">
        <v>1134</v>
      </c>
      <c r="B37" s="1681">
        <f>'预评函-2（2）'!D4</f>
        <v>0</v>
      </c>
    </row>
    <row r="38" spans="1:2">
      <c r="A38" s="1694" t="s">
        <v>1135</v>
      </c>
      <c r="B38" s="1681">
        <f>'预评函-2（2）'!E4</f>
        <v>0</v>
      </c>
    </row>
    <row r="39" spans="1:2">
      <c r="A39" s="1694" t="s">
        <v>1136</v>
      </c>
      <c r="B39" s="1681" t="str">
        <f>'预评函-2（2）'!D5</f>
        <v>零元整</v>
      </c>
    </row>
    <row r="40" spans="1:2">
      <c r="A40" s="1694" t="s">
        <v>1137</v>
      </c>
      <c r="B40" s="1681">
        <f>'预评函-2（2）'!F4</f>
        <v>0</v>
      </c>
    </row>
    <row r="41" spans="1:2">
      <c r="A41" s="1694" t="s">
        <v>1138</v>
      </c>
      <c r="B41" s="1681">
        <f>'预评函-2（2）'!G4</f>
        <v>0</v>
      </c>
    </row>
    <row r="42" spans="1:2" s="1691" customFormat="1" ht="15.75" thickBot="1">
      <c r="A42" s="1695" t="s">
        <v>1139</v>
      </c>
      <c r="B42" s="1683" t="str">
        <f>'预评函-2（2）'!F5</f>
        <v>零元整</v>
      </c>
    </row>
    <row r="43" spans="1:2" ht="15.75" thickTop="1">
      <c r="A43" s="1692" t="s">
        <v>1140</v>
      </c>
      <c r="B43" s="1684" t="str">
        <f>'预评函-3'!A13</f>
        <v>2.本次评估设定估价对象房地产权属无争议，未被查封或者以其他形式限制其房地产权利，未设定抵押权等他项权利，不涉及第三方权利义务。</v>
      </c>
    </row>
    <row r="44" spans="1:2">
      <c r="A44" s="1694" t="s">
        <v>1141</v>
      </c>
      <c r="B44" s="1681" t="str">
        <f>'预评函-3'!A14</f>
        <v>——</v>
      </c>
    </row>
    <row r="45" spans="1:2">
      <c r="A45" s="1694" t="s">
        <v>1142</v>
      </c>
      <c r="B45" s="1681" t="str">
        <f>'预评函-3'!A15</f>
        <v>——</v>
      </c>
    </row>
    <row r="46" spans="1:2">
      <c r="A46" s="1694" t="s">
        <v>1143</v>
      </c>
      <c r="B46" s="1681" t="str">
        <f>'预评函-3'!A16</f>
        <v>——</v>
      </c>
    </row>
    <row r="47" spans="1:2">
      <c r="A47" s="1694" t="s">
        <v>1144</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1155</v>
      </c>
      <c r="B48" s="1681" t="str">
        <f>'预评函-3'!A18</f>
        <v>——</v>
      </c>
    </row>
    <row r="49" spans="1:2">
      <c r="A49" s="1694" t="s">
        <v>1145</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1146</v>
      </c>
      <c r="B50" s="1681" t="str">
        <f>'预评函-3'!A20</f>
        <v>6.其他需特殊说明事项：无（注意修改序号）</v>
      </c>
    </row>
    <row r="51" spans="1:2" s="1691" customFormat="1" thickBot="1">
      <c r="A51" s="1695" t="s">
        <v>1147</v>
      </c>
      <c r="B51" s="1688">
        <f>'预评函-3'!D29</f>
        <v>42551</v>
      </c>
    </row>
    <row r="52" spans="1:2" ht="15.75" thickTop="1">
      <c r="A52" s="1692" t="s">
        <v>1148</v>
      </c>
      <c r="B52" s="1687" t="str">
        <f>'预评函-3'!A4</f>
        <v>吴薇</v>
      </c>
    </row>
    <row r="53" spans="1:2">
      <c r="A53" s="1694" t="s">
        <v>1149</v>
      </c>
      <c r="B53" s="1681">
        <f ca="1">'预评函-3'!B4</f>
        <v>1419970001</v>
      </c>
    </row>
    <row r="54" spans="1:2">
      <c r="A54" s="1694" t="s">
        <v>1150</v>
      </c>
      <c r="B54" s="1685" t="str">
        <f>'预评函-3'!A5</f>
        <v>崔锴</v>
      </c>
    </row>
    <row r="55" spans="1:2" s="1691" customFormat="1" ht="15.75" thickBot="1">
      <c r="A55" s="1695" t="s">
        <v>1151</v>
      </c>
      <c r="B55" s="1683">
        <f ca="1">'预评函-3'!B5</f>
        <v>1120100036</v>
      </c>
    </row>
    <row r="56" spans="1:2" ht="15.75" thickTop="1">
      <c r="A56" s="1697" t="s">
        <v>1160</v>
      </c>
      <c r="B56" s="1681" t="str">
        <f>'预评函-2（1）'!B15</f>
        <v>3.房地产抵押价值</v>
      </c>
    </row>
    <row r="57" spans="1:2">
      <c r="A57" s="1697" t="s">
        <v>1161</v>
      </c>
      <c r="B57" s="1681" t="str">
        <f>'预评函-2（1）'!B18</f>
        <v>——</v>
      </c>
    </row>
    <row r="58" spans="1:2" s="1691" customFormat="1" ht="15.75" thickBot="1">
      <c r="A58" s="1698" t="s">
        <v>1162</v>
      </c>
      <c r="B58" s="1682" t="str">
        <f>'预评函-2（1）'!B21</f>
        <v>——</v>
      </c>
    </row>
    <row r="59" spans="1:2" ht="15.75" thickTop="1">
      <c r="A59" s="1699" t="s">
        <v>1164</v>
      </c>
      <c r="B59" s="1679" t="str">
        <f>'预评函-2（1）'!B45</f>
        <v>单位：万元、元/平方米（单位：人民币）</v>
      </c>
    </row>
    <row r="60" spans="1:2">
      <c r="A60" s="1697" t="s">
        <v>1165</v>
      </c>
      <c r="B60" s="1681" t="str">
        <f>'预评函-2（2）'!D2</f>
        <v>出让国有建设用地使用权价值</v>
      </c>
    </row>
    <row r="61" spans="1:2" s="1693" customFormat="1">
      <c r="A61" s="1697" t="s">
        <v>1166</v>
      </c>
      <c r="B61" s="1681" t="str">
        <f>'预评函-2（2）'!A14</f>
        <v>单位：平方米、万元、元/平方米（币种：人民币）</v>
      </c>
    </row>
    <row r="62" spans="1:2" ht="28.5">
      <c r="A62" s="1697" t="s">
        <v>1251</v>
      </c>
      <c r="B62" s="1681">
        <f ca="1">'预评函-2（1）'!D38</f>
        <v>11092</v>
      </c>
    </row>
    <row r="63" spans="1:2" s="1693" customFormat="1" ht="28.5">
      <c r="A63" s="1697" t="s">
        <v>1252</v>
      </c>
      <c r="B63" s="1681" t="str">
        <f>'预评函-2（1）'!D41</f>
        <v>——</v>
      </c>
    </row>
    <row r="64" spans="1:2">
      <c r="A64" s="1697" t="s">
        <v>1174</v>
      </c>
      <c r="B64" s="1681" t="str">
        <f>'预评函-2（2）'!A6</f>
        <v>——</v>
      </c>
    </row>
    <row r="65" spans="1:2">
      <c r="A65" s="1697" t="s">
        <v>1175</v>
      </c>
      <c r="B65" s="1681" t="str">
        <f>'预评函-2（2）'!A8</f>
        <v>——</v>
      </c>
    </row>
    <row r="66" spans="1:2">
      <c r="A66" s="1697" t="s">
        <v>1176</v>
      </c>
      <c r="B66" s="1681" t="str">
        <f>'预评函-2（2）'!A10</f>
        <v>——</v>
      </c>
    </row>
    <row r="67" spans="1:2" s="1691" customFormat="1" ht="15.75" thickBot="1">
      <c r="A67" s="1698" t="s">
        <v>1177</v>
      </c>
      <c r="B67" s="1682" t="str">
        <f>'预评函-2（2）'!A12</f>
        <v>——</v>
      </c>
    </row>
    <row r="68" spans="1:2" ht="15.75" thickTop="1">
      <c r="A68" s="1700" t="s">
        <v>1178</v>
      </c>
      <c r="B68" s="1686" t="str">
        <f>'预评函-3'!A9</f>
        <v>XX</v>
      </c>
    </row>
    <row r="69" spans="1:2">
      <c r="A69" s="1694" t="s">
        <v>1250</v>
      </c>
    </row>
    <row r="70" spans="1:2">
      <c r="A70" s="169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77" t="s">
        <v>1537</v>
      </c>
      <c r="B1" s="1978" t="str">
        <f>IF(B6="北京市","北京市",C6)&amp;IF(E12="房屋所有权证",B28,E28)&amp;D5&amp;"预评估"</f>
        <v>辽宁省大连市房地产市场价值预评估</v>
      </c>
      <c r="C1" s="1057"/>
      <c r="D1" s="1979"/>
      <c r="E1" s="1057"/>
      <c r="F1" s="1980" t="s">
        <v>1538</v>
      </c>
      <c r="G1" s="1674"/>
      <c r="I1" s="1014" t="str">
        <f>IF(B6="北京市","北京市",C6)&amp;IF(E12="房屋所有权证",B28,E28)&amp;"房地产"</f>
        <v>辽宁省大连市房地产</v>
      </c>
    </row>
    <row r="2" spans="1:10" ht="13.5" thickTop="1">
      <c r="A2" s="1981" t="s">
        <v>1539</v>
      </c>
      <c r="B2" s="1082">
        <v>43975</v>
      </c>
      <c r="C2" s="1982" t="s">
        <v>1540</v>
      </c>
      <c r="D2" s="1082">
        <v>43999</v>
      </c>
      <c r="E2" s="1058"/>
      <c r="F2" s="1058"/>
      <c r="G2" s="1675"/>
      <c r="H2" s="1014"/>
    </row>
    <row r="3" spans="1:10" ht="13.5" thickBot="1">
      <c r="A3" s="1983" t="s">
        <v>1541</v>
      </c>
      <c r="B3" s="1984" t="s">
        <v>2827</v>
      </c>
      <c r="C3" s="1059">
        <f ca="1">SUMIF(注册房地产估价师,B3,估价师及机构信息!B3:B24)</f>
        <v>1419970001</v>
      </c>
      <c r="D3" s="1984" t="s">
        <v>2828</v>
      </c>
      <c r="E3" s="1060">
        <f ca="1">SUMIF(注册房地产估价师,D3,估价师及机构信息!B3:B24)</f>
        <v>1120100036</v>
      </c>
      <c r="F3" s="1061"/>
      <c r="G3" s="1676"/>
      <c r="H3" s="1014"/>
    </row>
    <row r="4" spans="1:10" ht="13.5" customHeight="1" thickTop="1">
      <c r="A4" s="1985" t="s">
        <v>1542</v>
      </c>
      <c r="B4" s="1986" t="s">
        <v>2807</v>
      </c>
      <c r="C4" s="1987" t="s">
        <v>1543</v>
      </c>
      <c r="D4" s="1988" t="s">
        <v>2829</v>
      </c>
      <c r="E4" s="1058"/>
      <c r="F4" s="1058"/>
      <c r="G4" s="1675"/>
    </row>
    <row r="5" spans="1:10">
      <c r="A5" s="1989" t="s">
        <v>1544</v>
      </c>
      <c r="B5" s="1990" t="s">
        <v>2808</v>
      </c>
      <c r="C5" s="1991" t="s">
        <v>1545</v>
      </c>
      <c r="D5" s="1992" t="s">
        <v>2830</v>
      </c>
      <c r="E5" s="1993" t="s">
        <v>1546</v>
      </c>
      <c r="F5" s="1994" t="s">
        <v>2831</v>
      </c>
      <c r="G5" s="1995"/>
      <c r="I5" s="1014" t="str">
        <f>IF(C16="否","截至估价时点，估价对象抵押权未见登记。","截至价值时点，估价对象已设定抵押。")</f>
        <v>截至价值时点，估价对象已设定抵押。</v>
      </c>
    </row>
    <row r="6" spans="1:10">
      <c r="A6" s="1996" t="s">
        <v>1547</v>
      </c>
      <c r="B6" s="1997" t="s">
        <v>2834</v>
      </c>
      <c r="C6" s="2753" t="s">
        <v>2835</v>
      </c>
      <c r="D6" s="1998" t="s">
        <v>1548</v>
      </c>
      <c r="E6" s="1016"/>
      <c r="F6" s="1015"/>
      <c r="G6" s="1068"/>
      <c r="I6" s="1064" t="str">
        <f>IF(COUNTIF(B5,"*上海银行*"),"上海银行","")</f>
        <v/>
      </c>
    </row>
    <row r="7" spans="1:10" ht="13.5" thickBot="1">
      <c r="A7" s="1983" t="s">
        <v>1549</v>
      </c>
      <c r="B7" s="1999" t="s">
        <v>2832</v>
      </c>
      <c r="C7" s="2000" t="str">
        <f>IF(B7="自然人","姓名","名称")</f>
        <v>名称</v>
      </c>
      <c r="D7" s="2001" t="s">
        <v>2808</v>
      </c>
      <c r="E7" s="1062"/>
      <c r="F7" s="1061"/>
      <c r="G7" s="1676"/>
    </row>
    <row r="8" spans="1:10" ht="13.5" thickTop="1">
      <c r="A8" s="2831" t="s">
        <v>1550</v>
      </c>
      <c r="B8" s="2002" t="s">
        <v>1551</v>
      </c>
      <c r="C8" s="2844"/>
      <c r="D8" s="2845"/>
      <c r="E8" s="2003" t="s">
        <v>1552</v>
      </c>
      <c r="F8" s="2004" t="s">
        <v>1553</v>
      </c>
      <c r="G8" s="690" t="str">
        <f>C6</f>
        <v>辽宁省大连市</v>
      </c>
    </row>
    <row r="9" spans="1:10" ht="25.5">
      <c r="A9" s="2831"/>
      <c r="B9" s="344" t="s">
        <v>1554</v>
      </c>
      <c r="C9" s="1990"/>
      <c r="D9" s="2005" t="s">
        <v>2833</v>
      </c>
      <c r="E9" s="1004" t="s">
        <v>1555</v>
      </c>
      <c r="F9" s="990"/>
      <c r="G9" s="1006"/>
    </row>
    <row r="10" spans="1:10" ht="13.5" thickBot="1">
      <c r="A10" s="2831"/>
      <c r="B10" s="344" t="s">
        <v>1556</v>
      </c>
      <c r="C10" s="2846"/>
      <c r="D10" s="2847"/>
      <c r="E10" s="2006" t="s">
        <v>1557</v>
      </c>
      <c r="F10" s="1007"/>
      <c r="G10" s="1008"/>
    </row>
    <row r="11" spans="1:10" ht="13.5" thickBot="1">
      <c r="A11" s="2831"/>
      <c r="B11" s="2007" t="s">
        <v>1558</v>
      </c>
      <c r="C11" s="2848"/>
      <c r="D11" s="2849"/>
      <c r="E11" s="1016"/>
      <c r="F11" s="1015"/>
      <c r="G11" s="1068"/>
    </row>
    <row r="12" spans="1:10" ht="13.5" thickBot="1">
      <c r="A12" s="2835" t="s">
        <v>1559</v>
      </c>
      <c r="B12" s="2008" t="s">
        <v>1560</v>
      </c>
      <c r="C12" s="1010"/>
      <c r="D12" s="2008" t="s">
        <v>1561</v>
      </c>
      <c r="E12" s="2009" t="s">
        <v>2836</v>
      </c>
      <c r="F12" s="2010" t="s">
        <v>1248</v>
      </c>
      <c r="G12" s="1068"/>
    </row>
    <row r="13" spans="1:10" ht="21" customHeight="1" thickBot="1">
      <c r="A13" s="2836"/>
      <c r="B13" s="2011" t="s">
        <v>1563</v>
      </c>
      <c r="C13" s="1011"/>
      <c r="D13" s="2011" t="s">
        <v>1564</v>
      </c>
      <c r="E13" s="2012" t="s">
        <v>1562</v>
      </c>
      <c r="F13" s="1015"/>
      <c r="G13" s="1068"/>
      <c r="I13" s="2854" t="s">
        <v>1565</v>
      </c>
      <c r="J13" s="2013"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14"/>
      <c r="B14" s="2015" t="s">
        <v>1566</v>
      </c>
      <c r="C14" s="2016"/>
      <c r="D14" s="1015"/>
      <c r="E14" s="1015"/>
      <c r="F14" s="1015"/>
      <c r="G14" s="1068"/>
      <c r="I14" s="2854"/>
      <c r="J14" s="20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7"/>
      <c r="B15" s="2018" t="s">
        <v>1567</v>
      </c>
      <c r="C15" s="1063"/>
      <c r="D15" s="1061"/>
      <c r="E15" s="1061"/>
      <c r="F15" s="1061"/>
      <c r="G15" s="1676"/>
      <c r="I15" s="2854"/>
      <c r="J15" s="20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4" t="s">
        <v>1568</v>
      </c>
      <c r="B16" s="2019" t="s">
        <v>1569</v>
      </c>
      <c r="C16" s="2020" t="s">
        <v>2806</v>
      </c>
      <c r="D16" s="2021" t="s">
        <v>1570</v>
      </c>
      <c r="E16" s="2022" t="s">
        <v>2806</v>
      </c>
      <c r="F16" s="2023" t="str">
        <f>IF(AND(C16="是",E16="否"),"是否提供他项权证或相关说明","")</f>
        <v/>
      </c>
      <c r="G16" s="2022" t="s">
        <v>2806</v>
      </c>
      <c r="I16" s="1065"/>
      <c r="J16" s="1014"/>
    </row>
    <row r="17" spans="1:15" ht="13.5" customHeight="1">
      <c r="A17" s="2024" t="s">
        <v>1571</v>
      </c>
      <c r="B17" s="2850" t="s">
        <v>1572</v>
      </c>
      <c r="C17" s="2851"/>
      <c r="D17" s="2852" t="s">
        <v>1573</v>
      </c>
      <c r="E17" s="2853"/>
      <c r="F17" s="2025" t="s">
        <v>1574</v>
      </c>
      <c r="G17" s="2026"/>
      <c r="J17" s="1014"/>
    </row>
    <row r="18" spans="1:15" ht="24">
      <c r="A18" s="2024"/>
      <c r="B18" s="2027" t="s">
        <v>2838</v>
      </c>
      <c r="C18" s="1995" t="s">
        <v>2837</v>
      </c>
      <c r="D18" s="2028" t="s">
        <v>1575</v>
      </c>
      <c r="E18" s="2029" t="s">
        <v>1576</v>
      </c>
      <c r="F18" s="2030"/>
      <c r="G18" s="1852"/>
      <c r="H18" s="1014"/>
      <c r="J18" s="1014"/>
    </row>
    <row r="19" spans="1:15" ht="21.75" customHeight="1" thickBot="1">
      <c r="A19" s="2024"/>
      <c r="B19" s="2031"/>
      <c r="C19" s="2012"/>
      <c r="D19" s="2032"/>
      <c r="E19" s="1015"/>
      <c r="F19" s="1015"/>
      <c r="G19" s="1852"/>
    </row>
    <row r="20" spans="1:15">
      <c r="A20" s="2033" t="s">
        <v>1577</v>
      </c>
      <c r="B20" s="2034" t="s">
        <v>1578</v>
      </c>
      <c r="C20" s="2035"/>
      <c r="D20" s="2036" t="s">
        <v>1578</v>
      </c>
      <c r="E20" s="2035"/>
      <c r="F20" s="1015"/>
      <c r="G20" s="1852"/>
    </row>
    <row r="21" spans="1:15">
      <c r="A21" s="2037"/>
      <c r="B21" s="2038" t="s">
        <v>1579</v>
      </c>
      <c r="C21" s="2039"/>
      <c r="D21" s="2024" t="s">
        <v>1579</v>
      </c>
      <c r="E21" s="2040"/>
      <c r="F21" s="1015"/>
      <c r="G21" s="1852"/>
    </row>
    <row r="22" spans="1:15">
      <c r="A22" s="2037"/>
      <c r="B22" s="2041" t="s">
        <v>1580</v>
      </c>
      <c r="C22" s="2042"/>
      <c r="D22" s="2041" t="s">
        <v>1580</v>
      </c>
      <c r="E22" s="2040"/>
      <c r="F22" s="1015"/>
      <c r="G22" s="1852"/>
    </row>
    <row r="23" spans="1:15" s="1850" customFormat="1" ht="21" thickBot="1">
      <c r="A23" s="2043"/>
      <c r="B23" s="2044" t="s">
        <v>1581</v>
      </c>
      <c r="C23" s="2045"/>
      <c r="D23" s="2044" t="s">
        <v>1582</v>
      </c>
      <c r="E23" s="2046"/>
      <c r="F23" s="1015"/>
      <c r="G23" s="1852"/>
      <c r="H23" s="2047"/>
      <c r="I23" s="1851"/>
      <c r="K23" s="1849"/>
      <c r="L23" s="1849"/>
      <c r="M23" s="1849"/>
      <c r="O23" s="1851"/>
    </row>
    <row r="24" spans="1:15" ht="13.5" thickBot="1">
      <c r="A24" s="1066" t="s">
        <v>1583</v>
      </c>
      <c r="B24" s="1015"/>
      <c r="C24" s="1015"/>
      <c r="D24" s="1015"/>
      <c r="E24" s="1015"/>
      <c r="F24" s="1015"/>
      <c r="G24" s="1853"/>
      <c r="I24" s="1065"/>
      <c r="K24" s="1065"/>
    </row>
    <row r="25" spans="1:15" s="1075" customFormat="1" ht="13.5" thickBot="1">
      <c r="A25" s="989"/>
      <c r="B25" s="2048" t="s">
        <v>1584</v>
      </c>
      <c r="C25" s="989"/>
      <c r="D25" s="1009"/>
      <c r="E25" s="1012" t="s">
        <v>1585</v>
      </c>
      <c r="F25" s="989"/>
      <c r="G25" s="2049" t="s">
        <v>1586</v>
      </c>
      <c r="L25" s="1076"/>
      <c r="M25" s="1076"/>
      <c r="O25" s="1077"/>
    </row>
    <row r="26" spans="1:15" s="1075" customFormat="1" ht="13.5" thickBot="1">
      <c r="A26" s="989"/>
      <c r="B26" s="1083"/>
      <c r="C26" s="989"/>
      <c r="D26" s="1009"/>
      <c r="E26" s="1083"/>
      <c r="F26" s="989"/>
      <c r="G26" s="1677"/>
      <c r="L26" s="1076"/>
      <c r="M26" s="1076"/>
      <c r="O26" s="1077"/>
    </row>
    <row r="27" spans="1:15">
      <c r="A27" s="1001" t="s">
        <v>1587</v>
      </c>
      <c r="B27" s="998"/>
      <c r="C27" s="2838" t="s">
        <v>1587</v>
      </c>
      <c r="D27" s="2839"/>
      <c r="E27" s="998"/>
      <c r="F27" s="1005" t="s">
        <v>1587</v>
      </c>
      <c r="G27" s="998"/>
      <c r="I27" s="1065"/>
      <c r="K27" s="1065"/>
    </row>
    <row r="28" spans="1:15">
      <c r="A28" s="1002" t="s">
        <v>1588</v>
      </c>
      <c r="B28" s="973"/>
      <c r="C28" s="2840" t="s">
        <v>1589</v>
      </c>
      <c r="D28" s="2841"/>
      <c r="E28" s="973"/>
      <c r="F28" s="1877" t="s">
        <v>1589</v>
      </c>
      <c r="G28" s="973"/>
      <c r="I28" s="1065"/>
      <c r="K28" s="1065"/>
    </row>
    <row r="29" spans="1:15">
      <c r="A29" s="1002" t="s">
        <v>1590</v>
      </c>
      <c r="B29" s="973"/>
      <c r="C29" s="2840" t="s">
        <v>1590</v>
      </c>
      <c r="D29" s="2841"/>
      <c r="E29" s="973"/>
      <c r="F29" s="1877" t="s">
        <v>1591</v>
      </c>
      <c r="G29" s="973"/>
      <c r="I29" s="1065"/>
      <c r="K29" s="1065"/>
    </row>
    <row r="30" spans="1:15">
      <c r="A30" s="1002" t="s">
        <v>1592</v>
      </c>
      <c r="B30" s="973"/>
      <c r="C30" s="2860" t="s">
        <v>1593</v>
      </c>
      <c r="D30" s="2050"/>
      <c r="E30" s="1017" t="str">
        <f>E31&amp;" "&amp;E32&amp;" "&amp;E33&amp;" "&amp;E34</f>
        <v xml:space="preserve">   </v>
      </c>
      <c r="F30" s="1877" t="s">
        <v>1594</v>
      </c>
      <c r="G30" s="973"/>
    </row>
    <row r="31" spans="1:15">
      <c r="A31" s="1002" t="s">
        <v>1595</v>
      </c>
      <c r="B31" s="973"/>
      <c r="C31" s="2861"/>
      <c r="D31" s="1876" t="s">
        <v>1596</v>
      </c>
      <c r="E31" s="973"/>
      <c r="F31" s="1877" t="s">
        <v>1597</v>
      </c>
      <c r="G31" s="973"/>
    </row>
    <row r="32" spans="1:15" ht="24.75" thickBot="1">
      <c r="A32" s="1003" t="s">
        <v>1598</v>
      </c>
      <c r="B32" s="999"/>
      <c r="C32" s="2861"/>
      <c r="D32" s="1876" t="s">
        <v>1599</v>
      </c>
      <c r="E32" s="973"/>
      <c r="F32" s="1877" t="s">
        <v>1600</v>
      </c>
      <c r="G32" s="973"/>
    </row>
    <row r="33" spans="1:7">
      <c r="A33" s="1001" t="s">
        <v>1601</v>
      </c>
      <c r="B33" s="998"/>
      <c r="C33" s="2861"/>
      <c r="D33" s="1876" t="s">
        <v>1602</v>
      </c>
      <c r="E33" s="973"/>
      <c r="F33" s="1877" t="s">
        <v>1603</v>
      </c>
      <c r="G33" s="973"/>
    </row>
    <row r="34" spans="1:7" ht="13.5" thickBot="1">
      <c r="A34" s="1002" t="s">
        <v>1604</v>
      </c>
      <c r="B34" s="973"/>
      <c r="C34" s="2862"/>
      <c r="D34" s="1876" t="s">
        <v>1605</v>
      </c>
      <c r="E34" s="973"/>
      <c r="F34" s="1878" t="s">
        <v>1606</v>
      </c>
      <c r="G34" s="1000"/>
    </row>
    <row r="35" spans="1:7">
      <c r="A35" s="1002" t="s">
        <v>1560</v>
      </c>
      <c r="B35" s="973"/>
      <c r="C35" s="2840" t="s">
        <v>1607</v>
      </c>
      <c r="D35" s="2841"/>
      <c r="E35" s="973"/>
      <c r="F35" s="1013" t="s">
        <v>1608</v>
      </c>
      <c r="G35" s="998"/>
    </row>
    <row r="36" spans="1:7" ht="13.5" thickBot="1">
      <c r="A36" s="1002" t="s">
        <v>1609</v>
      </c>
      <c r="B36" s="973"/>
      <c r="C36" s="2842" t="s">
        <v>1610</v>
      </c>
      <c r="D36" s="2843"/>
      <c r="E36" s="999"/>
      <c r="F36" s="1874" t="s">
        <v>1611</v>
      </c>
      <c r="G36" s="973"/>
    </row>
    <row r="37" spans="1:7" ht="13.5" thickBot="1">
      <c r="A37" s="1002" t="s">
        <v>1612</v>
      </c>
      <c r="B37" s="973"/>
      <c r="C37" s="2832" t="s">
        <v>1613</v>
      </c>
      <c r="D37" s="2051" t="s">
        <v>1597</v>
      </c>
      <c r="E37" s="998"/>
      <c r="F37" s="1878" t="s">
        <v>1614</v>
      </c>
      <c r="G37" s="999"/>
    </row>
    <row r="38" spans="1:7">
      <c r="A38" s="1002" t="s">
        <v>1615</v>
      </c>
      <c r="B38" s="973"/>
      <c r="C38" s="2833"/>
      <c r="D38" s="1876" t="s">
        <v>1604</v>
      </c>
      <c r="E38" s="973"/>
      <c r="F38" s="1005" t="s">
        <v>1616</v>
      </c>
      <c r="G38" s="998"/>
    </row>
    <row r="39" spans="1:7">
      <c r="A39" s="1002" t="s">
        <v>1617</v>
      </c>
      <c r="B39" s="973"/>
      <c r="C39" s="2833" t="s">
        <v>1618</v>
      </c>
      <c r="D39" s="1876" t="s">
        <v>1560</v>
      </c>
      <c r="E39" s="973"/>
      <c r="F39" s="1877" t="s">
        <v>1619</v>
      </c>
      <c r="G39" s="973"/>
    </row>
    <row r="40" spans="1:7" ht="24.75" customHeight="1" thickBot="1">
      <c r="A40" s="1003" t="s">
        <v>1620</v>
      </c>
      <c r="B40" s="999"/>
      <c r="C40" s="2834"/>
      <c r="D40" s="1879" t="s">
        <v>1563</v>
      </c>
      <c r="E40" s="999"/>
      <c r="F40" s="1878" t="s">
        <v>1621</v>
      </c>
      <c r="G40" s="999"/>
    </row>
    <row r="41" spans="1:7">
      <c r="A41" s="1004" t="s">
        <v>1622</v>
      </c>
      <c r="B41" s="1054"/>
      <c r="C41" s="2855" t="s">
        <v>1622</v>
      </c>
      <c r="D41" s="2856"/>
      <c r="E41" s="1054"/>
      <c r="F41" s="1005" t="s">
        <v>1623</v>
      </c>
      <c r="G41" s="1054"/>
    </row>
    <row r="42" spans="1:7">
      <c r="A42" s="1051" t="s">
        <v>1624</v>
      </c>
      <c r="B42" s="1055"/>
      <c r="C42" s="2052"/>
      <c r="D42" s="2053"/>
      <c r="E42" s="1055"/>
      <c r="F42" s="1053"/>
      <c r="G42" s="1055"/>
    </row>
    <row r="43" spans="1:7">
      <c r="A43" s="94" t="s">
        <v>1578</v>
      </c>
      <c r="B43" s="1052"/>
      <c r="C43" s="2052"/>
      <c r="D43" s="2054" t="s">
        <v>1578</v>
      </c>
      <c r="E43" s="1052"/>
      <c r="F43" s="94" t="s">
        <v>1578</v>
      </c>
      <c r="G43" s="1052"/>
    </row>
    <row r="44" spans="1:7">
      <c r="A44" s="94" t="s">
        <v>1579</v>
      </c>
      <c r="B44" s="1052"/>
      <c r="C44" s="2052"/>
      <c r="D44" s="2038" t="s">
        <v>1579</v>
      </c>
      <c r="E44" s="1052"/>
      <c r="F44" s="94" t="s">
        <v>1579</v>
      </c>
      <c r="G44" s="1052"/>
    </row>
    <row r="45" spans="1:7">
      <c r="A45" s="94" t="s">
        <v>1580</v>
      </c>
      <c r="B45" s="1052"/>
      <c r="C45" s="2052"/>
      <c r="D45" s="2038" t="s">
        <v>1580</v>
      </c>
      <c r="E45" s="1052"/>
      <c r="F45" s="94" t="s">
        <v>1580</v>
      </c>
      <c r="G45" s="1052"/>
    </row>
    <row r="46" spans="1:7">
      <c r="A46" s="94" t="s">
        <v>1581</v>
      </c>
      <c r="B46" s="1052"/>
      <c r="C46" s="2052"/>
      <c r="D46" s="2038" t="s">
        <v>1581</v>
      </c>
      <c r="E46" s="1052"/>
      <c r="F46" s="94" t="s">
        <v>1581</v>
      </c>
      <c r="G46" s="1052"/>
    </row>
    <row r="47" spans="1:7">
      <c r="A47" s="1051"/>
      <c r="B47" s="1052"/>
      <c r="C47" s="2052"/>
      <c r="D47" s="2053"/>
      <c r="E47" s="1052"/>
      <c r="F47" s="1053"/>
      <c r="G47" s="1052"/>
    </row>
    <row r="48" spans="1:7" ht="13.5" thickBot="1">
      <c r="A48" s="1003" t="s">
        <v>1625</v>
      </c>
      <c r="B48" s="999"/>
      <c r="C48" s="2857" t="s">
        <v>1625</v>
      </c>
      <c r="D48" s="2858"/>
      <c r="E48" s="1049"/>
      <c r="F48" s="1878" t="s">
        <v>1626</v>
      </c>
      <c r="G48" s="999"/>
    </row>
    <row r="49" spans="1:15">
      <c r="A49" s="1002" t="s">
        <v>1627</v>
      </c>
      <c r="B49" s="1048"/>
      <c r="C49" s="2832" t="s">
        <v>1628</v>
      </c>
      <c r="D49" s="2859"/>
      <c r="E49" s="1050"/>
      <c r="F49" s="1078"/>
      <c r="G49" s="1079"/>
    </row>
    <row r="50" spans="1:15" ht="13.5" thickBot="1">
      <c r="A50" s="1002" t="s">
        <v>1629</v>
      </c>
      <c r="B50" s="1048"/>
      <c r="C50" s="2834" t="s">
        <v>1630</v>
      </c>
      <c r="D50" s="2837"/>
      <c r="E50" s="999"/>
      <c r="F50" s="1015"/>
      <c r="G50" s="1068"/>
    </row>
    <row r="51" spans="1:15">
      <c r="A51" s="1002" t="s">
        <v>1608</v>
      </c>
      <c r="B51" s="973"/>
      <c r="C51" s="1015"/>
      <c r="D51" s="1015"/>
      <c r="E51" s="1015"/>
      <c r="F51" s="1015"/>
      <c r="G51" s="1068"/>
    </row>
    <row r="52" spans="1:15" ht="24.75" thickBot="1">
      <c r="A52" s="1003" t="s">
        <v>1631</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10" customWidth="1"/>
    <col min="2" max="2" width="16.75" style="2056" customWidth="1"/>
    <col min="3" max="3" width="10.75" style="2056" customWidth="1"/>
    <col min="4" max="4" width="31.625" style="2111" customWidth="1"/>
    <col min="5" max="5" width="17.625" style="2111" customWidth="1"/>
    <col min="6" max="8" width="9.125" style="1837"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56" customWidth="1"/>
    <col min="33" max="33" width="6.5" style="2056" customWidth="1"/>
    <col min="34" max="36" width="7.25" style="2056" customWidth="1"/>
    <col min="37" max="41" width="8" style="2056" customWidth="1"/>
    <col min="42" max="16384" width="13.75" style="2056"/>
  </cols>
  <sheetData>
    <row r="1" spans="1:41" ht="19.5" thickBot="1">
      <c r="A1" s="2055" t="s">
        <v>1632</v>
      </c>
      <c r="B1" s="1229"/>
      <c r="C1" s="1229"/>
      <c r="D1" s="1837"/>
      <c r="E1" s="1837"/>
      <c r="AE1" s="1229"/>
      <c r="AF1" s="1229"/>
      <c r="AG1" s="1229"/>
      <c r="AH1" s="1229"/>
      <c r="AI1" s="1229"/>
      <c r="AJ1" s="1229"/>
      <c r="AK1" s="1229"/>
      <c r="AL1" s="1229"/>
      <c r="AM1" s="1229"/>
      <c r="AN1" s="1229"/>
      <c r="AO1" s="1229"/>
    </row>
    <row r="2" spans="1:41" s="2060" customFormat="1" ht="15.75" thickBot="1">
      <c r="A2" s="2057" t="s">
        <v>1633</v>
      </c>
      <c r="B2" s="1201">
        <f>项目基本情况!D2</f>
        <v>43999</v>
      </c>
      <c r="C2" s="1839"/>
      <c r="D2" s="2865" t="s">
        <v>1634</v>
      </c>
      <c r="E2" s="2058"/>
      <c r="F2" s="2059"/>
      <c r="G2" s="2059"/>
      <c r="H2" s="2059"/>
      <c r="I2" s="1839"/>
      <c r="J2" s="1839"/>
      <c r="K2" s="1839"/>
      <c r="L2" s="1839"/>
      <c r="M2" s="1839"/>
      <c r="N2" s="1839"/>
      <c r="O2" s="1832"/>
      <c r="P2" s="1832"/>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1839"/>
      <c r="AO2" s="1839"/>
    </row>
    <row r="3" spans="1:41" s="2060" customFormat="1" ht="15" customHeight="1" thickBot="1">
      <c r="A3" s="387" t="s">
        <v>1635</v>
      </c>
      <c r="B3" s="2061" t="s">
        <v>2903</v>
      </c>
      <c r="C3" s="1839"/>
      <c r="D3" s="2866"/>
      <c r="E3" s="1180" t="s">
        <v>2806</v>
      </c>
      <c r="F3" s="2059"/>
      <c r="G3" s="2059"/>
      <c r="H3" s="2059"/>
      <c r="I3" s="1839"/>
      <c r="J3" s="1839"/>
      <c r="K3" s="1839"/>
      <c r="L3" s="1839"/>
      <c r="M3" s="1839"/>
      <c r="N3" s="1839"/>
      <c r="O3" s="1832"/>
      <c r="P3" s="1832"/>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1839"/>
      <c r="AO3" s="1839"/>
    </row>
    <row r="4" spans="1:41" s="2060" customFormat="1" ht="15" thickBot="1">
      <c r="A4" s="1477" t="s">
        <v>1636</v>
      </c>
      <c r="B4" s="2061" t="s">
        <v>2839</v>
      </c>
      <c r="C4" s="1839"/>
      <c r="D4" s="2866"/>
      <c r="E4" s="1180"/>
      <c r="F4" s="2059"/>
      <c r="G4" s="2059"/>
      <c r="H4" s="2059"/>
      <c r="I4" s="1839"/>
      <c r="J4" s="1839"/>
      <c r="K4" s="1839"/>
      <c r="L4" s="1839"/>
      <c r="M4" s="1839"/>
      <c r="N4" s="1839"/>
      <c r="O4" s="1832"/>
      <c r="P4" s="1832"/>
      <c r="Q4" s="1839"/>
      <c r="R4" s="1839"/>
      <c r="S4" s="1839"/>
      <c r="T4" s="1839"/>
      <c r="U4" s="1839"/>
      <c r="V4" s="1839"/>
      <c r="W4" s="1839"/>
      <c r="X4" s="1839"/>
      <c r="Y4" s="1839"/>
      <c r="Z4" s="1839"/>
      <c r="AA4" s="1839"/>
      <c r="AB4" s="1839"/>
      <c r="AC4" s="1839"/>
      <c r="AD4" s="1839"/>
      <c r="AE4" s="1839"/>
      <c r="AF4" s="1839"/>
      <c r="AG4" s="1839"/>
      <c r="AH4" s="1839"/>
      <c r="AI4" s="1839"/>
      <c r="AJ4" s="1839"/>
      <c r="AK4" s="1839"/>
      <c r="AL4" s="1839"/>
      <c r="AM4" s="1839"/>
      <c r="AN4" s="1839"/>
      <c r="AO4" s="1839"/>
    </row>
    <row r="5" spans="1:41" s="2060" customFormat="1" ht="15.75" thickBot="1">
      <c r="A5" s="2062" t="s">
        <v>1637</v>
      </c>
      <c r="B5" s="1310">
        <f>项目基本情况!C12</f>
        <v>0</v>
      </c>
      <c r="C5" s="1839"/>
      <c r="D5" s="2063" t="s">
        <v>1638</v>
      </c>
      <c r="E5" s="393">
        <v>99.45</v>
      </c>
      <c r="F5" s="2059"/>
      <c r="G5" s="2059"/>
      <c r="H5" s="2059"/>
      <c r="I5" s="1839"/>
      <c r="J5" s="1839"/>
      <c r="K5" s="1839"/>
      <c r="L5" s="1839"/>
      <c r="M5" s="1839"/>
      <c r="N5" s="1839"/>
      <c r="O5" s="1832"/>
      <c r="P5" s="1832"/>
      <c r="Q5" s="1839"/>
      <c r="R5" s="1839"/>
      <c r="S5" s="1839"/>
      <c r="T5" s="1839"/>
      <c r="U5" s="1839"/>
      <c r="V5" s="1839"/>
      <c r="W5" s="1839"/>
      <c r="X5" s="1839"/>
      <c r="Y5" s="1839"/>
      <c r="Z5" s="1839"/>
      <c r="AA5" s="1839"/>
      <c r="AB5" s="1839"/>
      <c r="AC5" s="1839"/>
      <c r="AD5" s="1839"/>
      <c r="AE5" s="1839"/>
      <c r="AF5" s="1839"/>
      <c r="AG5" s="1839"/>
      <c r="AH5" s="1839"/>
      <c r="AI5" s="1839"/>
      <c r="AJ5" s="1839"/>
      <c r="AK5" s="1839"/>
      <c r="AL5" s="1839"/>
      <c r="AM5" s="1839"/>
      <c r="AN5" s="1839"/>
      <c r="AO5" s="1839"/>
    </row>
    <row r="6" spans="1:41" s="2060" customFormat="1" ht="15.75" thickBot="1">
      <c r="A6" s="2064" t="s">
        <v>1639</v>
      </c>
      <c r="B6" s="1311">
        <f>项目基本情况!C13</f>
        <v>0</v>
      </c>
      <c r="C6" s="1839"/>
      <c r="D6" s="2063" t="s">
        <v>1640</v>
      </c>
      <c r="E6" s="393"/>
      <c r="F6" s="2059"/>
      <c r="G6" s="2059"/>
      <c r="H6" s="2059"/>
      <c r="I6" s="1839"/>
      <c r="J6" s="1839"/>
      <c r="K6" s="1839"/>
      <c r="L6" s="1839"/>
      <c r="M6" s="1839"/>
      <c r="N6" s="1839"/>
      <c r="O6" s="1832"/>
      <c r="P6" s="1832"/>
      <c r="Q6" s="1839"/>
      <c r="R6" s="1839"/>
      <c r="S6" s="1839"/>
      <c r="T6" s="1839"/>
      <c r="U6" s="1839"/>
      <c r="V6" s="1839"/>
      <c r="W6" s="1839"/>
      <c r="X6" s="1839"/>
      <c r="Y6" s="1839"/>
      <c r="Z6" s="1839"/>
      <c r="AA6" s="1839"/>
      <c r="AB6" s="1839"/>
      <c r="AC6" s="1839"/>
      <c r="AD6" s="1839"/>
      <c r="AE6" s="1839"/>
      <c r="AF6" s="1839"/>
      <c r="AG6" s="1839"/>
      <c r="AH6" s="1839"/>
      <c r="AI6" s="1839"/>
      <c r="AJ6" s="1839"/>
      <c r="AK6" s="1839"/>
      <c r="AL6" s="1839"/>
      <c r="AM6" s="1839"/>
      <c r="AN6" s="1839"/>
      <c r="AO6" s="1839"/>
    </row>
    <row r="7" spans="1:41" s="2060" customFormat="1" ht="15">
      <c r="A7" s="2065"/>
      <c r="B7" s="1839"/>
      <c r="C7" s="1839"/>
      <c r="D7" s="2066"/>
      <c r="E7" s="2066"/>
      <c r="F7" s="2059"/>
      <c r="G7" s="2059"/>
      <c r="H7" s="2059"/>
      <c r="I7" s="1839"/>
      <c r="J7" s="1839"/>
      <c r="K7" s="1839"/>
      <c r="L7" s="1839"/>
      <c r="M7" s="1839"/>
      <c r="N7" s="1839"/>
      <c r="O7" s="1832"/>
      <c r="P7" s="1832"/>
      <c r="Q7" s="1839"/>
      <c r="R7" s="1839"/>
      <c r="S7" s="1839"/>
      <c r="T7" s="1839"/>
      <c r="U7" s="1839"/>
      <c r="V7" s="1839"/>
      <c r="W7" s="1839"/>
      <c r="X7" s="1839"/>
      <c r="Y7" s="1839"/>
      <c r="Z7" s="1839"/>
      <c r="AA7" s="1839"/>
      <c r="AB7" s="1839"/>
      <c r="AC7" s="1839"/>
      <c r="AD7" s="1839"/>
      <c r="AE7" s="1839"/>
      <c r="AF7" s="1839"/>
      <c r="AG7" s="1839"/>
      <c r="AH7" s="1839"/>
      <c r="AI7" s="1839"/>
      <c r="AJ7" s="1839"/>
      <c r="AK7" s="1839"/>
      <c r="AL7" s="1839"/>
      <c r="AM7" s="1839"/>
      <c r="AN7" s="1839"/>
      <c r="AO7" s="1839"/>
    </row>
    <row r="8" spans="1:41" s="2060" customFormat="1" ht="15">
      <c r="A8" s="2065"/>
      <c r="B8" s="1839"/>
      <c r="C8" s="1839"/>
      <c r="D8" s="2066"/>
      <c r="E8" s="2066"/>
      <c r="F8" s="2059"/>
      <c r="G8" s="2059"/>
      <c r="H8" s="2059"/>
      <c r="I8" s="1839"/>
      <c r="J8" s="1839"/>
      <c r="K8" s="1839"/>
      <c r="L8" s="1839"/>
      <c r="M8" s="1839"/>
      <c r="N8" s="1839"/>
      <c r="O8" s="1832"/>
      <c r="P8" s="1832"/>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row>
    <row r="9" spans="1:41" s="2060" customFormat="1" ht="15" thickBot="1">
      <c r="A9" s="1839"/>
      <c r="B9" s="1839"/>
      <c r="C9" s="1839"/>
      <c r="D9" s="2059"/>
      <c r="E9" s="2059"/>
      <c r="F9" s="2059"/>
      <c r="G9" s="2059"/>
      <c r="H9" s="205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row>
    <row r="10" spans="1:41" s="2060" customFormat="1" ht="15" thickBot="1">
      <c r="A10" s="2067" t="s">
        <v>1641</v>
      </c>
      <c r="B10" s="2068" t="s">
        <v>2840</v>
      </c>
      <c r="C10" s="1839"/>
      <c r="D10" s="2057" t="s">
        <v>1642</v>
      </c>
      <c r="E10" s="2069" t="s">
        <v>1643</v>
      </c>
      <c r="F10" s="1139" t="s">
        <v>1644</v>
      </c>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row>
    <row r="11" spans="1:41" s="2073" customFormat="1" ht="14.25">
      <c r="A11" s="2070" t="s">
        <v>1645</v>
      </c>
      <c r="B11" s="984">
        <v>70</v>
      </c>
      <c r="C11" s="1839"/>
      <c r="D11" s="2071" t="s">
        <v>1646</v>
      </c>
      <c r="E11" s="34">
        <v>160</v>
      </c>
      <c r="F11" s="1838" t="s">
        <v>1647</v>
      </c>
      <c r="G11" s="1839"/>
      <c r="H11" s="1839"/>
      <c r="I11" s="1839"/>
      <c r="J11" s="1839"/>
      <c r="K11" s="1839"/>
      <c r="L11" s="2072"/>
      <c r="M11" s="2072"/>
      <c r="N11" s="2072"/>
      <c r="O11" s="2072"/>
      <c r="P11" s="2072"/>
      <c r="Q11" s="2072"/>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row>
    <row r="12" spans="1:41" s="2060" customFormat="1" ht="15">
      <c r="A12" s="2074" t="s">
        <v>1648</v>
      </c>
      <c r="B12" s="2075">
        <v>56284</v>
      </c>
      <c r="C12" s="1839"/>
      <c r="D12" s="2076" t="s">
        <v>1649</v>
      </c>
      <c r="E12" s="37">
        <v>200</v>
      </c>
      <c r="F12" s="1832"/>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row>
    <row r="13" spans="1:41" s="2060" customFormat="1" ht="15" thickBot="1">
      <c r="A13" s="2077" t="s">
        <v>1650</v>
      </c>
      <c r="B13" s="985">
        <f>IF(B12="",B11-(YEAR($B$2)-B26+B23),ROUNDDOWN(MIN((B12-$B$2)/365,B11),2))</f>
        <v>33.65</v>
      </c>
      <c r="C13" s="2078"/>
      <c r="D13" s="2079" t="s">
        <v>1651</v>
      </c>
      <c r="E13" s="39"/>
      <c r="F13" s="1833" t="s">
        <v>1652</v>
      </c>
      <c r="G13" s="1839"/>
      <c r="H13" s="1839"/>
      <c r="I13" s="1839"/>
      <c r="J13" s="1839"/>
      <c r="K13" s="1839"/>
      <c r="L13" s="1839"/>
      <c r="M13" s="1839"/>
      <c r="N13" s="1839"/>
      <c r="O13" s="1839"/>
      <c r="P13" s="1839"/>
      <c r="Q13" s="1839"/>
      <c r="R13" s="1839"/>
      <c r="S13" s="1839"/>
      <c r="T13" s="1839"/>
      <c r="U13" s="1839"/>
      <c r="V13" s="1839"/>
      <c r="W13" s="1839"/>
      <c r="X13" s="1839"/>
      <c r="Y13" s="1839"/>
      <c r="Z13" s="1839"/>
      <c r="AA13" s="1839"/>
      <c r="AB13" s="1839"/>
      <c r="AC13" s="1839"/>
      <c r="AD13" s="1839"/>
      <c r="AE13" s="1839"/>
      <c r="AF13" s="1839"/>
      <c r="AG13" s="1839"/>
      <c r="AH13" s="1839"/>
      <c r="AI13" s="1839"/>
      <c r="AJ13" s="1839"/>
      <c r="AK13" s="1839"/>
      <c r="AL13" s="1839"/>
      <c r="AM13" s="1839"/>
      <c r="AN13" s="1839"/>
      <c r="AO13" s="1839"/>
    </row>
    <row r="14" spans="1:41" s="2060" customFormat="1" ht="14.25">
      <c r="A14" s="2074" t="s">
        <v>1653</v>
      </c>
      <c r="B14" s="986">
        <f>IF(ISERROR(ROUND(POWER(1+B15,B11-B13)*(POWER(1+B15,B13)-1)/(POWER(1+B15,B11)-1),3)),0,ROUND(POWER(1+B15,B11-B13)*(POWER(1+B15,B13)-1)/(POWER(1+B15,B11)-1),3))</f>
        <v>0.81</v>
      </c>
      <c r="C14" s="1839"/>
      <c r="D14" s="2080" t="s">
        <v>1654</v>
      </c>
      <c r="E14" s="708">
        <v>200</v>
      </c>
      <c r="F14" s="1832"/>
      <c r="G14" s="1839"/>
      <c r="H14" s="1839"/>
      <c r="I14" s="1839"/>
      <c r="J14" s="1839"/>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1839"/>
      <c r="AM14" s="1839"/>
      <c r="AN14" s="1839"/>
      <c r="AO14" s="1839"/>
    </row>
    <row r="15" spans="1:41" s="2060" customFormat="1" ht="14.25">
      <c r="A15" s="2074" t="s">
        <v>1655</v>
      </c>
      <c r="B15" s="30">
        <v>4.4999999999999998E-2</v>
      </c>
      <c r="C15" s="1839"/>
      <c r="D15" s="2076" t="s">
        <v>1656</v>
      </c>
      <c r="E15" s="38">
        <f>E14-E16</f>
        <v>200</v>
      </c>
      <c r="F15" s="1834"/>
      <c r="G15" s="1839"/>
      <c r="H15" s="1839"/>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c r="AL15" s="1839"/>
      <c r="AM15" s="1839"/>
      <c r="AN15" s="1839"/>
      <c r="AO15" s="1839"/>
    </row>
    <row r="16" spans="1:41" s="2060" customFormat="1" ht="15" thickBot="1">
      <c r="A16" s="2074" t="s">
        <v>1657</v>
      </c>
      <c r="B16" s="30">
        <v>0.05</v>
      </c>
      <c r="C16" s="1839"/>
      <c r="D16" s="2081" t="s">
        <v>1658</v>
      </c>
      <c r="E16" s="709"/>
      <c r="F16" s="1835"/>
      <c r="G16" s="1839"/>
      <c r="H16" s="1839"/>
      <c r="I16" s="1839"/>
      <c r="J16" s="1839"/>
      <c r="K16" s="1839"/>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c r="AH16" s="1839"/>
      <c r="AI16" s="1839"/>
      <c r="AJ16" s="1839"/>
      <c r="AK16" s="1839"/>
      <c r="AL16" s="1839"/>
      <c r="AM16" s="1839"/>
      <c r="AN16" s="1839"/>
      <c r="AO16" s="1839"/>
    </row>
    <row r="17" spans="1:41" s="2060" customFormat="1" ht="15" thickBot="1">
      <c r="A17" s="2082" t="s">
        <v>1659</v>
      </c>
      <c r="B17" s="991">
        <v>8.5000000000000006E-2</v>
      </c>
      <c r="C17" s="1839"/>
      <c r="D17" s="2067" t="s">
        <v>1660</v>
      </c>
      <c r="E17" s="2761">
        <v>3500</v>
      </c>
      <c r="F17" s="1229"/>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c r="AL17" s="1839"/>
      <c r="AM17" s="1839"/>
      <c r="AN17" s="1839"/>
      <c r="AO17" s="1839"/>
    </row>
    <row r="18" spans="1:41" s="2060" customFormat="1" ht="15" thickBot="1">
      <c r="A18" s="1839"/>
      <c r="B18" s="1839"/>
      <c r="C18" s="1839"/>
      <c r="D18" s="2083" t="str">
        <f>IF(B25=0,"建安总额","在建建安")</f>
        <v>建安总额</v>
      </c>
      <c r="E18" s="980">
        <f>ROUND(B5*E17*IF(B25=0,1,E20),0)</f>
        <v>0</v>
      </c>
      <c r="F18" s="1312">
        <f>ROUND(E5*E17*IF(B25=0,1,E20),0)</f>
        <v>348075</v>
      </c>
      <c r="G18" s="1839"/>
      <c r="H18" s="1839"/>
      <c r="I18" s="1839"/>
      <c r="J18" s="1839"/>
      <c r="K18" s="1839"/>
      <c r="L18" s="1839"/>
      <c r="M18" s="1839"/>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c r="AL18" s="1839"/>
      <c r="AM18" s="1839"/>
      <c r="AN18" s="1839"/>
      <c r="AO18" s="1839"/>
    </row>
    <row r="19" spans="1:41" s="2060" customFormat="1" ht="15" thickBot="1">
      <c r="A19" s="25" t="s">
        <v>1661</v>
      </c>
      <c r="B19" s="1839"/>
      <c r="C19" s="1839"/>
      <c r="D19" s="2083" t="str">
        <f>IF(B25=0,"——","续建建安")</f>
        <v>——</v>
      </c>
      <c r="E19" s="980" t="str">
        <f>IF(B25=0,"——",ROUND(B5*E17*(1-E20),0))</f>
        <v>——</v>
      </c>
      <c r="F19" s="1312" t="str">
        <f>IF(B25=0,"——",ROUND(E5*E17*(1-E20),0))</f>
        <v>——</v>
      </c>
      <c r="G19" s="1839"/>
      <c r="H19" s="1839"/>
      <c r="I19" s="1839"/>
      <c r="J19" s="1839"/>
      <c r="K19" s="1839"/>
      <c r="L19" s="1839"/>
      <c r="M19" s="1839"/>
      <c r="N19" s="1839"/>
      <c r="O19" s="1839"/>
      <c r="P19" s="1839"/>
      <c r="Q19" s="1839"/>
      <c r="R19" s="1839"/>
      <c r="S19" s="1839"/>
      <c r="T19" s="1839"/>
      <c r="U19" s="1839"/>
      <c r="V19" s="1839"/>
      <c r="W19" s="1839"/>
      <c r="X19" s="1839"/>
      <c r="Y19" s="1839"/>
      <c r="Z19" s="1839"/>
      <c r="AA19" s="1839"/>
      <c r="AB19" s="1839"/>
      <c r="AC19" s="1839"/>
      <c r="AD19" s="1839"/>
      <c r="AE19" s="1839"/>
      <c r="AF19" s="1839"/>
      <c r="AG19" s="1839"/>
      <c r="AH19" s="1839"/>
      <c r="AI19" s="1839"/>
      <c r="AJ19" s="1839"/>
      <c r="AK19" s="1839"/>
      <c r="AL19" s="1839"/>
      <c r="AM19" s="1839"/>
      <c r="AN19" s="1839"/>
      <c r="AO19" s="1839"/>
    </row>
    <row r="20" spans="1:41" s="2060" customFormat="1" ht="15" thickBot="1">
      <c r="A20" s="2084" t="s">
        <v>1662</v>
      </c>
      <c r="B20" s="31"/>
      <c r="C20" s="1839"/>
      <c r="D20" s="2085" t="str">
        <f>IF(B25=0,"成新率","工程进度")</f>
        <v>成新率</v>
      </c>
      <c r="E20" s="981">
        <f>ROUND(1-(2020-2005)/60,2)</f>
        <v>0.75</v>
      </c>
      <c r="F20" s="122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row>
    <row r="21" spans="1:41" s="2060" customFormat="1" ht="14.25">
      <c r="A21" s="2086" t="s">
        <v>1663</v>
      </c>
      <c r="B21" s="32">
        <v>2</v>
      </c>
      <c r="C21" s="1839"/>
      <c r="D21" s="2076" t="s">
        <v>1664</v>
      </c>
      <c r="E21" s="710">
        <v>0.03</v>
      </c>
      <c r="F21" s="1836" t="s">
        <v>1665</v>
      </c>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c r="AL21" s="1839"/>
      <c r="AM21" s="1839"/>
      <c r="AN21" s="1839"/>
      <c r="AO21" s="1839"/>
    </row>
    <row r="22" spans="1:41" s="2060" customFormat="1" ht="14.25">
      <c r="A22" s="2087" t="s">
        <v>1666</v>
      </c>
      <c r="B22" s="1446">
        <v>2</v>
      </c>
      <c r="C22" s="1839"/>
      <c r="D22" s="2076" t="s">
        <v>1667</v>
      </c>
      <c r="E22" s="40">
        <v>0.05</v>
      </c>
      <c r="F22" s="1836" t="s">
        <v>1668</v>
      </c>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1839"/>
      <c r="AD22" s="1839"/>
      <c r="AE22" s="1839"/>
      <c r="AF22" s="1839"/>
      <c r="AG22" s="1839"/>
      <c r="AH22" s="1839"/>
      <c r="AI22" s="1839"/>
      <c r="AJ22" s="1839"/>
      <c r="AK22" s="1839"/>
      <c r="AL22" s="1839"/>
      <c r="AM22" s="1839"/>
      <c r="AN22" s="1839"/>
      <c r="AO22" s="1839"/>
    </row>
    <row r="23" spans="1:41" s="2060" customFormat="1" ht="15" thickBot="1">
      <c r="A23" s="2088" t="s">
        <v>1669</v>
      </c>
      <c r="B23" s="33">
        <f>B20+B21</f>
        <v>2</v>
      </c>
      <c r="C23" s="1839"/>
      <c r="D23" s="2076" t="s">
        <v>1670</v>
      </c>
      <c r="E23" s="37">
        <v>200</v>
      </c>
      <c r="F23" s="1836" t="s">
        <v>1671</v>
      </c>
      <c r="G23" s="1839"/>
      <c r="H23" s="1839"/>
      <c r="I23" s="1839"/>
      <c r="J23" s="1839"/>
      <c r="K23" s="1839"/>
      <c r="L23" s="1839"/>
      <c r="M23" s="1839"/>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c r="AL23" s="1839"/>
      <c r="AM23" s="1839"/>
      <c r="AN23" s="1839"/>
      <c r="AO23" s="1839"/>
    </row>
    <row r="24" spans="1:41" s="2060" customFormat="1" ht="15" thickBot="1">
      <c r="A24" s="2089" t="s">
        <v>1672</v>
      </c>
      <c r="B24" s="1734">
        <f>B20+B22</f>
        <v>2</v>
      </c>
      <c r="C24" s="1839"/>
      <c r="D24" s="2081" t="s">
        <v>1673</v>
      </c>
      <c r="E24" s="1810">
        <v>1.4999999999999999E-2</v>
      </c>
      <c r="F24" s="1836" t="s">
        <v>1674</v>
      </c>
      <c r="G24" s="1839"/>
      <c r="H24" s="1839"/>
      <c r="I24" s="1839"/>
      <c r="J24" s="1839"/>
      <c r="K24" s="1839"/>
      <c r="L24" s="1839"/>
      <c r="M24" s="1839"/>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c r="AL24" s="1839"/>
      <c r="AM24" s="1839"/>
      <c r="AN24" s="1839"/>
      <c r="AO24" s="1839"/>
    </row>
    <row r="25" spans="1:41" ht="15" thickBot="1">
      <c r="A25" s="2088" t="s">
        <v>1675</v>
      </c>
      <c r="B25" s="1445">
        <f>B21-B22</f>
        <v>0</v>
      </c>
      <c r="C25" s="1229"/>
      <c r="D25" s="2071" t="s">
        <v>1676</v>
      </c>
      <c r="E25" s="2762">
        <v>0.02</v>
      </c>
      <c r="F25" s="1836" t="s">
        <v>1677</v>
      </c>
      <c r="I25" s="1837"/>
      <c r="AE25" s="1229"/>
      <c r="AF25" s="1229"/>
      <c r="AG25" s="1229"/>
      <c r="AH25" s="1229"/>
      <c r="AI25" s="1229"/>
      <c r="AJ25" s="1229"/>
      <c r="AK25" s="1229"/>
      <c r="AL25" s="1229"/>
      <c r="AM25" s="1229"/>
      <c r="AN25" s="1229"/>
      <c r="AO25" s="1229"/>
    </row>
    <row r="26" spans="1:41" ht="15.75" thickBot="1">
      <c r="A26" s="2090" t="s">
        <v>1678</v>
      </c>
      <c r="B26" s="1088">
        <v>2005</v>
      </c>
      <c r="C26" s="1839"/>
      <c r="D26" s="2076" t="s">
        <v>1679</v>
      </c>
      <c r="E26" s="2763">
        <v>0.02</v>
      </c>
      <c r="F26" s="1836" t="s">
        <v>1677</v>
      </c>
      <c r="G26" s="2059"/>
      <c r="H26" s="2059"/>
      <c r="I26" s="1839"/>
      <c r="J26" s="1839"/>
      <c r="K26" s="1839"/>
      <c r="L26" s="1839"/>
      <c r="M26" s="1839"/>
      <c r="N26" s="1839"/>
      <c r="AE26" s="1229"/>
      <c r="AF26" s="1229"/>
      <c r="AG26" s="1229"/>
      <c r="AH26" s="1229"/>
      <c r="AI26" s="1229"/>
      <c r="AJ26" s="1229"/>
      <c r="AK26" s="1229"/>
      <c r="AL26" s="1229"/>
      <c r="AM26" s="1229"/>
      <c r="AN26" s="1229"/>
      <c r="AO26" s="1229"/>
    </row>
    <row r="27" spans="1:41" ht="15" thickBot="1">
      <c r="A27" s="1229"/>
      <c r="B27" s="1229"/>
      <c r="C27" s="1229"/>
      <c r="D27" s="2076" t="s">
        <v>1680</v>
      </c>
      <c r="E27" s="352">
        <f ca="1">存贷款利率!G1</f>
        <v>4.7500000000000001E-2</v>
      </c>
      <c r="F27" s="1836" t="s">
        <v>1681</v>
      </c>
      <c r="G27" s="2059"/>
      <c r="H27" s="2059"/>
      <c r="K27" s="1839"/>
      <c r="N27" s="1839"/>
      <c r="AE27" s="1229"/>
      <c r="AF27" s="1229"/>
      <c r="AG27" s="1229"/>
      <c r="AH27" s="1229"/>
      <c r="AI27" s="1229"/>
      <c r="AJ27" s="1229"/>
      <c r="AK27" s="1229"/>
      <c r="AL27" s="1229"/>
      <c r="AM27" s="1229"/>
      <c r="AN27" s="1229"/>
      <c r="AO27" s="1229"/>
    </row>
    <row r="28" spans="1:41" ht="15" thickBot="1">
      <c r="A28" s="2091" t="s">
        <v>1682</v>
      </c>
      <c r="B28" s="2092" t="s">
        <v>2841</v>
      </c>
      <c r="C28" s="1229"/>
      <c r="D28" s="2093" t="s">
        <v>1683</v>
      </c>
      <c r="E28" s="983">
        <v>0.15</v>
      </c>
      <c r="G28" s="2059"/>
      <c r="H28" s="2059"/>
      <c r="K28" s="1839"/>
      <c r="N28" s="1839"/>
      <c r="AE28" s="1229"/>
      <c r="AF28" s="1229"/>
      <c r="AG28" s="1229"/>
      <c r="AH28" s="1229"/>
      <c r="AI28" s="1229"/>
      <c r="AJ28" s="1229"/>
      <c r="AK28" s="1229"/>
      <c r="AL28" s="1229"/>
      <c r="AM28" s="1229"/>
      <c r="AN28" s="1229"/>
      <c r="AO28" s="1229"/>
    </row>
    <row r="29" spans="1:41" ht="14.25">
      <c r="A29" s="2074" t="str">
        <f>IF(B28="租赁期内按合同租金","合同租金","市场租金")</f>
        <v>市场租金</v>
      </c>
      <c r="B29" s="29">
        <v>2000</v>
      </c>
      <c r="C29" s="1229"/>
      <c r="D29" s="2080" t="s">
        <v>1684</v>
      </c>
      <c r="E29" s="982">
        <f>E30+E31</f>
        <v>5.6000000000000001E-2</v>
      </c>
      <c r="F29" s="1833"/>
      <c r="G29" s="2059"/>
      <c r="H29" s="2059"/>
      <c r="K29" s="1839"/>
      <c r="N29" s="1839"/>
      <c r="AE29" s="1229"/>
      <c r="AF29" s="1229"/>
      <c r="AG29" s="1229"/>
      <c r="AH29" s="1229"/>
      <c r="AI29" s="1229"/>
      <c r="AJ29" s="1229"/>
      <c r="AK29" s="1229"/>
      <c r="AL29" s="1229"/>
      <c r="AM29" s="1229"/>
      <c r="AN29" s="1229"/>
      <c r="AO29" s="1229"/>
    </row>
    <row r="30" spans="1:41" ht="14.25">
      <c r="A30" s="2074" t="s">
        <v>1685</v>
      </c>
      <c r="B30" s="1411">
        <f ca="1">存贷款利率!I1</f>
        <v>1.4999999999999999E-2</v>
      </c>
      <c r="C30" s="1229"/>
      <c r="D30" s="2094" t="s">
        <v>1686</v>
      </c>
      <c r="E30" s="41">
        <v>0.05</v>
      </c>
      <c r="F30" s="1844">
        <f>IF(B2&lt;DATE(2016,5,1),0,E30)</f>
        <v>0.05</v>
      </c>
      <c r="G30" s="2059"/>
      <c r="H30" s="2059"/>
      <c r="K30" s="1839"/>
      <c r="N30" s="1839"/>
      <c r="AE30" s="1229"/>
      <c r="AF30" s="1229"/>
      <c r="AG30" s="1229"/>
      <c r="AH30" s="1229"/>
      <c r="AI30" s="1229"/>
      <c r="AJ30" s="1229"/>
      <c r="AK30" s="1229"/>
      <c r="AL30" s="1229"/>
      <c r="AM30" s="1229"/>
      <c r="AN30" s="1229"/>
      <c r="AO30" s="1229"/>
    </row>
    <row r="31" spans="1:41" ht="14.25">
      <c r="A31" s="2074" t="s">
        <v>1687</v>
      </c>
      <c r="B31" s="30">
        <v>2.5000000000000001E-2</v>
      </c>
      <c r="C31" s="1229"/>
      <c r="D31" s="2094" t="s">
        <v>1688</v>
      </c>
      <c r="E31" s="42">
        <f>E30*(E32+E33+E34)+E35</f>
        <v>6.000000000000001E-3</v>
      </c>
      <c r="F31" s="1833"/>
      <c r="G31" s="2059"/>
      <c r="H31" s="2059"/>
      <c r="K31" s="1839"/>
      <c r="N31" s="1839"/>
      <c r="AE31" s="1229"/>
      <c r="AF31" s="1229"/>
      <c r="AG31" s="1229"/>
      <c r="AH31" s="1229"/>
      <c r="AI31" s="1229"/>
      <c r="AJ31" s="1229"/>
      <c r="AK31" s="1229"/>
      <c r="AL31" s="1229"/>
      <c r="AM31" s="1229"/>
      <c r="AN31" s="1229"/>
      <c r="AO31" s="1229"/>
    </row>
    <row r="32" spans="1:41" ht="14.25">
      <c r="A32" s="2074" t="s">
        <v>1689</v>
      </c>
      <c r="B32" s="30">
        <v>0.1</v>
      </c>
      <c r="C32" s="1229"/>
      <c r="D32" s="2095" t="s">
        <v>1690</v>
      </c>
      <c r="E32" s="43">
        <v>7.0000000000000007E-2</v>
      </c>
      <c r="F32" s="1831" t="s">
        <v>2820</v>
      </c>
      <c r="G32" s="2059"/>
      <c r="H32" s="2059"/>
      <c r="K32" s="1839"/>
      <c r="L32" s="1839"/>
      <c r="M32" s="1839"/>
      <c r="N32" s="1839"/>
      <c r="AE32" s="1229"/>
      <c r="AF32" s="1229"/>
      <c r="AG32" s="1229"/>
      <c r="AH32" s="1229"/>
      <c r="AI32" s="1229"/>
      <c r="AJ32" s="1229"/>
      <c r="AK32" s="1229"/>
      <c r="AL32" s="1229"/>
      <c r="AM32" s="1229"/>
      <c r="AN32" s="1229"/>
      <c r="AO32" s="1229"/>
    </row>
    <row r="33" spans="1:41" ht="14.25">
      <c r="A33" s="2074" t="s">
        <v>1691</v>
      </c>
      <c r="B33" s="1372">
        <f>收益法!J54</f>
        <v>45</v>
      </c>
      <c r="C33" s="1229"/>
      <c r="D33" s="2095" t="s">
        <v>1692</v>
      </c>
      <c r="E33" s="41">
        <v>0.03</v>
      </c>
      <c r="F33" s="1830" t="s">
        <v>1693</v>
      </c>
      <c r="G33" s="2059"/>
      <c r="H33" s="2059"/>
      <c r="K33" s="1839"/>
      <c r="L33" s="1839"/>
      <c r="M33" s="1839"/>
      <c r="N33" s="1839"/>
      <c r="AE33" s="1229"/>
      <c r="AF33" s="1229"/>
      <c r="AG33" s="1229"/>
      <c r="AH33" s="1229"/>
      <c r="AI33" s="1229"/>
      <c r="AJ33" s="1229"/>
      <c r="AK33" s="1229"/>
      <c r="AL33" s="1229"/>
      <c r="AM33" s="1229"/>
      <c r="AN33" s="1229"/>
      <c r="AO33" s="1229"/>
    </row>
    <row r="34" spans="1:41" s="2097" customFormat="1" ht="15" thickBot="1">
      <c r="A34" s="2094" t="str">
        <f>IF(B28="租赁期内按合同租金","剩余租赁期","——")</f>
        <v>——</v>
      </c>
      <c r="B34" s="992"/>
      <c r="C34" s="1229"/>
      <c r="D34" s="2095" t="s">
        <v>1694</v>
      </c>
      <c r="E34" s="41">
        <v>0.02</v>
      </c>
      <c r="F34" s="1830" t="s">
        <v>1695</v>
      </c>
      <c r="G34" s="2096"/>
      <c r="H34" s="2096"/>
      <c r="I34" s="1832"/>
      <c r="J34" s="1832"/>
      <c r="K34" s="1839"/>
      <c r="L34" s="1839"/>
      <c r="M34" s="1839"/>
      <c r="N34" s="1839"/>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097" customFormat="1" ht="15.75" thickBot="1">
      <c r="A35" s="2098" t="s">
        <v>1696</v>
      </c>
      <c r="B35" s="988"/>
      <c r="C35" s="1229"/>
      <c r="D35" s="2099" t="s">
        <v>1697</v>
      </c>
      <c r="E35" s="44"/>
      <c r="F35" s="1838" t="s">
        <v>1698</v>
      </c>
      <c r="G35" s="2096"/>
      <c r="H35" s="2096"/>
      <c r="I35" s="1832"/>
      <c r="J35" s="1832"/>
      <c r="K35" s="1839"/>
      <c r="L35" s="1839"/>
      <c r="M35" s="1839"/>
      <c r="N35" s="1839"/>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097" customFormat="1" ht="14.25">
      <c r="A36" s="2100" t="str">
        <f>IF(B28="租赁期内按合同租金","租金","——")</f>
        <v>——</v>
      </c>
      <c r="B36" s="993"/>
      <c r="C36" s="1229"/>
      <c r="D36" s="2101" t="s">
        <v>1699</v>
      </c>
      <c r="E36" s="45">
        <v>0.03</v>
      </c>
      <c r="F36" s="1834" t="s">
        <v>1700</v>
      </c>
      <c r="G36" s="2096"/>
      <c r="H36" s="2096"/>
      <c r="I36" s="1832"/>
      <c r="J36" s="1832"/>
      <c r="K36" s="1839"/>
      <c r="L36" s="1839"/>
      <c r="M36" s="1839"/>
      <c r="N36" s="1839"/>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097" customFormat="1" ht="15" thickBot="1">
      <c r="A37" s="2074" t="str">
        <f>IF(B28="租赁期内按合同租金","年租金增长率","——")</f>
        <v>——</v>
      </c>
      <c r="B37" s="30"/>
      <c r="C37" s="1229"/>
      <c r="D37" s="2081" t="s">
        <v>1701</v>
      </c>
      <c r="E37" s="41">
        <v>5.0000000000000001E-4</v>
      </c>
      <c r="F37" s="1834" t="s">
        <v>1702</v>
      </c>
      <c r="G37" s="2059"/>
      <c r="H37" s="2059"/>
      <c r="I37" s="1839"/>
      <c r="J37" s="1839"/>
      <c r="K37" s="1839"/>
      <c r="L37" s="1839"/>
      <c r="M37" s="1839"/>
      <c r="N37" s="1839"/>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097" customFormat="1" ht="14.25">
      <c r="A38" s="2074" t="str">
        <f>IF(B28="租赁期内按合同租金","空置率","——")</f>
        <v>——</v>
      </c>
      <c r="B38" s="30"/>
      <c r="C38" s="1229"/>
      <c r="D38" s="2102" t="s">
        <v>1703</v>
      </c>
      <c r="E38" s="46">
        <v>1.2E-2</v>
      </c>
      <c r="F38" s="1832"/>
      <c r="G38" s="1837"/>
      <c r="H38" s="1837"/>
      <c r="I38" s="2059"/>
      <c r="J38" s="1839"/>
      <c r="K38" s="1839"/>
      <c r="L38" s="1839"/>
      <c r="M38" s="1839"/>
      <c r="N38" s="1839"/>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097" customFormat="1" ht="15" thickBot="1">
      <c r="A39" s="2074" t="str">
        <f>IF(B28="租赁期内按合同租金","成新率","——")</f>
        <v>——</v>
      </c>
      <c r="B39" s="30"/>
      <c r="C39" s="1229"/>
      <c r="D39" s="2079" t="s">
        <v>1704</v>
      </c>
      <c r="E39" s="47">
        <v>0.12</v>
      </c>
      <c r="F39" s="1832"/>
      <c r="G39" s="2096"/>
      <c r="H39" s="2096"/>
      <c r="I39" s="1832"/>
      <c r="J39" s="1832"/>
      <c r="K39" s="1839"/>
      <c r="L39" s="1839"/>
      <c r="M39" s="1839"/>
      <c r="N39" s="1839"/>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094" t="str">
        <f>IF(B28="租赁期内按合同租金","租赁期外收益期","——")</f>
        <v>——</v>
      </c>
      <c r="B40" s="1185" t="str">
        <f>IF(B28="租赁期内按合同租金",B33-B34,"——")</f>
        <v>——</v>
      </c>
      <c r="C40" s="1229"/>
      <c r="D40" s="2102" t="s">
        <v>1705</v>
      </c>
      <c r="E40" s="48">
        <f>SUMIF(D42:D51,E41,E42:E51)</f>
        <v>0</v>
      </c>
      <c r="F40" s="1832"/>
      <c r="G40" s="2059"/>
      <c r="H40" s="2059"/>
      <c r="I40" s="1839"/>
      <c r="J40" s="1839"/>
      <c r="K40" s="1839"/>
      <c r="L40" s="1839"/>
      <c r="M40" s="1839"/>
      <c r="N40" s="1839"/>
      <c r="AE40" s="1229"/>
      <c r="AF40" s="1229"/>
      <c r="AG40" s="1229"/>
      <c r="AH40" s="1229"/>
      <c r="AI40" s="1229"/>
      <c r="AJ40" s="1229"/>
      <c r="AK40" s="1229"/>
      <c r="AL40" s="1229"/>
      <c r="AM40" s="1229"/>
      <c r="AN40" s="1229"/>
      <c r="AO40" s="1229"/>
    </row>
    <row r="41" spans="1:41" ht="14.25">
      <c r="A41" s="2103" t="s">
        <v>1706</v>
      </c>
      <c r="B41" s="994">
        <v>1</v>
      </c>
      <c r="C41" s="1229"/>
      <c r="D41" s="2076" t="s">
        <v>1707</v>
      </c>
      <c r="E41" s="2104"/>
      <c r="F41" s="1832" t="s">
        <v>1708</v>
      </c>
      <c r="G41" s="2105" t="s">
        <v>1709</v>
      </c>
      <c r="H41" s="2059"/>
      <c r="I41" s="1839"/>
      <c r="J41" s="1839"/>
      <c r="K41" s="1839"/>
      <c r="L41" s="1839"/>
      <c r="M41" s="1839"/>
      <c r="N41" s="1839"/>
      <c r="AE41" s="1229"/>
      <c r="AF41" s="1229"/>
      <c r="AG41" s="1229"/>
      <c r="AH41" s="1229"/>
      <c r="AI41" s="1229"/>
      <c r="AJ41" s="1229"/>
      <c r="AK41" s="1229"/>
      <c r="AL41" s="1229"/>
      <c r="AM41" s="1229"/>
      <c r="AN41" s="1229"/>
      <c r="AO41" s="1229"/>
    </row>
    <row r="42" spans="1:41" ht="14.25">
      <c r="A42" s="2074" t="s">
        <v>1710</v>
      </c>
      <c r="B42" s="987">
        <v>12</v>
      </c>
      <c r="C42" s="1229"/>
      <c r="D42" s="2106" t="s">
        <v>1711</v>
      </c>
      <c r="E42" s="29"/>
      <c r="F42" s="1832">
        <v>30</v>
      </c>
      <c r="G42" s="2059"/>
      <c r="H42" s="2059"/>
      <c r="I42" s="1839"/>
      <c r="J42" s="1839"/>
      <c r="K42" s="1839"/>
      <c r="L42" s="1839"/>
      <c r="M42" s="1839"/>
      <c r="N42" s="1839"/>
      <c r="AE42" s="1229"/>
      <c r="AF42" s="1229"/>
      <c r="AG42" s="1229"/>
      <c r="AH42" s="1229"/>
      <c r="AI42" s="1229"/>
      <c r="AJ42" s="1229"/>
      <c r="AK42" s="1229"/>
      <c r="AL42" s="1229"/>
      <c r="AM42" s="1229"/>
      <c r="AN42" s="1229"/>
      <c r="AO42" s="1229"/>
    </row>
    <row r="43" spans="1:41" ht="14.25">
      <c r="A43" s="2074" t="s">
        <v>1712</v>
      </c>
      <c r="B43" s="29"/>
      <c r="C43" s="1229"/>
      <c r="D43" s="2106" t="s">
        <v>1713</v>
      </c>
      <c r="E43" s="29"/>
      <c r="F43" s="1832">
        <v>24</v>
      </c>
      <c r="G43" s="2059"/>
      <c r="H43" s="2059"/>
      <c r="I43" s="1839"/>
      <c r="J43" s="1839"/>
      <c r="K43" s="1839"/>
      <c r="L43" s="1839"/>
      <c r="M43" s="1839"/>
      <c r="N43" s="1839"/>
      <c r="AE43" s="1229"/>
      <c r="AF43" s="1229"/>
      <c r="AG43" s="1229"/>
      <c r="AH43" s="1229"/>
      <c r="AI43" s="1229"/>
      <c r="AJ43" s="1229"/>
      <c r="AK43" s="1229"/>
      <c r="AL43" s="1229"/>
      <c r="AM43" s="1229"/>
      <c r="AN43" s="1229"/>
      <c r="AO43" s="1229"/>
    </row>
    <row r="44" spans="1:41" ht="14.25">
      <c r="A44" s="2074" t="s">
        <v>1714</v>
      </c>
      <c r="B44" s="995">
        <v>1.4999999999999999E-2</v>
      </c>
      <c r="C44" s="1229" t="s">
        <v>965</v>
      </c>
      <c r="D44" s="2106" t="s">
        <v>1715</v>
      </c>
      <c r="E44" s="29"/>
      <c r="F44" s="1832">
        <v>18</v>
      </c>
      <c r="G44" s="1229"/>
      <c r="H44" s="1229"/>
      <c r="I44" s="2059"/>
      <c r="J44" s="1839"/>
      <c r="K44" s="1839"/>
      <c r="L44" s="1839"/>
      <c r="M44" s="1839"/>
      <c r="N44" s="1839"/>
      <c r="AE44" s="1229"/>
      <c r="AF44" s="1229"/>
      <c r="AG44" s="1229"/>
      <c r="AH44" s="1229"/>
      <c r="AI44" s="1229"/>
      <c r="AJ44" s="1229"/>
      <c r="AK44" s="1229"/>
      <c r="AL44" s="1229"/>
      <c r="AM44" s="1229"/>
      <c r="AN44" s="1229"/>
      <c r="AO44" s="1229"/>
    </row>
    <row r="45" spans="1:41" ht="14.25">
      <c r="A45" s="2074" t="s">
        <v>1716</v>
      </c>
      <c r="B45" s="996">
        <v>1.5E-3</v>
      </c>
      <c r="C45" s="1229" t="s">
        <v>966</v>
      </c>
      <c r="D45" s="2106" t="s">
        <v>1717</v>
      </c>
      <c r="E45" s="29"/>
      <c r="F45" s="1832">
        <v>12</v>
      </c>
      <c r="G45" s="1229"/>
      <c r="H45" s="1229"/>
      <c r="M45" s="1839"/>
      <c r="N45" s="1839"/>
      <c r="AE45" s="1229"/>
      <c r="AF45" s="1229"/>
      <c r="AG45" s="1229"/>
      <c r="AH45" s="1229"/>
      <c r="AI45" s="1229"/>
      <c r="AJ45" s="1229"/>
      <c r="AK45" s="1229"/>
      <c r="AL45" s="1229"/>
      <c r="AM45" s="1229"/>
      <c r="AN45" s="1229"/>
      <c r="AO45" s="1229"/>
    </row>
    <row r="46" spans="1:41" ht="15" thickBot="1">
      <c r="A46" s="2093" t="s">
        <v>1718</v>
      </c>
      <c r="B46" s="997">
        <v>1.4999999999999999E-2</v>
      </c>
      <c r="C46" s="1229" t="s">
        <v>967</v>
      </c>
      <c r="D46" s="2106" t="s">
        <v>1467</v>
      </c>
      <c r="E46" s="29"/>
      <c r="F46" s="1832">
        <v>3</v>
      </c>
      <c r="G46" s="1229"/>
      <c r="H46" s="1229"/>
      <c r="M46" s="1839"/>
      <c r="N46" s="1839"/>
      <c r="AE46" s="1229"/>
      <c r="AF46" s="1229"/>
      <c r="AG46" s="1229"/>
      <c r="AH46" s="1229"/>
      <c r="AI46" s="1229"/>
      <c r="AJ46" s="1229"/>
      <c r="AK46" s="1229"/>
      <c r="AL46" s="1229"/>
      <c r="AM46" s="1229"/>
      <c r="AN46" s="1229"/>
      <c r="AO46" s="1229"/>
    </row>
    <row r="47" spans="1:41" ht="14.25">
      <c r="A47" s="1229"/>
      <c r="B47" s="1229"/>
      <c r="C47" s="1229"/>
      <c r="D47" s="2106" t="s">
        <v>1719</v>
      </c>
      <c r="E47" s="29"/>
      <c r="F47" s="1832">
        <v>1.5</v>
      </c>
      <c r="G47" s="1229"/>
      <c r="H47" s="1229"/>
      <c r="M47" s="1839"/>
      <c r="N47" s="1839"/>
      <c r="AE47" s="1229"/>
      <c r="AF47" s="1229"/>
      <c r="AG47" s="1229"/>
      <c r="AH47" s="1229"/>
      <c r="AI47" s="1229"/>
      <c r="AJ47" s="1229"/>
      <c r="AK47" s="1229"/>
      <c r="AL47" s="1229"/>
      <c r="AM47" s="1229"/>
      <c r="AN47" s="1229"/>
      <c r="AO47" s="1229"/>
    </row>
    <row r="48" spans="1:41" ht="14.25">
      <c r="A48" s="1229"/>
      <c r="B48" s="1229"/>
      <c r="C48" s="1229"/>
      <c r="D48" s="2106" t="s">
        <v>1720</v>
      </c>
      <c r="E48" s="29"/>
      <c r="F48" s="1839"/>
      <c r="G48" s="1229"/>
      <c r="H48" s="1229"/>
      <c r="M48" s="1839"/>
      <c r="N48" s="1839"/>
      <c r="AE48" s="1229"/>
      <c r="AF48" s="1229"/>
      <c r="AG48" s="1229"/>
      <c r="AH48" s="1229"/>
      <c r="AI48" s="1229"/>
      <c r="AJ48" s="1229"/>
      <c r="AK48" s="1229"/>
      <c r="AL48" s="1229"/>
      <c r="AM48" s="1229"/>
      <c r="AN48" s="1229"/>
      <c r="AO48" s="1229"/>
    </row>
    <row r="49" spans="1:41" ht="14.25">
      <c r="A49" s="1229"/>
      <c r="B49" s="1229"/>
      <c r="C49" s="1229"/>
      <c r="D49" s="2106" t="s">
        <v>1721</v>
      </c>
      <c r="E49" s="29"/>
      <c r="F49" s="1839"/>
      <c r="G49" s="1229"/>
      <c r="H49" s="1229"/>
      <c r="M49" s="1839"/>
      <c r="N49" s="1839"/>
      <c r="AE49" s="1229"/>
      <c r="AF49" s="1229"/>
      <c r="AG49" s="1229"/>
      <c r="AH49" s="1229"/>
      <c r="AI49" s="1229"/>
      <c r="AJ49" s="1229"/>
      <c r="AK49" s="1229"/>
      <c r="AL49" s="1229"/>
      <c r="AM49" s="1229"/>
      <c r="AN49" s="1229"/>
      <c r="AO49" s="1229"/>
    </row>
    <row r="50" spans="1:41" ht="14.25">
      <c r="A50" s="1229"/>
      <c r="B50" s="1229"/>
      <c r="C50" s="1229"/>
      <c r="D50" s="2106" t="s">
        <v>1722</v>
      </c>
      <c r="E50" s="29"/>
      <c r="F50" s="1839"/>
      <c r="G50" s="1229"/>
      <c r="H50" s="1229"/>
      <c r="M50" s="1839"/>
      <c r="N50" s="1839"/>
      <c r="AE50" s="1229"/>
      <c r="AF50" s="1229"/>
      <c r="AG50" s="1229"/>
      <c r="AH50" s="1229"/>
      <c r="AI50" s="1229"/>
      <c r="AJ50" s="1229"/>
      <c r="AK50" s="1229"/>
      <c r="AL50" s="1229"/>
      <c r="AM50" s="1229"/>
      <c r="AN50" s="1229"/>
      <c r="AO50" s="1229"/>
    </row>
    <row r="51" spans="1:41" s="1229" customFormat="1" ht="15" thickBot="1">
      <c r="D51" s="2107" t="s">
        <v>1723</v>
      </c>
      <c r="E51" s="49"/>
      <c r="F51" s="1839"/>
      <c r="M51" s="1839"/>
      <c r="N51" s="1839"/>
      <c r="O51" s="84"/>
      <c r="P51" s="84"/>
    </row>
    <row r="52" spans="1:41" s="1229" customFormat="1" ht="14.25">
      <c r="D52" s="2059"/>
      <c r="E52" s="2059"/>
      <c r="F52" s="2059"/>
      <c r="G52" s="2059"/>
      <c r="H52" s="2059"/>
      <c r="I52" s="1839"/>
      <c r="J52" s="1839"/>
      <c r="K52" s="1839"/>
      <c r="L52" s="1839"/>
      <c r="M52" s="1839"/>
      <c r="N52" s="1839"/>
      <c r="O52" s="84"/>
      <c r="P52" s="84"/>
    </row>
    <row r="53" spans="1:41" s="1229" customFormat="1" ht="14.25">
      <c r="D53" s="2059"/>
      <c r="E53" s="2059"/>
      <c r="F53" s="2059"/>
      <c r="G53" s="2059"/>
      <c r="H53" s="2059"/>
      <c r="I53" s="1839"/>
      <c r="J53" s="1839"/>
      <c r="K53" s="1839"/>
      <c r="L53" s="1839"/>
      <c r="M53" s="1839"/>
      <c r="N53" s="1839"/>
      <c r="O53" s="84"/>
      <c r="P53" s="84"/>
    </row>
    <row r="54" spans="1:41" s="1229" customFormat="1" ht="14.25">
      <c r="D54" s="2059"/>
      <c r="E54" s="2059"/>
      <c r="F54" s="2059"/>
      <c r="G54" s="2059"/>
      <c r="H54" s="2059"/>
      <c r="I54" s="1839"/>
      <c r="J54" s="1839"/>
      <c r="K54" s="1839"/>
      <c r="L54" s="1839"/>
      <c r="M54" s="1839"/>
      <c r="N54" s="1839"/>
      <c r="O54" s="84"/>
      <c r="P54" s="84"/>
    </row>
    <row r="55" spans="1:41" s="1229" customFormat="1" ht="14.25">
      <c r="D55" s="2059"/>
      <c r="E55" s="2059"/>
      <c r="F55" s="2059"/>
      <c r="G55" s="2059"/>
      <c r="H55" s="2059"/>
      <c r="I55" s="1839"/>
      <c r="J55" s="1839"/>
      <c r="K55" s="1839"/>
      <c r="L55" s="1839"/>
      <c r="M55" s="1839"/>
      <c r="N55" s="1839"/>
      <c r="O55" s="84"/>
      <c r="P55" s="84"/>
    </row>
    <row r="56" spans="1:41" s="1229" customFormat="1" ht="14.25">
      <c r="D56" s="2059"/>
      <c r="E56" s="2059"/>
      <c r="F56" s="2059"/>
      <c r="G56" s="2059"/>
      <c r="H56" s="2059"/>
      <c r="I56" s="1839"/>
      <c r="J56" s="1839"/>
      <c r="K56" s="1839"/>
      <c r="L56" s="1839"/>
      <c r="M56" s="1839"/>
      <c r="N56" s="1839"/>
      <c r="O56" s="84"/>
      <c r="P56" s="84"/>
    </row>
    <row r="57" spans="1:41" s="1229" customFormat="1" ht="14.25">
      <c r="D57" s="2059"/>
      <c r="E57" s="2059"/>
      <c r="F57" s="2059"/>
      <c r="G57" s="2059"/>
      <c r="H57" s="2059"/>
      <c r="I57" s="1839"/>
      <c r="J57" s="1839"/>
      <c r="K57" s="1839"/>
      <c r="L57" s="1839"/>
      <c r="M57" s="1839"/>
      <c r="N57" s="1839"/>
      <c r="O57" s="84"/>
      <c r="P57" s="84"/>
    </row>
    <row r="58" spans="1:41" s="1229" customFormat="1" ht="14.25">
      <c r="D58" s="2059"/>
      <c r="E58" s="2059"/>
      <c r="F58" s="2059"/>
      <c r="G58" s="2059"/>
      <c r="H58" s="2059"/>
      <c r="I58" s="1839"/>
      <c r="J58" s="1839"/>
      <c r="K58" s="1839"/>
      <c r="L58" s="1839"/>
      <c r="M58" s="1839"/>
      <c r="N58" s="1839"/>
      <c r="O58" s="84"/>
      <c r="P58" s="84"/>
    </row>
    <row r="59" spans="1:41" s="1229" customFormat="1" ht="14.25">
      <c r="D59" s="2059"/>
      <c r="E59" s="2059"/>
      <c r="F59" s="2059"/>
      <c r="G59" s="2059"/>
      <c r="H59" s="2059"/>
      <c r="I59" s="1839"/>
      <c r="J59" s="1839"/>
      <c r="K59" s="1839"/>
      <c r="L59" s="1839"/>
      <c r="M59" s="2108"/>
      <c r="N59" s="1839"/>
      <c r="O59" s="84"/>
      <c r="P59" s="84"/>
    </row>
    <row r="60" spans="1:41" s="1229" customFormat="1" ht="14.25">
      <c r="D60" s="2059"/>
      <c r="E60" s="2059"/>
      <c r="F60" s="2059"/>
      <c r="G60" s="2059"/>
      <c r="H60" s="2059"/>
      <c r="I60" s="1839"/>
      <c r="J60" s="1839"/>
      <c r="K60" s="1839"/>
      <c r="L60" s="1839"/>
      <c r="M60" s="1839"/>
      <c r="N60" s="1839"/>
      <c r="O60" s="84"/>
      <c r="P60" s="84"/>
    </row>
    <row r="61" spans="1:41" s="1229" customFormat="1" ht="14.25">
      <c r="D61" s="2059"/>
      <c r="E61" s="2059"/>
      <c r="F61" s="2059"/>
      <c r="G61" s="2059"/>
      <c r="H61" s="2059"/>
      <c r="I61" s="1839"/>
      <c r="J61" s="1839"/>
      <c r="K61" s="1839"/>
      <c r="L61" s="1839"/>
      <c r="M61" s="1839"/>
      <c r="N61" s="1839"/>
      <c r="O61" s="84"/>
      <c r="P61" s="84"/>
    </row>
    <row r="62" spans="1:41" s="1229" customFormat="1" ht="14.25">
      <c r="D62" s="2059"/>
      <c r="E62" s="2059"/>
      <c r="F62" s="2059"/>
      <c r="G62" s="2059"/>
      <c r="H62" s="2059"/>
      <c r="I62" s="1839"/>
      <c r="J62" s="1839"/>
      <c r="K62" s="1839"/>
      <c r="L62" s="1839"/>
      <c r="M62" s="1839"/>
      <c r="N62" s="1839"/>
      <c r="O62" s="84"/>
      <c r="P62" s="84"/>
    </row>
    <row r="63" spans="1:41" s="1229" customFormat="1" ht="14.25">
      <c r="D63" s="2059"/>
      <c r="E63" s="2059"/>
      <c r="F63" s="2059"/>
      <c r="G63" s="2059"/>
      <c r="H63" s="2059"/>
      <c r="I63" s="1839"/>
      <c r="J63" s="1839"/>
      <c r="K63" s="1839"/>
      <c r="L63" s="1839"/>
      <c r="M63" s="1839"/>
      <c r="N63" s="1839"/>
      <c r="O63" s="84"/>
      <c r="P63" s="84"/>
    </row>
    <row r="64" spans="1:41" s="1229" customFormat="1" ht="14.25">
      <c r="D64" s="2059"/>
      <c r="E64" s="2059"/>
      <c r="F64" s="2059"/>
      <c r="G64" s="2059"/>
      <c r="H64" s="2059"/>
      <c r="I64" s="1839"/>
      <c r="J64" s="1839"/>
      <c r="K64" s="1839"/>
      <c r="L64" s="1839"/>
      <c r="M64" s="1839"/>
      <c r="N64" s="1839"/>
      <c r="O64" s="84"/>
      <c r="P64" s="84"/>
    </row>
    <row r="65" spans="1:16" s="1229" customFormat="1" ht="14.25">
      <c r="D65" s="2059"/>
      <c r="E65" s="2059"/>
      <c r="F65" s="2059"/>
      <c r="G65" s="2059"/>
      <c r="H65" s="2059"/>
      <c r="I65" s="1839"/>
      <c r="J65" s="1839"/>
      <c r="K65" s="1839"/>
      <c r="L65" s="1839"/>
      <c r="M65" s="1839"/>
      <c r="N65" s="1839"/>
      <c r="O65" s="84"/>
      <c r="P65" s="84"/>
    </row>
    <row r="66" spans="1:16" s="1229" customFormat="1" ht="14.25">
      <c r="A66" s="2109"/>
      <c r="D66" s="2059"/>
      <c r="E66" s="2059"/>
      <c r="F66" s="2059"/>
      <c r="G66" s="2059"/>
      <c r="H66" s="2059"/>
      <c r="I66" s="1839"/>
      <c r="J66" s="1839"/>
      <c r="K66" s="1839"/>
      <c r="L66" s="1839"/>
      <c r="M66" s="1839"/>
      <c r="N66" s="1839"/>
      <c r="O66" s="84"/>
      <c r="P66" s="84"/>
    </row>
    <row r="67" spans="1:16" s="1229" customFormat="1" ht="14.25">
      <c r="A67" s="2109"/>
      <c r="D67" s="2059"/>
      <c r="E67" s="2059"/>
      <c r="F67" s="2059"/>
      <c r="G67" s="2059"/>
      <c r="H67" s="2059"/>
      <c r="I67" s="1839"/>
      <c r="J67" s="1839"/>
      <c r="K67" s="1839"/>
      <c r="L67" s="1839"/>
      <c r="M67" s="1839"/>
      <c r="N67" s="1839"/>
      <c r="O67" s="84"/>
      <c r="P67" s="84"/>
    </row>
    <row r="68" spans="1:16" s="1229" customFormat="1" ht="14.25">
      <c r="A68" s="2109"/>
      <c r="D68" s="2059"/>
      <c r="E68" s="2059"/>
      <c r="F68" s="2059"/>
      <c r="G68" s="1837"/>
      <c r="H68" s="1837"/>
      <c r="O68" s="84"/>
      <c r="P68" s="84"/>
    </row>
    <row r="69" spans="1:16" s="1229" customFormat="1">
      <c r="A69" s="2109"/>
      <c r="D69" s="1837"/>
      <c r="E69" s="1837"/>
      <c r="F69" s="1837"/>
      <c r="G69" s="1837"/>
      <c r="H69" s="1837"/>
      <c r="O69" s="84"/>
      <c r="P69" s="84"/>
    </row>
    <row r="70" spans="1:16" s="1229" customFormat="1">
      <c r="A70" s="2109"/>
      <c r="D70" s="1837"/>
      <c r="E70" s="1837"/>
      <c r="F70" s="1837"/>
      <c r="G70" s="1837"/>
      <c r="H70" s="1837"/>
      <c r="O70" s="84"/>
      <c r="P70" s="84"/>
    </row>
    <row r="71" spans="1:16" s="1229" customFormat="1">
      <c r="A71" s="2109"/>
      <c r="D71" s="1837"/>
      <c r="E71" s="1837"/>
      <c r="F71" s="1837"/>
      <c r="G71" s="1837"/>
      <c r="H71" s="1837"/>
      <c r="O71" s="84"/>
      <c r="P71" s="84"/>
    </row>
    <row r="72" spans="1:16" s="1229" customFormat="1">
      <c r="A72" s="2109"/>
      <c r="D72" s="1837"/>
      <c r="E72" s="1837"/>
      <c r="F72" s="1837"/>
      <c r="G72" s="1837"/>
      <c r="H72" s="1837"/>
      <c r="O72" s="84"/>
      <c r="P72" s="84"/>
    </row>
    <row r="73" spans="1:16" s="1229" customFormat="1">
      <c r="A73" s="2109"/>
      <c r="D73" s="1837"/>
      <c r="E73" s="1837"/>
      <c r="F73" s="1837"/>
      <c r="G73" s="1837"/>
      <c r="H73" s="1837"/>
      <c r="O73" s="84"/>
      <c r="P73" s="84"/>
    </row>
    <row r="74" spans="1:16" s="1229" customFormat="1">
      <c r="A74" s="2109"/>
      <c r="D74" s="1837"/>
      <c r="E74" s="1837"/>
      <c r="F74" s="1837"/>
      <c r="G74" s="1837"/>
      <c r="H74" s="1837"/>
      <c r="O74" s="84"/>
      <c r="P74" s="84"/>
    </row>
    <row r="75" spans="1:16" s="1229" customFormat="1">
      <c r="A75" s="2109"/>
      <c r="D75" s="1837"/>
      <c r="E75" s="1837"/>
      <c r="F75" s="1837"/>
      <c r="G75" s="1837"/>
      <c r="H75" s="1837"/>
      <c r="O75" s="84"/>
      <c r="P75" s="84"/>
    </row>
    <row r="76" spans="1:16" s="1229" customFormat="1">
      <c r="A76" s="2109"/>
      <c r="D76" s="1837"/>
      <c r="E76" s="1837"/>
      <c r="F76" s="1837"/>
      <c r="G76" s="1837"/>
      <c r="H76" s="1837"/>
      <c r="O76" s="84"/>
      <c r="P76" s="84"/>
    </row>
    <row r="77" spans="1:16" s="1229" customFormat="1">
      <c r="A77" s="2109"/>
      <c r="D77" s="1837"/>
      <c r="E77" s="1837"/>
      <c r="F77" s="1837"/>
      <c r="G77" s="1837"/>
      <c r="H77" s="1837"/>
      <c r="O77" s="84"/>
      <c r="P77" s="84"/>
    </row>
    <row r="78" spans="1:16" s="1229" customFormat="1">
      <c r="A78" s="2109"/>
      <c r="D78" s="1837"/>
      <c r="E78" s="1837"/>
      <c r="F78" s="1837"/>
      <c r="G78" s="1837"/>
      <c r="H78" s="1837"/>
      <c r="O78" s="84"/>
      <c r="P78" s="84"/>
    </row>
    <row r="79" spans="1:16" s="1229" customFormat="1">
      <c r="A79" s="2109"/>
      <c r="D79" s="1837"/>
      <c r="E79" s="1837"/>
      <c r="F79" s="1837"/>
      <c r="G79" s="1837"/>
      <c r="H79" s="1837"/>
      <c r="O79" s="84"/>
      <c r="P79" s="84"/>
    </row>
    <row r="80" spans="1:16" s="1229" customFormat="1">
      <c r="A80" s="2109"/>
      <c r="D80" s="1837"/>
      <c r="E80" s="1837"/>
      <c r="F80" s="1837"/>
      <c r="G80" s="1837"/>
      <c r="H80" s="1837"/>
      <c r="O80" s="84"/>
      <c r="P80" s="84"/>
    </row>
    <row r="81" spans="1:16" s="1229" customFormat="1">
      <c r="A81" s="2109"/>
      <c r="D81" s="1837"/>
      <c r="E81" s="1837"/>
      <c r="F81" s="1837"/>
      <c r="G81" s="1837"/>
      <c r="H81" s="1837"/>
      <c r="O81" s="84"/>
      <c r="P81" s="84"/>
    </row>
    <row r="82" spans="1:16" s="1229" customFormat="1">
      <c r="A82" s="2109"/>
      <c r="D82" s="1837"/>
      <c r="E82" s="1837"/>
      <c r="F82" s="1837"/>
      <c r="G82" s="1837"/>
      <c r="H82" s="1837"/>
      <c r="O82" s="84"/>
      <c r="P82" s="84"/>
    </row>
    <row r="83" spans="1:16" s="1229" customFormat="1">
      <c r="A83" s="2109"/>
      <c r="D83" s="1837"/>
      <c r="E83" s="1837"/>
      <c r="F83" s="1837"/>
      <c r="G83" s="1837"/>
      <c r="H83" s="1837"/>
      <c r="O83" s="84"/>
      <c r="P83" s="84"/>
    </row>
    <row r="84" spans="1:16" s="1229" customFormat="1">
      <c r="A84" s="2109"/>
      <c r="D84" s="1837"/>
      <c r="E84" s="1837"/>
      <c r="F84" s="1837"/>
      <c r="G84" s="1837"/>
      <c r="H84" s="1837"/>
      <c r="O84" s="84"/>
      <c r="P84" s="84"/>
    </row>
    <row r="85" spans="1:16" s="1229" customFormat="1">
      <c r="A85" s="2109"/>
      <c r="D85" s="1837"/>
      <c r="E85" s="1837"/>
      <c r="F85" s="1837"/>
      <c r="G85" s="1837"/>
      <c r="H85" s="1837"/>
      <c r="O85" s="84"/>
      <c r="P85" s="84"/>
    </row>
    <row r="86" spans="1:16" s="1229" customFormat="1">
      <c r="A86" s="2109"/>
      <c r="D86" s="1837"/>
      <c r="E86" s="1837"/>
      <c r="F86" s="1837"/>
      <c r="G86" s="1837"/>
      <c r="H86" s="1837"/>
      <c r="O86" s="84"/>
      <c r="P86" s="84"/>
    </row>
    <row r="87" spans="1:16" s="1229" customFormat="1">
      <c r="A87" s="2109"/>
      <c r="D87" s="1837"/>
      <c r="E87" s="1837"/>
      <c r="F87" s="1837"/>
      <c r="G87" s="1837"/>
      <c r="H87" s="1837"/>
      <c r="O87" s="84"/>
      <c r="P87" s="84"/>
    </row>
    <row r="88" spans="1:16" s="1229" customFormat="1">
      <c r="A88" s="2109"/>
      <c r="D88" s="1837"/>
      <c r="E88" s="1837"/>
      <c r="F88" s="1837"/>
      <c r="G88" s="1837"/>
      <c r="H88" s="1837"/>
      <c r="O88" s="84"/>
      <c r="P88" s="84"/>
    </row>
    <row r="89" spans="1:16" s="1229" customFormat="1">
      <c r="A89" s="2109"/>
      <c r="D89" s="1837"/>
      <c r="E89" s="1837"/>
      <c r="F89" s="1837"/>
      <c r="G89" s="1837"/>
      <c r="H89" s="1837"/>
      <c r="O89" s="84"/>
      <c r="P89" s="84"/>
    </row>
    <row r="90" spans="1:16" s="1229" customFormat="1">
      <c r="A90" s="2109"/>
      <c r="D90" s="1837"/>
      <c r="E90" s="1837"/>
      <c r="F90" s="1837"/>
      <c r="G90" s="1837"/>
      <c r="H90" s="1837"/>
      <c r="O90" s="84"/>
      <c r="P90" s="84"/>
    </row>
    <row r="91" spans="1:16" s="1229" customFormat="1">
      <c r="A91" s="2109"/>
      <c r="D91" s="1837"/>
      <c r="E91" s="1837"/>
      <c r="F91" s="1837"/>
      <c r="G91" s="1837"/>
      <c r="H91" s="1837"/>
      <c r="O91" s="84"/>
      <c r="P91" s="84"/>
    </row>
    <row r="92" spans="1:16" s="1229" customFormat="1">
      <c r="A92" s="2109"/>
      <c r="D92" s="1837"/>
      <c r="E92" s="1837"/>
      <c r="F92" s="1837"/>
      <c r="G92" s="1837"/>
      <c r="H92" s="1837"/>
      <c r="O92" s="84"/>
      <c r="P92" s="84"/>
    </row>
    <row r="93" spans="1:16" s="1229" customFormat="1">
      <c r="A93" s="2109"/>
      <c r="D93" s="1837"/>
      <c r="E93" s="1837"/>
      <c r="F93" s="1837"/>
      <c r="G93" s="1837"/>
      <c r="H93" s="1837"/>
      <c r="O93" s="84"/>
      <c r="P93" s="84"/>
    </row>
    <row r="94" spans="1:16" s="1229" customFormat="1">
      <c r="A94" s="2109"/>
      <c r="D94" s="1837"/>
      <c r="E94" s="1837"/>
      <c r="F94" s="1837"/>
      <c r="G94" s="1837"/>
      <c r="H94" s="1837"/>
      <c r="O94" s="84"/>
      <c r="P94" s="84"/>
    </row>
    <row r="95" spans="1:16" s="1229" customFormat="1">
      <c r="A95" s="2109"/>
      <c r="D95" s="1837"/>
      <c r="E95" s="1837"/>
      <c r="F95" s="1837"/>
      <c r="G95" s="1837"/>
      <c r="H95" s="1837"/>
      <c r="O95" s="84"/>
      <c r="P95" s="84"/>
    </row>
    <row r="96" spans="1:16" s="1229" customFormat="1">
      <c r="A96" s="2109"/>
      <c r="D96" s="1837"/>
      <c r="E96" s="1837"/>
      <c r="F96" s="1837"/>
      <c r="G96" s="1837"/>
      <c r="H96" s="1837"/>
      <c r="O96" s="84"/>
      <c r="P96" s="84"/>
    </row>
    <row r="97" spans="1:16" s="1229" customFormat="1">
      <c r="A97" s="2109"/>
      <c r="D97" s="1837"/>
      <c r="E97" s="1837"/>
      <c r="F97" s="1837"/>
      <c r="G97" s="1837"/>
      <c r="H97" s="1837"/>
      <c r="O97" s="84"/>
      <c r="P97" s="84"/>
    </row>
    <row r="98" spans="1:16" s="1229" customFormat="1">
      <c r="A98" s="2109"/>
      <c r="D98" s="1837"/>
      <c r="E98" s="1837"/>
      <c r="F98" s="1837"/>
      <c r="G98" s="1837"/>
      <c r="H98" s="1837"/>
      <c r="O98" s="84"/>
      <c r="P98" s="84"/>
    </row>
    <row r="99" spans="1:16" s="1229" customFormat="1">
      <c r="A99" s="2109"/>
      <c r="D99" s="1837"/>
      <c r="E99" s="1837"/>
      <c r="F99" s="1837"/>
      <c r="G99" s="1837"/>
      <c r="H99" s="1837"/>
      <c r="O99" s="84"/>
      <c r="P99" s="84"/>
    </row>
    <row r="100" spans="1:16" s="1229" customFormat="1">
      <c r="A100" s="2109"/>
      <c r="D100" s="1837"/>
      <c r="E100" s="1837"/>
      <c r="F100" s="1837"/>
      <c r="G100" s="1837"/>
      <c r="H100" s="1837"/>
      <c r="O100" s="84"/>
      <c r="P100" s="84"/>
    </row>
    <row r="101" spans="1:16" s="1229" customFormat="1">
      <c r="A101" s="2109"/>
      <c r="D101" s="1837"/>
      <c r="E101" s="1837"/>
      <c r="F101" s="1837"/>
      <c r="G101" s="1837"/>
      <c r="H101" s="1837"/>
      <c r="O101" s="84"/>
      <c r="P101" s="84"/>
    </row>
    <row r="102" spans="1:16" s="1229" customFormat="1">
      <c r="A102" s="2109"/>
      <c r="D102" s="1837"/>
      <c r="E102" s="1837"/>
      <c r="F102" s="1837"/>
      <c r="G102" s="1837"/>
      <c r="H102" s="1837"/>
      <c r="O102" s="84"/>
      <c r="P102" s="84"/>
    </row>
    <row r="103" spans="1:16" s="1229" customFormat="1">
      <c r="A103" s="2109"/>
      <c r="D103" s="1837"/>
      <c r="E103" s="1837"/>
      <c r="F103" s="1837"/>
      <c r="G103" s="1837"/>
      <c r="H103" s="1837"/>
      <c r="O103" s="84"/>
      <c r="P103" s="84"/>
    </row>
    <row r="104" spans="1:16" s="1229" customFormat="1">
      <c r="A104" s="2109"/>
      <c r="D104" s="1837"/>
      <c r="E104" s="1837"/>
      <c r="F104" s="1837"/>
      <c r="G104" s="1837"/>
      <c r="H104" s="1837"/>
      <c r="O104" s="84"/>
      <c r="P104" s="84"/>
    </row>
    <row r="105" spans="1:16" s="1229" customFormat="1">
      <c r="A105" s="2109"/>
      <c r="D105" s="1837"/>
      <c r="E105" s="1837"/>
      <c r="F105" s="1837"/>
      <c r="G105" s="1837"/>
      <c r="H105" s="1837"/>
      <c r="O105" s="84"/>
      <c r="P105" s="84"/>
    </row>
    <row r="106" spans="1:16" s="1229" customFormat="1">
      <c r="A106" s="2109"/>
      <c r="D106" s="1837"/>
      <c r="E106" s="1837"/>
      <c r="F106" s="1837"/>
      <c r="G106" s="1837"/>
      <c r="H106" s="1837"/>
      <c r="O106" s="84"/>
      <c r="P106" s="84"/>
    </row>
    <row r="107" spans="1:16" s="1229" customFormat="1">
      <c r="A107" s="2109"/>
      <c r="D107" s="1837"/>
      <c r="E107" s="1837"/>
      <c r="F107" s="1837"/>
      <c r="G107" s="1837"/>
      <c r="H107" s="1837"/>
      <c r="O107" s="84"/>
      <c r="P107" s="84"/>
    </row>
    <row r="108" spans="1:16" s="1229" customFormat="1">
      <c r="A108" s="2109"/>
      <c r="D108" s="1837"/>
      <c r="E108" s="1837"/>
      <c r="F108" s="1837"/>
      <c r="G108" s="1837"/>
      <c r="H108" s="1837"/>
      <c r="O108" s="84"/>
      <c r="P108" s="84"/>
    </row>
    <row r="109" spans="1:16" s="1229" customFormat="1">
      <c r="A109" s="2109"/>
      <c r="D109" s="1837"/>
      <c r="E109" s="1837"/>
      <c r="F109" s="1837"/>
      <c r="G109" s="1837"/>
      <c r="H109" s="1837"/>
      <c r="O109" s="84"/>
      <c r="P109" s="84"/>
    </row>
    <row r="110" spans="1:16" s="1229" customFormat="1">
      <c r="A110" s="2109"/>
      <c r="D110" s="1837"/>
      <c r="E110" s="1837"/>
      <c r="F110" s="1837"/>
      <c r="G110" s="1837"/>
      <c r="H110" s="1837"/>
      <c r="O110" s="84"/>
      <c r="P110" s="84"/>
    </row>
    <row r="111" spans="1:16" s="1229" customFormat="1">
      <c r="A111" s="2109"/>
      <c r="D111" s="1837"/>
      <c r="E111" s="1837"/>
      <c r="F111" s="1837"/>
      <c r="G111" s="1837"/>
      <c r="H111" s="1837"/>
      <c r="O111" s="84"/>
      <c r="P111" s="84"/>
    </row>
    <row r="112" spans="1:16" s="1229" customFormat="1">
      <c r="A112" s="2109"/>
      <c r="D112" s="1837"/>
      <c r="E112" s="1837"/>
      <c r="F112" s="1837"/>
      <c r="G112" s="1837"/>
      <c r="H112" s="1837"/>
      <c r="O112" s="84"/>
      <c r="P112" s="84"/>
    </row>
    <row r="113" spans="1:16" s="1229" customFormat="1">
      <c r="A113" s="2109"/>
      <c r="D113" s="1837"/>
      <c r="E113" s="1837"/>
      <c r="F113" s="1837"/>
      <c r="G113" s="1837"/>
      <c r="H113" s="1837"/>
      <c r="O113" s="84"/>
      <c r="P113" s="84"/>
    </row>
    <row r="114" spans="1:16" s="1229" customFormat="1">
      <c r="A114" s="2109"/>
      <c r="D114" s="1837"/>
      <c r="E114" s="1837"/>
      <c r="F114" s="1837"/>
      <c r="G114" s="1837"/>
      <c r="H114" s="1837"/>
      <c r="O114" s="84"/>
      <c r="P114" s="84"/>
    </row>
    <row r="115" spans="1:16" s="1229" customFormat="1">
      <c r="A115" s="2109"/>
      <c r="D115" s="1837"/>
      <c r="E115" s="1837"/>
      <c r="F115" s="1837"/>
      <c r="G115" s="1837"/>
      <c r="H115" s="1837"/>
      <c r="O115" s="84"/>
      <c r="P115" s="84"/>
    </row>
    <row r="116" spans="1:16" s="1229" customFormat="1">
      <c r="A116" s="2109"/>
      <c r="D116" s="1837"/>
      <c r="E116" s="1837"/>
      <c r="F116" s="1837"/>
      <c r="G116" s="1837"/>
      <c r="H116" s="1837"/>
      <c r="O116" s="84"/>
      <c r="P116" s="84"/>
    </row>
    <row r="117" spans="1:16" s="1229" customFormat="1">
      <c r="A117" s="2109"/>
      <c r="D117" s="1837"/>
      <c r="E117" s="1837"/>
      <c r="F117" s="1837"/>
      <c r="G117" s="1837"/>
      <c r="H117" s="1837"/>
      <c r="O117" s="84"/>
      <c r="P117" s="84"/>
    </row>
    <row r="118" spans="1:16" s="1229" customFormat="1">
      <c r="A118" s="2109"/>
      <c r="D118" s="1837"/>
      <c r="E118" s="1837"/>
      <c r="F118" s="1837"/>
      <c r="G118" s="1837"/>
      <c r="H118" s="1837"/>
      <c r="O118" s="84"/>
      <c r="P118" s="84"/>
    </row>
    <row r="119" spans="1:16" s="1229" customFormat="1">
      <c r="A119" s="2109"/>
      <c r="D119" s="1837"/>
      <c r="E119" s="1837"/>
      <c r="F119" s="1837"/>
      <c r="G119" s="1837"/>
      <c r="H119" s="1837"/>
      <c r="O119" s="84"/>
      <c r="P119" s="84"/>
    </row>
    <row r="120" spans="1:16" s="1229" customFormat="1">
      <c r="A120" s="2109"/>
      <c r="D120" s="1837"/>
      <c r="E120" s="1837"/>
      <c r="F120" s="1837"/>
      <c r="G120" s="1837"/>
      <c r="H120" s="1837"/>
      <c r="O120" s="84"/>
      <c r="P120" s="84"/>
    </row>
    <row r="121" spans="1:16" s="1229" customFormat="1">
      <c r="A121" s="2109"/>
      <c r="D121" s="1837"/>
      <c r="E121" s="1837"/>
      <c r="F121" s="1837"/>
      <c r="G121" s="1837"/>
      <c r="H121" s="1837"/>
      <c r="O121" s="84"/>
      <c r="P121" s="84"/>
    </row>
    <row r="122" spans="1:16" s="1229" customFormat="1">
      <c r="A122" s="2109"/>
      <c r="D122" s="1837"/>
      <c r="E122" s="1837"/>
      <c r="F122" s="1837"/>
      <c r="G122" s="1837"/>
      <c r="H122" s="1837"/>
      <c r="O122" s="84"/>
      <c r="P122" s="84"/>
    </row>
    <row r="123" spans="1:16" s="1229" customFormat="1">
      <c r="A123" s="2109"/>
      <c r="D123" s="1837"/>
      <c r="E123" s="1837"/>
      <c r="F123" s="1837"/>
      <c r="G123" s="1837"/>
      <c r="H123" s="1837"/>
      <c r="O123" s="84"/>
      <c r="P123" s="84"/>
    </row>
    <row r="124" spans="1:16" s="1229" customFormat="1">
      <c r="A124" s="2109"/>
      <c r="D124" s="1837"/>
      <c r="E124" s="1837"/>
      <c r="F124" s="1837"/>
      <c r="G124" s="1837"/>
      <c r="H124" s="1837"/>
      <c r="O124" s="84"/>
      <c r="P124" s="84"/>
    </row>
    <row r="125" spans="1:16" s="1229" customFormat="1">
      <c r="A125" s="2109"/>
      <c r="D125" s="1837"/>
      <c r="E125" s="1837"/>
      <c r="F125" s="1837"/>
      <c r="G125" s="1837"/>
      <c r="H125" s="1837"/>
      <c r="O125" s="84"/>
      <c r="P125" s="84"/>
    </row>
    <row r="126" spans="1:16" s="1229" customFormat="1">
      <c r="A126" s="2109"/>
      <c r="D126" s="1837"/>
      <c r="E126" s="1837"/>
      <c r="F126" s="1837"/>
      <c r="G126" s="1837"/>
      <c r="H126" s="1837"/>
      <c r="O126" s="84"/>
      <c r="P126" s="84"/>
    </row>
    <row r="127" spans="1:16" s="1229" customFormat="1">
      <c r="A127" s="2109"/>
      <c r="D127" s="1837"/>
      <c r="E127" s="1837"/>
      <c r="F127" s="1837"/>
      <c r="G127" s="1837"/>
      <c r="H127" s="1837"/>
      <c r="O127" s="84"/>
      <c r="P127" s="84"/>
    </row>
    <row r="128" spans="1:16" s="1229" customFormat="1">
      <c r="A128" s="2109"/>
      <c r="D128" s="1837"/>
      <c r="E128" s="1837"/>
      <c r="F128" s="1837"/>
      <c r="G128" s="1837"/>
      <c r="H128" s="1837"/>
      <c r="O128" s="84"/>
      <c r="P128" s="84"/>
    </row>
    <row r="129" spans="1:16" s="1229" customFormat="1">
      <c r="A129" s="2109"/>
      <c r="D129" s="1837"/>
      <c r="E129" s="1837"/>
      <c r="F129" s="1837"/>
      <c r="G129" s="1837"/>
      <c r="H129" s="1837"/>
      <c r="O129" s="84"/>
      <c r="P129" s="84"/>
    </row>
    <row r="130" spans="1:16" s="1229" customFormat="1">
      <c r="A130" s="2109"/>
      <c r="D130" s="1837"/>
      <c r="E130" s="1837"/>
      <c r="F130" s="1837"/>
      <c r="G130" s="1837"/>
      <c r="H130" s="1837"/>
      <c r="O130" s="84"/>
      <c r="P130" s="84"/>
    </row>
    <row r="131" spans="1:16" s="1229" customFormat="1">
      <c r="A131" s="2109"/>
      <c r="D131" s="1837"/>
      <c r="E131" s="1837"/>
      <c r="F131" s="1837"/>
      <c r="G131" s="1837"/>
      <c r="H131" s="1837"/>
      <c r="O131" s="84"/>
      <c r="P131" s="84"/>
    </row>
    <row r="132" spans="1:16" s="1229" customFormat="1">
      <c r="A132" s="2109"/>
      <c r="D132" s="1837"/>
      <c r="E132" s="1837"/>
      <c r="F132" s="1837"/>
      <c r="G132" s="1837"/>
      <c r="H132" s="1837"/>
      <c r="O132" s="84"/>
      <c r="P132" s="84"/>
    </row>
    <row r="133" spans="1:16" s="1229" customFormat="1">
      <c r="A133" s="2109"/>
      <c r="D133" s="1837"/>
      <c r="E133" s="1837"/>
      <c r="F133" s="1837"/>
      <c r="G133" s="1837"/>
      <c r="H133" s="1837"/>
      <c r="O133" s="84"/>
      <c r="P133" s="84"/>
    </row>
    <row r="134" spans="1:16" s="1229" customFormat="1">
      <c r="A134" s="2109"/>
      <c r="D134" s="1837"/>
      <c r="E134" s="1837"/>
      <c r="F134" s="1837"/>
      <c r="G134" s="1837"/>
      <c r="H134" s="1837"/>
      <c r="O134" s="84"/>
      <c r="P134" s="84"/>
    </row>
    <row r="135" spans="1:16" s="1229" customFormat="1">
      <c r="A135" s="2109"/>
      <c r="D135" s="1837"/>
      <c r="E135" s="1837"/>
      <c r="F135" s="1837"/>
      <c r="G135" s="1837"/>
      <c r="H135" s="1837"/>
      <c r="O135" s="84"/>
      <c r="P135" s="84"/>
    </row>
    <row r="136" spans="1:16" s="1229" customFormat="1">
      <c r="A136" s="2109"/>
      <c r="D136" s="1837"/>
      <c r="E136" s="1837"/>
      <c r="F136" s="1837"/>
      <c r="G136" s="1837"/>
      <c r="H136" s="1837"/>
      <c r="O136" s="84"/>
      <c r="P136" s="84"/>
    </row>
    <row r="137" spans="1:16" s="1229" customFormat="1">
      <c r="A137" s="2109"/>
      <c r="D137" s="1837"/>
      <c r="E137" s="1837"/>
      <c r="F137" s="1837"/>
      <c r="G137" s="1837"/>
      <c r="H137" s="1837"/>
      <c r="O137" s="84"/>
      <c r="P137" s="84"/>
    </row>
    <row r="138" spans="1:16" s="1229" customFormat="1">
      <c r="A138" s="2109"/>
      <c r="D138" s="1837"/>
      <c r="E138" s="1837"/>
      <c r="F138" s="1837"/>
      <c r="G138" s="1837"/>
      <c r="H138" s="1837"/>
      <c r="O138" s="84"/>
      <c r="P138" s="84"/>
    </row>
    <row r="139" spans="1:16" s="1229" customFormat="1">
      <c r="A139" s="2109"/>
      <c r="D139" s="1837"/>
      <c r="E139" s="1837"/>
      <c r="F139" s="1837"/>
      <c r="G139" s="1837"/>
      <c r="H139" s="1837"/>
      <c r="O139" s="84"/>
      <c r="P139" s="84"/>
    </row>
    <row r="140" spans="1:16" s="1229" customFormat="1">
      <c r="A140" s="2109"/>
      <c r="D140" s="1837"/>
      <c r="E140" s="1837"/>
      <c r="F140" s="1837"/>
      <c r="G140" s="1837"/>
      <c r="H140" s="1837"/>
      <c r="O140" s="84"/>
      <c r="P140" s="84"/>
    </row>
    <row r="141" spans="1:16" s="1229" customFormat="1">
      <c r="A141" s="2109"/>
      <c r="D141" s="1837"/>
      <c r="E141" s="1837"/>
      <c r="F141" s="1837"/>
      <c r="G141" s="1837"/>
      <c r="H141" s="1837"/>
      <c r="O141" s="84"/>
      <c r="P141" s="84"/>
    </row>
    <row r="142" spans="1:16" s="1229" customFormat="1">
      <c r="A142" s="2109"/>
      <c r="D142" s="1837"/>
      <c r="E142" s="1837"/>
      <c r="F142" s="1837"/>
      <c r="G142" s="1837"/>
      <c r="H142" s="1837"/>
      <c r="O142" s="84"/>
      <c r="P142" s="84"/>
    </row>
    <row r="143" spans="1:16" s="1229" customFormat="1">
      <c r="A143" s="2109"/>
      <c r="D143" s="1837"/>
      <c r="E143" s="1837"/>
      <c r="F143" s="1837"/>
      <c r="G143" s="1837"/>
      <c r="H143" s="1837"/>
      <c r="O143" s="84"/>
      <c r="P143" s="84"/>
    </row>
    <row r="144" spans="1:16" s="1229" customFormat="1">
      <c r="A144" s="2109"/>
      <c r="D144" s="1837"/>
      <c r="E144" s="1837"/>
      <c r="F144" s="1837"/>
      <c r="G144" s="1837"/>
      <c r="H144" s="1837"/>
      <c r="O144" s="84"/>
      <c r="P144" s="84"/>
    </row>
    <row r="145" spans="1:16" s="1229" customFormat="1">
      <c r="A145" s="2109"/>
      <c r="D145" s="1837"/>
      <c r="E145" s="1837"/>
      <c r="F145" s="1837"/>
      <c r="G145" s="1837"/>
      <c r="H145" s="1837"/>
      <c r="O145" s="84"/>
      <c r="P145" s="84"/>
    </row>
    <row r="146" spans="1:16" s="1229" customFormat="1">
      <c r="A146" s="2109"/>
      <c r="D146" s="1837"/>
      <c r="E146" s="1837"/>
      <c r="F146" s="1837"/>
      <c r="G146" s="1837"/>
      <c r="H146" s="1837"/>
      <c r="O146" s="84"/>
      <c r="P146" s="84"/>
    </row>
    <row r="147" spans="1:16" s="1229" customFormat="1">
      <c r="A147" s="2109"/>
      <c r="D147" s="1837"/>
      <c r="E147" s="1837"/>
      <c r="F147" s="1837"/>
      <c r="G147" s="1837"/>
      <c r="H147" s="1837"/>
      <c r="O147" s="84"/>
      <c r="P147" s="84"/>
    </row>
    <row r="148" spans="1:16" s="1229" customFormat="1">
      <c r="A148" s="2109"/>
      <c r="D148" s="1837"/>
      <c r="E148" s="1837"/>
      <c r="F148" s="1837"/>
      <c r="G148" s="1837"/>
      <c r="H148" s="1837"/>
      <c r="O148" s="84"/>
      <c r="P148" s="84"/>
    </row>
    <row r="149" spans="1:16" s="1229" customFormat="1">
      <c r="A149" s="2109"/>
      <c r="D149" s="1837"/>
      <c r="E149" s="1837"/>
      <c r="F149" s="1837"/>
      <c r="G149" s="1837"/>
      <c r="H149" s="1837"/>
      <c r="O149" s="84"/>
      <c r="P149" s="84"/>
    </row>
    <row r="150" spans="1:16" s="1229" customFormat="1">
      <c r="A150" s="2109"/>
      <c r="D150" s="1837"/>
      <c r="E150" s="1837"/>
      <c r="F150" s="1837"/>
      <c r="G150" s="1837"/>
      <c r="H150" s="1837"/>
      <c r="O150" s="84"/>
      <c r="P150" s="84"/>
    </row>
    <row r="151" spans="1:16" s="1229" customFormat="1">
      <c r="A151" s="2109"/>
      <c r="D151" s="1837"/>
      <c r="E151" s="1837"/>
      <c r="F151" s="1837"/>
      <c r="G151" s="1837"/>
      <c r="H151" s="1837"/>
      <c r="O151" s="84"/>
      <c r="P151" s="84"/>
    </row>
    <row r="152" spans="1:16" s="1229" customFormat="1">
      <c r="A152" s="2109"/>
      <c r="D152" s="1837"/>
      <c r="E152" s="1837"/>
      <c r="F152" s="1837"/>
      <c r="G152" s="1837"/>
      <c r="H152" s="1837"/>
      <c r="O152" s="84"/>
      <c r="P152" s="84"/>
    </row>
    <row r="153" spans="1:16" s="1229" customFormat="1">
      <c r="A153" s="2110"/>
      <c r="B153" s="2056"/>
      <c r="D153" s="1837"/>
      <c r="E153" s="1837"/>
      <c r="F153" s="1837"/>
      <c r="G153" s="1837"/>
      <c r="H153" s="1837"/>
      <c r="O153" s="84"/>
      <c r="P153" s="84"/>
    </row>
    <row r="154" spans="1:16" s="1229" customFormat="1">
      <c r="A154" s="2110"/>
      <c r="B154" s="2056"/>
      <c r="D154" s="1837"/>
      <c r="E154" s="1837"/>
      <c r="F154" s="1837"/>
      <c r="G154" s="1837"/>
      <c r="H154" s="1837"/>
      <c r="O154" s="84"/>
      <c r="P154" s="84"/>
    </row>
    <row r="155" spans="1:16">
      <c r="D155" s="1837"/>
      <c r="E155" s="183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25" customWidth="1"/>
    <col min="2" max="2" width="24.5" style="2176" customWidth="1"/>
    <col min="3" max="3" width="24.5" style="2175" customWidth="1"/>
    <col min="4" max="4" width="2.625" style="2175" customWidth="1"/>
    <col min="5" max="5" width="5.875" style="2175" customWidth="1"/>
    <col min="6" max="6" width="27" style="2176" customWidth="1"/>
    <col min="7" max="7" width="27" style="2177" customWidth="1"/>
    <col min="8" max="8" width="11.875" style="2153" customWidth="1"/>
    <col min="9" max="9" width="16.75" style="2154" customWidth="1"/>
    <col min="10" max="10" width="2.625" style="2153" customWidth="1"/>
    <col min="11" max="11" width="11.875" style="2153" customWidth="1"/>
    <col min="12" max="12" width="16.75" style="2154" customWidth="1"/>
    <col min="13" max="13" width="2.625" style="2153" customWidth="1"/>
    <col min="14" max="14" width="11.875" style="2153" customWidth="1"/>
    <col min="15" max="15" width="16.75" style="2154" customWidth="1"/>
    <col min="16" max="16" width="2.625" style="2153" customWidth="1"/>
    <col min="17" max="17" width="11.875" style="2153" customWidth="1"/>
    <col min="18" max="18" width="16.75" style="2155" customWidth="1"/>
    <col min="19" max="29" width="9" style="2124"/>
    <col min="30" max="16384" width="9" style="2125"/>
  </cols>
  <sheetData>
    <row r="1" spans="1:29" s="2117" customFormat="1" ht="19.5" thickBot="1">
      <c r="A1" s="2867" t="s">
        <v>1724</v>
      </c>
      <c r="B1" s="2868"/>
      <c r="C1" s="2868"/>
      <c r="D1" s="2868"/>
      <c r="E1" s="2868"/>
      <c r="F1" s="2868"/>
      <c r="G1" s="2868"/>
      <c r="H1" s="2112"/>
      <c r="I1" s="2113"/>
      <c r="J1" s="2112"/>
      <c r="K1" s="2112"/>
      <c r="L1" s="2113"/>
      <c r="M1" s="2112"/>
      <c r="N1" s="2112"/>
      <c r="O1" s="2113"/>
      <c r="P1" s="2112"/>
      <c r="Q1" s="2114"/>
      <c r="R1" s="2115"/>
      <c r="S1" s="2116"/>
      <c r="T1" s="2116"/>
      <c r="U1" s="2116"/>
      <c r="V1" s="2116"/>
      <c r="W1" s="2116"/>
      <c r="X1" s="2116"/>
      <c r="Y1" s="2116"/>
      <c r="Z1" s="2116"/>
      <c r="AA1" s="2116"/>
      <c r="AB1" s="2116"/>
      <c r="AC1" s="2116"/>
    </row>
    <row r="2" spans="1:29" ht="15.75" thickBot="1">
      <c r="A2" s="2118"/>
      <c r="B2" s="2119"/>
      <c r="C2" s="2120" t="s">
        <v>1725</v>
      </c>
      <c r="D2" s="2121"/>
      <c r="E2" s="2122"/>
      <c r="F2" s="2123"/>
      <c r="G2" s="2120" t="s">
        <v>1726</v>
      </c>
      <c r="H2" s="2124"/>
      <c r="I2" s="2124"/>
      <c r="J2" s="2124"/>
      <c r="K2" s="2124"/>
      <c r="L2" s="2124"/>
      <c r="M2" s="2124"/>
      <c r="N2" s="2124"/>
      <c r="O2" s="2124"/>
      <c r="P2" s="2124"/>
      <c r="Q2" s="2124"/>
      <c r="R2" s="2124"/>
    </row>
    <row r="3" spans="1:29" ht="54">
      <c r="A3" s="395" t="s">
        <v>1727</v>
      </c>
      <c r="B3" s="2126" t="s">
        <v>1728</v>
      </c>
      <c r="C3" s="2127" t="s">
        <v>1729</v>
      </c>
      <c r="D3" s="2128"/>
      <c r="E3" s="411" t="s">
        <v>1727</v>
      </c>
      <c r="F3" s="2129" t="s">
        <v>1730</v>
      </c>
      <c r="G3" s="2130" t="s">
        <v>1731</v>
      </c>
      <c r="H3" s="2124"/>
      <c r="I3" s="2124"/>
      <c r="J3" s="2124"/>
      <c r="K3" s="2124"/>
      <c r="L3" s="2124"/>
      <c r="M3" s="2124"/>
      <c r="N3" s="2124"/>
      <c r="O3" s="2124"/>
      <c r="P3" s="2124"/>
      <c r="Q3" s="2124"/>
      <c r="R3" s="2124"/>
    </row>
    <row r="4" spans="1:29" ht="41.25">
      <c r="A4" s="411"/>
      <c r="B4" s="1870" t="s">
        <v>1732</v>
      </c>
      <c r="C4" s="2131" t="s">
        <v>1733</v>
      </c>
      <c r="D4" s="2128"/>
      <c r="E4" s="2132"/>
      <c r="F4" s="2133" t="s">
        <v>1734</v>
      </c>
      <c r="G4" s="2134" t="s">
        <v>1735</v>
      </c>
      <c r="H4" s="2124"/>
      <c r="I4" s="2124"/>
      <c r="J4" s="2124"/>
      <c r="K4" s="2124"/>
      <c r="L4" s="2124"/>
      <c r="M4" s="2124"/>
      <c r="N4" s="2124"/>
      <c r="O4" s="2124"/>
      <c r="P4" s="2124"/>
      <c r="Q4" s="2124"/>
      <c r="R4" s="2124"/>
    </row>
    <row r="5" spans="1:29" ht="41.25">
      <c r="A5" s="411"/>
      <c r="B5" s="1870" t="s">
        <v>1736</v>
      </c>
      <c r="C5" s="2131" t="s">
        <v>1737</v>
      </c>
      <c r="D5" s="2128"/>
      <c r="E5" s="2132"/>
      <c r="F5" s="1870" t="s">
        <v>1738</v>
      </c>
      <c r="G5" s="2134" t="s">
        <v>1739</v>
      </c>
      <c r="H5" s="2124"/>
      <c r="I5" s="2124"/>
      <c r="J5" s="2124"/>
      <c r="K5" s="2124"/>
      <c r="L5" s="2124"/>
      <c r="M5" s="2124"/>
      <c r="N5" s="2124"/>
      <c r="O5" s="2124"/>
      <c r="P5" s="2124"/>
      <c r="Q5" s="2124"/>
      <c r="R5" s="2124"/>
    </row>
    <row r="6" spans="1:29" ht="54">
      <c r="A6" s="411"/>
      <c r="B6" s="1870" t="s">
        <v>1740</v>
      </c>
      <c r="C6" s="2134" t="s">
        <v>1735</v>
      </c>
      <c r="D6" s="2128"/>
      <c r="E6" s="2132"/>
      <c r="F6" s="1870" t="s">
        <v>1741</v>
      </c>
      <c r="G6" s="2134" t="s">
        <v>1742</v>
      </c>
      <c r="H6" s="2124"/>
      <c r="I6" s="2124"/>
      <c r="J6" s="2124"/>
      <c r="K6" s="2124"/>
      <c r="L6" s="2124"/>
      <c r="M6" s="2124"/>
      <c r="N6" s="2124"/>
      <c r="O6" s="2124"/>
      <c r="P6" s="2124"/>
      <c r="Q6" s="2124"/>
      <c r="R6" s="2124"/>
    </row>
    <row r="7" spans="1:29" ht="41.25" thickBot="1">
      <c r="A7" s="411"/>
      <c r="B7" s="1870" t="s">
        <v>1738</v>
      </c>
      <c r="C7" s="2134" t="s">
        <v>1739</v>
      </c>
      <c r="D7" s="2135"/>
      <c r="E7" s="2136"/>
      <c r="F7" s="2137" t="s">
        <v>1743</v>
      </c>
      <c r="G7" s="2138" t="s">
        <v>1744</v>
      </c>
      <c r="H7" s="2124"/>
      <c r="I7" s="2124"/>
      <c r="J7" s="2124"/>
      <c r="K7" s="2124"/>
      <c r="L7" s="2124"/>
      <c r="M7" s="2124"/>
      <c r="N7" s="2124"/>
      <c r="O7" s="2124"/>
      <c r="P7" s="2124"/>
      <c r="Q7" s="2124"/>
      <c r="R7" s="2124"/>
    </row>
    <row r="8" spans="1:29" ht="27">
      <c r="A8" s="411"/>
      <c r="B8" s="1870" t="s">
        <v>1741</v>
      </c>
      <c r="C8" s="2134" t="s">
        <v>1742</v>
      </c>
      <c r="D8" s="2135"/>
      <c r="E8" s="2135"/>
      <c r="F8" s="1238"/>
      <c r="G8" s="1238"/>
      <c r="H8" s="2124"/>
      <c r="I8" s="2124"/>
      <c r="J8" s="2124"/>
      <c r="K8" s="2124"/>
      <c r="L8" s="2124"/>
      <c r="M8" s="2124"/>
      <c r="N8" s="2124"/>
      <c r="O8" s="2124"/>
      <c r="P8" s="2124"/>
      <c r="Q8" s="2124"/>
      <c r="R8" s="2124"/>
    </row>
    <row r="9" spans="1:29" ht="27">
      <c r="A9" s="411"/>
      <c r="B9" s="1870" t="s">
        <v>1745</v>
      </c>
      <c r="C9" s="2131" t="s">
        <v>1746</v>
      </c>
      <c r="D9" s="2128"/>
      <c r="E9" s="2135"/>
      <c r="F9" s="1238"/>
      <c r="G9" s="1238"/>
      <c r="H9" s="2124"/>
      <c r="I9" s="2124"/>
      <c r="J9" s="2124"/>
      <c r="K9" s="2124"/>
      <c r="L9" s="2124"/>
      <c r="M9" s="2124"/>
      <c r="N9" s="2124"/>
      <c r="O9" s="2124"/>
      <c r="P9" s="2124"/>
      <c r="Q9" s="2124"/>
      <c r="R9" s="2124"/>
    </row>
    <row r="10" spans="1:29" s="35" customFormat="1" ht="15.75" thickBot="1">
      <c r="A10" s="2139"/>
      <c r="B10" s="2140" t="s">
        <v>1747</v>
      </c>
      <c r="C10" s="2141"/>
      <c r="D10" s="2128"/>
      <c r="E10" s="2128"/>
      <c r="F10" s="1238"/>
      <c r="G10" s="1238"/>
      <c r="H10" s="2142"/>
      <c r="I10" s="2143"/>
      <c r="J10" s="2144"/>
      <c r="K10" s="2142"/>
      <c r="L10" s="2143"/>
      <c r="M10" s="2144"/>
      <c r="N10" s="2142"/>
      <c r="O10" s="2143"/>
      <c r="P10" s="2144"/>
      <c r="Q10" s="2142"/>
      <c r="R10" s="2143"/>
      <c r="S10" s="2124"/>
      <c r="T10" s="2124"/>
      <c r="U10" s="2124"/>
      <c r="V10" s="2124"/>
      <c r="W10" s="2124"/>
      <c r="X10" s="2124"/>
      <c r="Y10" s="2124"/>
      <c r="Z10" s="2124"/>
      <c r="AA10" s="2124"/>
      <c r="AB10" s="2124"/>
      <c r="AC10" s="2124"/>
    </row>
    <row r="11" spans="1:29" s="35" customFormat="1" ht="15">
      <c r="A11" s="2145"/>
      <c r="B11" s="2135"/>
      <c r="C11" s="2128"/>
      <c r="D11" s="2128"/>
      <c r="E11" s="2128"/>
      <c r="F11" s="2135"/>
      <c r="G11" s="1258"/>
      <c r="H11" s="2142"/>
      <c r="I11" s="2143"/>
      <c r="J11" s="2144"/>
      <c r="K11" s="2142"/>
      <c r="L11" s="2143"/>
      <c r="M11" s="2144"/>
      <c r="N11" s="2142"/>
      <c r="O11" s="2143"/>
      <c r="P11" s="2144"/>
      <c r="Q11" s="2142"/>
      <c r="R11" s="2143"/>
      <c r="S11" s="2124"/>
      <c r="T11" s="2124"/>
      <c r="U11" s="2124"/>
      <c r="V11" s="2124"/>
      <c r="W11" s="2124"/>
      <c r="X11" s="2124"/>
      <c r="Y11" s="2124"/>
      <c r="Z11" s="2124"/>
      <c r="AA11" s="2124"/>
      <c r="AB11" s="2124"/>
      <c r="AC11" s="2124"/>
    </row>
    <row r="12" spans="1:29" s="2117" customFormat="1" ht="18">
      <c r="A12" s="2145"/>
      <c r="B12" s="2135"/>
      <c r="C12" s="2128"/>
      <c r="D12" s="2146"/>
      <c r="E12" s="2128"/>
      <c r="F12" s="2135"/>
      <c r="G12" s="1258"/>
      <c r="H12" s="2147"/>
      <c r="I12" s="2148"/>
      <c r="J12" s="2147"/>
      <c r="K12" s="2147"/>
      <c r="L12" s="2149"/>
      <c r="M12" s="2147"/>
      <c r="N12" s="2150"/>
      <c r="O12" s="2151"/>
      <c r="P12" s="2150"/>
      <c r="Q12" s="2150"/>
      <c r="R12" s="2115"/>
      <c r="S12" s="2116"/>
      <c r="T12" s="2116"/>
      <c r="U12" s="2116"/>
      <c r="V12" s="2116"/>
      <c r="W12" s="2116"/>
      <c r="X12" s="2116"/>
      <c r="Y12" s="2116"/>
      <c r="Z12" s="2116"/>
      <c r="AA12" s="2116"/>
      <c r="AB12" s="2116"/>
      <c r="AC12" s="2116"/>
    </row>
    <row r="13" spans="1:29" ht="19.5" thickBot="1">
      <c r="A13" s="2152" t="s">
        <v>1748</v>
      </c>
      <c r="B13" s="2146"/>
      <c r="C13" s="2146"/>
      <c r="D13" s="2121"/>
      <c r="E13" s="2146"/>
      <c r="F13" s="2146"/>
      <c r="G13" s="2146"/>
    </row>
    <row r="14" spans="1:29" ht="15.75" thickBot="1">
      <c r="A14" s="2156"/>
      <c r="B14" s="2157"/>
      <c r="C14" s="2158" t="s">
        <v>1749</v>
      </c>
      <c r="D14" s="2128"/>
      <c r="E14" s="2159"/>
      <c r="F14" s="2159"/>
      <c r="G14" s="2120" t="s">
        <v>1750</v>
      </c>
    </row>
    <row r="15" spans="1:29" ht="57">
      <c r="A15" s="25" t="s">
        <v>1751</v>
      </c>
      <c r="B15" s="2160" t="s">
        <v>1728</v>
      </c>
      <c r="C15" s="2161" t="str">
        <f>C3</f>
        <v>估价对象周边居住用地比例、居住小区规模和社区发展完善程度，综合评价居住社区成熟度一般</v>
      </c>
      <c r="D15" s="2128"/>
      <c r="E15" s="2162" t="s">
        <v>1752</v>
      </c>
      <c r="F15" s="2160" t="s">
        <v>1753</v>
      </c>
      <c r="G15" s="51" t="str">
        <f>G3</f>
        <v>估价对象位于XX开发区，园区建设成熟度XX，产业集聚程度XX</v>
      </c>
    </row>
    <row r="16" spans="1:29" ht="42.75">
      <c r="A16" s="629"/>
      <c r="B16" s="1485" t="s">
        <v>1732</v>
      </c>
      <c r="C16" s="2163" t="str">
        <f>C4</f>
        <v>估价对象位于XX商圈，周边商业氛围成熟，人流量大，商业繁华度好</v>
      </c>
      <c r="D16" s="2128"/>
      <c r="E16" s="2164"/>
      <c r="F16" s="2165" t="s">
        <v>1734</v>
      </c>
      <c r="G16" s="52" t="str">
        <f>G4</f>
        <v>估价对象周边道路状况、公共交通通达情况、停车便捷程度，综合评价交通便捷度较好</v>
      </c>
    </row>
    <row r="17" spans="1:18" ht="42.75">
      <c r="A17" s="629"/>
      <c r="B17" s="1485" t="s">
        <v>1736</v>
      </c>
      <c r="C17" s="2163" t="str">
        <f>C5</f>
        <v>估价对象位于XX商圈，周边办公楼项目较多，入驻率高，办公集聚程度较好</v>
      </c>
      <c r="D17" s="2135"/>
      <c r="E17" s="2164"/>
      <c r="F17" s="2165" t="s">
        <v>1754</v>
      </c>
      <c r="G17" s="2166"/>
    </row>
    <row r="18" spans="1:18" ht="57">
      <c r="A18" s="629"/>
      <c r="B18" s="2165" t="s">
        <v>1740</v>
      </c>
      <c r="C18" s="52" t="str">
        <f>C6</f>
        <v>估价对象周边道路状况、公共交通通达情况、停车便捷程度，综合评价交通便捷度较好</v>
      </c>
      <c r="D18" s="2135"/>
      <c r="E18" s="2164"/>
      <c r="F18" s="2165" t="s">
        <v>1743</v>
      </c>
      <c r="G18" s="52" t="str">
        <f>G7</f>
        <v>该园区内是否有污染型企业，绿化情况，卫生条件，整体环境状况判断</v>
      </c>
    </row>
    <row r="19" spans="1:18" ht="28.5">
      <c r="A19" s="629"/>
      <c r="B19" s="2165" t="s">
        <v>1755</v>
      </c>
      <c r="C19" s="2166"/>
      <c r="D19" s="2128"/>
      <c r="E19" s="2164"/>
      <c r="F19" s="1870" t="s">
        <v>1738</v>
      </c>
      <c r="G19" s="52" t="str">
        <f>G5</f>
        <v>估价对象所在区域公共配套设施齐备情况</v>
      </c>
    </row>
    <row r="20" spans="1:18" ht="28.5">
      <c r="A20" s="629"/>
      <c r="B20" s="2165" t="s">
        <v>1756</v>
      </c>
      <c r="C20" s="2163" t="str">
        <f>C9</f>
        <v>区域自然环境：；人文环境；综合评价环境状况一般</v>
      </c>
      <c r="D20" s="2135"/>
      <c r="E20" s="2164"/>
      <c r="F20" s="1870" t="s">
        <v>1757</v>
      </c>
      <c r="G20" s="52" t="str">
        <f>G6</f>
        <v>估价对象所在区域基础设施水平</v>
      </c>
    </row>
    <row r="21" spans="1:18" ht="28.5">
      <c r="A21" s="629"/>
      <c r="B21" s="1870" t="s">
        <v>1738</v>
      </c>
      <c r="C21" s="52" t="str">
        <f>C7</f>
        <v>估价对象所在区域公共配套设施齐备情况</v>
      </c>
      <c r="D21" s="2128"/>
      <c r="E21" s="2164"/>
      <c r="F21" s="2165" t="s">
        <v>1758</v>
      </c>
      <c r="G21" s="2167"/>
    </row>
    <row r="22" spans="1:18" ht="28.5">
      <c r="A22" s="629"/>
      <c r="B22" s="1870" t="s">
        <v>1741</v>
      </c>
      <c r="C22" s="52" t="str">
        <f>C8</f>
        <v>估价对象所在区域基础设施水平</v>
      </c>
      <c r="D22" s="2128"/>
      <c r="E22" s="2164"/>
      <c r="F22" s="2165" t="s">
        <v>1747</v>
      </c>
      <c r="G22" s="2168"/>
    </row>
    <row r="23" spans="1:18" s="2124" customFormat="1" ht="15.75" thickBot="1">
      <c r="A23" s="629"/>
      <c r="B23" s="2165" t="s">
        <v>1758</v>
      </c>
      <c r="C23" s="2167"/>
      <c r="D23" s="2153"/>
      <c r="E23" s="2169"/>
      <c r="F23" s="2170" t="s">
        <v>1759</v>
      </c>
      <c r="G23" s="2171"/>
      <c r="H23" s="2153"/>
      <c r="I23" s="2154"/>
      <c r="J23" s="2153"/>
      <c r="K23" s="2153"/>
      <c r="L23" s="2154"/>
      <c r="M23" s="2153"/>
      <c r="N23" s="2153"/>
      <c r="O23" s="2154"/>
      <c r="P23" s="2153"/>
      <c r="Q23" s="2153"/>
      <c r="R23" s="2155"/>
    </row>
    <row r="24" spans="1:18" s="2124" customFormat="1" ht="15.75" thickBot="1">
      <c r="A24" s="2172"/>
      <c r="B24" s="2170" t="s">
        <v>1760</v>
      </c>
      <c r="C24" s="53">
        <f>C10</f>
        <v>0</v>
      </c>
      <c r="D24" s="2153"/>
      <c r="E24" s="2173"/>
      <c r="F24" s="2173"/>
      <c r="G24" s="2174"/>
      <c r="H24" s="2153"/>
      <c r="I24" s="2154"/>
      <c r="J24" s="2153"/>
      <c r="K24" s="2153"/>
      <c r="L24" s="2154"/>
      <c r="M24" s="2153"/>
      <c r="N24" s="2153"/>
      <c r="O24" s="2154"/>
      <c r="P24" s="2153"/>
      <c r="Q24" s="2153"/>
      <c r="R24" s="2155"/>
    </row>
    <row r="25" spans="1:18" s="2124" customFormat="1">
      <c r="B25" s="2153"/>
      <c r="C25" s="2153"/>
      <c r="D25" s="2153"/>
      <c r="H25" s="2153"/>
      <c r="I25" s="2154"/>
      <c r="J25" s="2153"/>
      <c r="K25" s="2153"/>
      <c r="L25" s="2154"/>
      <c r="M25" s="2153"/>
      <c r="N25" s="2153"/>
      <c r="O25" s="2154"/>
      <c r="P25" s="2153"/>
      <c r="Q25" s="2153"/>
      <c r="R25" s="2155"/>
    </row>
    <row r="26" spans="1:18" s="2124" customFormat="1">
      <c r="B26" s="2153"/>
      <c r="C26" s="2153"/>
      <c r="D26" s="2153"/>
      <c r="H26" s="2153"/>
      <c r="I26" s="2154"/>
      <c r="J26" s="2153"/>
      <c r="K26" s="2153"/>
      <c r="L26" s="2154"/>
      <c r="M26" s="2153"/>
      <c r="N26" s="2153"/>
      <c r="O26" s="2154"/>
      <c r="P26" s="2153"/>
      <c r="Q26" s="2153"/>
      <c r="R26" s="2155"/>
    </row>
    <row r="27" spans="1:18" s="2124" customFormat="1">
      <c r="B27" s="2153"/>
      <c r="C27" s="2153"/>
      <c r="D27" s="2153"/>
      <c r="H27" s="2153"/>
      <c r="I27" s="2154"/>
      <c r="J27" s="2153"/>
      <c r="K27" s="2153"/>
      <c r="L27" s="2154"/>
      <c r="M27" s="2153"/>
      <c r="N27" s="2153"/>
      <c r="O27" s="2154"/>
      <c r="P27" s="2153"/>
      <c r="Q27" s="2153"/>
      <c r="R27" s="2155"/>
    </row>
    <row r="28" spans="1:18" s="2124" customFormat="1">
      <c r="B28" s="2153"/>
      <c r="C28" s="2153"/>
      <c r="D28" s="2153"/>
      <c r="H28" s="2153"/>
      <c r="I28" s="2154"/>
      <c r="J28" s="2153"/>
      <c r="K28" s="2153"/>
      <c r="L28" s="2154"/>
      <c r="M28" s="2153"/>
      <c r="N28" s="2153"/>
      <c r="O28" s="2154"/>
      <c r="P28" s="2153"/>
      <c r="Q28" s="2153"/>
      <c r="R28" s="2155"/>
    </row>
    <row r="29" spans="1:18" s="2124" customFormat="1">
      <c r="B29" s="2153"/>
      <c r="C29" s="2153"/>
      <c r="D29" s="2153"/>
      <c r="H29" s="2153"/>
      <c r="I29" s="2154"/>
      <c r="J29" s="2153"/>
      <c r="K29" s="2153"/>
      <c r="L29" s="2154"/>
      <c r="M29" s="2153"/>
      <c r="N29" s="2153"/>
      <c r="O29" s="2154"/>
      <c r="P29" s="2153"/>
      <c r="Q29" s="2153"/>
      <c r="R29" s="2155"/>
    </row>
    <row r="30" spans="1:18" s="2124" customFormat="1">
      <c r="B30" s="2153"/>
      <c r="C30" s="2153"/>
      <c r="D30" s="2153"/>
      <c r="H30" s="2153"/>
      <c r="I30" s="2154"/>
      <c r="J30" s="2153"/>
      <c r="K30" s="2153"/>
      <c r="L30" s="2154"/>
      <c r="M30" s="2153"/>
      <c r="N30" s="2153"/>
      <c r="O30" s="2154"/>
      <c r="P30" s="2153"/>
      <c r="Q30" s="2153"/>
      <c r="R30" s="2155"/>
    </row>
    <row r="31" spans="1:18" s="2124" customFormat="1">
      <c r="B31" s="2153"/>
      <c r="C31" s="2153"/>
      <c r="D31" s="2153"/>
      <c r="H31" s="2153"/>
      <c r="I31" s="2154"/>
      <c r="J31" s="2153"/>
      <c r="K31" s="2153"/>
      <c r="L31" s="2154"/>
      <c r="M31" s="2153"/>
      <c r="N31" s="2153"/>
      <c r="O31" s="2154"/>
      <c r="P31" s="2153"/>
      <c r="Q31" s="2153"/>
      <c r="R31" s="2155"/>
    </row>
    <row r="32" spans="1:18" s="2124" customFormat="1">
      <c r="B32" s="2153"/>
      <c r="C32" s="2153"/>
      <c r="D32" s="2153"/>
      <c r="H32" s="2153"/>
      <c r="I32" s="2154"/>
      <c r="J32" s="2153"/>
      <c r="K32" s="2153"/>
      <c r="L32" s="2154"/>
      <c r="M32" s="2153"/>
      <c r="N32" s="2153"/>
      <c r="O32" s="2154"/>
      <c r="P32" s="2153"/>
      <c r="Q32" s="2153"/>
      <c r="R32" s="2155"/>
    </row>
    <row r="33" spans="2:18" s="2124" customFormat="1">
      <c r="B33" s="2153"/>
      <c r="C33" s="2153"/>
      <c r="D33" s="2153"/>
      <c r="H33" s="2153"/>
      <c r="I33" s="2154"/>
      <c r="J33" s="2153"/>
      <c r="K33" s="2153"/>
      <c r="L33" s="2154"/>
      <c r="M33" s="2153"/>
      <c r="N33" s="2153"/>
      <c r="O33" s="2154"/>
      <c r="P33" s="2153"/>
      <c r="Q33" s="2153"/>
      <c r="R33" s="2155"/>
    </row>
    <row r="34" spans="2:18" s="2124" customFormat="1">
      <c r="B34" s="2153"/>
      <c r="C34" s="2153"/>
      <c r="D34" s="2153"/>
      <c r="H34" s="2153"/>
      <c r="I34" s="2154"/>
      <c r="J34" s="2153"/>
      <c r="K34" s="2153"/>
      <c r="L34" s="2154"/>
      <c r="M34" s="2153"/>
      <c r="N34" s="2153"/>
      <c r="O34" s="2154"/>
      <c r="P34" s="2153"/>
      <c r="Q34" s="2153"/>
      <c r="R34" s="2155"/>
    </row>
    <row r="35" spans="2:18" s="2124" customFormat="1">
      <c r="B35" s="2153"/>
      <c r="C35" s="2153"/>
      <c r="D35" s="2153"/>
      <c r="H35" s="2153"/>
      <c r="I35" s="2154"/>
      <c r="J35" s="2153"/>
      <c r="K35" s="2153"/>
      <c r="L35" s="2154"/>
      <c r="M35" s="2153"/>
      <c r="N35" s="2153"/>
      <c r="O35" s="2154"/>
      <c r="P35" s="2153"/>
      <c r="Q35" s="2153"/>
      <c r="R35" s="2155"/>
    </row>
    <row r="36" spans="2:18" s="2124" customFormat="1">
      <c r="B36" s="2153"/>
      <c r="C36" s="2153"/>
      <c r="D36" s="2153"/>
      <c r="H36" s="2153"/>
      <c r="I36" s="2154"/>
      <c r="J36" s="2153"/>
      <c r="K36" s="2153"/>
      <c r="L36" s="2154"/>
      <c r="M36" s="2153"/>
      <c r="N36" s="2153"/>
      <c r="O36" s="2154"/>
      <c r="P36" s="2153"/>
      <c r="Q36" s="2153"/>
      <c r="R36" s="2155"/>
    </row>
    <row r="37" spans="2:18" s="2124" customFormat="1">
      <c r="B37" s="2153"/>
      <c r="C37" s="2153"/>
      <c r="D37" s="2153"/>
      <c r="H37" s="2153"/>
      <c r="I37" s="2154"/>
      <c r="J37" s="2153"/>
      <c r="K37" s="2153"/>
      <c r="L37" s="2154"/>
      <c r="M37" s="2153"/>
      <c r="N37" s="2153"/>
      <c r="O37" s="2154"/>
      <c r="P37" s="2153"/>
      <c r="Q37" s="2153"/>
      <c r="R37" s="2155"/>
    </row>
    <row r="38" spans="2:18" s="2124" customFormat="1">
      <c r="B38" s="2153"/>
      <c r="C38" s="2153"/>
      <c r="D38" s="2153"/>
      <c r="E38" s="2153"/>
      <c r="F38" s="2153"/>
      <c r="G38" s="2154"/>
      <c r="H38" s="2153"/>
      <c r="I38" s="2154"/>
      <c r="J38" s="2153"/>
      <c r="K38" s="2153"/>
      <c r="L38" s="2154"/>
      <c r="M38" s="2153"/>
      <c r="N38" s="2153"/>
      <c r="O38" s="2154"/>
      <c r="P38" s="2153"/>
      <c r="Q38" s="2153"/>
      <c r="R38" s="2155"/>
    </row>
    <row r="39" spans="2:18" s="2124" customFormat="1">
      <c r="B39" s="2153"/>
      <c r="C39" s="2153"/>
      <c r="D39" s="2153"/>
      <c r="E39" s="2153"/>
      <c r="F39" s="2153"/>
      <c r="G39" s="2154"/>
      <c r="H39" s="2153"/>
      <c r="I39" s="2154"/>
      <c r="J39" s="2153"/>
      <c r="K39" s="2153"/>
      <c r="L39" s="2154"/>
      <c r="M39" s="2153"/>
      <c r="N39" s="2153"/>
      <c r="O39" s="2154"/>
      <c r="P39" s="2153"/>
      <c r="Q39" s="2153"/>
      <c r="R39" s="2155"/>
    </row>
    <row r="40" spans="2:18" s="2124" customFormat="1">
      <c r="B40" s="2153"/>
      <c r="C40" s="2153"/>
      <c r="D40" s="2153"/>
      <c r="E40" s="2153"/>
      <c r="F40" s="2153"/>
      <c r="G40" s="2154"/>
      <c r="H40" s="2153"/>
      <c r="I40" s="2154"/>
      <c r="J40" s="2153"/>
      <c r="K40" s="2153"/>
      <c r="L40" s="2154"/>
      <c r="M40" s="2153"/>
      <c r="N40" s="2153"/>
      <c r="O40" s="2154"/>
      <c r="P40" s="2153"/>
      <c r="Q40" s="2153"/>
      <c r="R40" s="2155"/>
    </row>
    <row r="41" spans="2:18" s="2124" customFormat="1">
      <c r="B41" s="2153"/>
      <c r="C41" s="2153"/>
      <c r="D41" s="2153"/>
      <c r="E41" s="2153"/>
      <c r="F41" s="2153"/>
      <c r="G41" s="2154"/>
      <c r="H41" s="2153"/>
      <c r="I41" s="2154"/>
      <c r="J41" s="2153"/>
      <c r="K41" s="2153"/>
      <c r="L41" s="2154"/>
      <c r="M41" s="2153"/>
      <c r="N41" s="2153"/>
      <c r="O41" s="2154"/>
      <c r="P41" s="2153"/>
      <c r="Q41" s="2153"/>
      <c r="R41" s="2155"/>
    </row>
    <row r="42" spans="2:18" s="2124" customFormat="1">
      <c r="B42" s="2153"/>
      <c r="C42" s="2153"/>
      <c r="D42" s="2153"/>
      <c r="E42" s="2153"/>
      <c r="F42" s="2153"/>
      <c r="G42" s="2154"/>
      <c r="H42" s="2153"/>
      <c r="I42" s="2154"/>
      <c r="J42" s="2153"/>
      <c r="K42" s="2153"/>
      <c r="L42" s="2154"/>
      <c r="M42" s="2153"/>
      <c r="N42" s="2153"/>
      <c r="O42" s="2154"/>
      <c r="P42" s="2153"/>
      <c r="Q42" s="2153"/>
      <c r="R42" s="2155"/>
    </row>
    <row r="43" spans="2:18" s="2124" customFormat="1">
      <c r="B43" s="2153"/>
      <c r="C43" s="2153"/>
      <c r="D43" s="2153"/>
      <c r="E43" s="2153"/>
      <c r="F43" s="2153"/>
      <c r="G43" s="2154"/>
      <c r="H43" s="2153"/>
      <c r="I43" s="2154"/>
      <c r="J43" s="2153"/>
      <c r="K43" s="2153"/>
      <c r="L43" s="2154"/>
      <c r="M43" s="2153"/>
      <c r="N43" s="2153"/>
      <c r="O43" s="2154"/>
      <c r="P43" s="2153"/>
      <c r="Q43" s="2153"/>
      <c r="R43" s="2155"/>
    </row>
    <row r="44" spans="2:18" s="2124" customFormat="1">
      <c r="B44" s="2153"/>
      <c r="C44" s="2153"/>
      <c r="D44" s="2153"/>
      <c r="E44" s="2153"/>
      <c r="F44" s="2153"/>
      <c r="G44" s="2154"/>
      <c r="H44" s="2153"/>
      <c r="I44" s="2154"/>
      <c r="J44" s="2153"/>
      <c r="K44" s="2153"/>
      <c r="L44" s="2154"/>
      <c r="M44" s="2153"/>
      <c r="N44" s="2153"/>
      <c r="O44" s="2154"/>
      <c r="P44" s="2153"/>
      <c r="Q44" s="2153"/>
      <c r="R44" s="2155"/>
    </row>
    <row r="45" spans="2:18" s="2124" customFormat="1">
      <c r="B45" s="2153"/>
      <c r="C45" s="2153"/>
      <c r="D45" s="2153"/>
      <c r="E45" s="2153"/>
      <c r="F45" s="2153"/>
      <c r="G45" s="2154"/>
      <c r="H45" s="2153"/>
      <c r="I45" s="2154"/>
      <c r="J45" s="2153"/>
      <c r="K45" s="2153"/>
      <c r="L45" s="2154"/>
      <c r="M45" s="2153"/>
      <c r="N45" s="2153"/>
      <c r="O45" s="2154"/>
      <c r="P45" s="2153"/>
      <c r="Q45" s="2153"/>
      <c r="R45" s="2155"/>
    </row>
    <row r="46" spans="2:18" s="2124" customFormat="1">
      <c r="B46" s="2153"/>
      <c r="C46" s="2153"/>
      <c r="D46" s="2153"/>
      <c r="E46" s="2153"/>
      <c r="F46" s="2153"/>
      <c r="G46" s="2154"/>
      <c r="H46" s="2153"/>
      <c r="I46" s="2154"/>
      <c r="J46" s="2153"/>
      <c r="K46" s="2153"/>
      <c r="L46" s="2154"/>
      <c r="M46" s="2153"/>
      <c r="N46" s="2153"/>
      <c r="O46" s="2154"/>
      <c r="P46" s="2153"/>
      <c r="Q46" s="2153"/>
      <c r="R46" s="2155"/>
    </row>
    <row r="47" spans="2:18" s="2124" customFormat="1">
      <c r="B47" s="2153"/>
      <c r="C47" s="2153"/>
      <c r="D47" s="2153"/>
      <c r="E47" s="2153"/>
      <c r="F47" s="2153"/>
      <c r="G47" s="2154"/>
      <c r="H47" s="2153"/>
      <c r="I47" s="2154"/>
      <c r="J47" s="2153"/>
      <c r="K47" s="2153"/>
      <c r="L47" s="2154"/>
      <c r="M47" s="2153"/>
      <c r="N47" s="2153"/>
      <c r="O47" s="2154"/>
      <c r="P47" s="2153"/>
      <c r="Q47" s="2153"/>
      <c r="R47" s="2155"/>
    </row>
    <row r="48" spans="2:18" s="2124" customFormat="1">
      <c r="B48" s="2153"/>
      <c r="C48" s="2153"/>
      <c r="D48" s="2153"/>
      <c r="E48" s="2153"/>
      <c r="F48" s="2153"/>
      <c r="G48" s="2154"/>
      <c r="H48" s="2153"/>
      <c r="I48" s="2154"/>
      <c r="J48" s="2153"/>
      <c r="K48" s="2153"/>
      <c r="L48" s="2154"/>
      <c r="M48" s="2153"/>
      <c r="N48" s="2153"/>
      <c r="O48" s="2154"/>
      <c r="P48" s="2153"/>
      <c r="Q48" s="2153"/>
      <c r="R48" s="2155"/>
    </row>
    <row r="49" spans="2:18" s="2124" customFormat="1">
      <c r="B49" s="2153"/>
      <c r="C49" s="2153"/>
      <c r="D49" s="2153"/>
      <c r="E49" s="2153"/>
      <c r="F49" s="2153"/>
      <c r="G49" s="2154"/>
      <c r="H49" s="2153"/>
      <c r="I49" s="2154"/>
      <c r="J49" s="2153"/>
      <c r="K49" s="2153"/>
      <c r="L49" s="2154"/>
      <c r="M49" s="2153"/>
      <c r="N49" s="2153"/>
      <c r="O49" s="2154"/>
      <c r="P49" s="2153"/>
      <c r="Q49" s="2153"/>
      <c r="R49" s="2155"/>
    </row>
    <row r="50" spans="2:18" s="2124" customFormat="1">
      <c r="B50" s="2153"/>
      <c r="C50" s="2153"/>
      <c r="D50" s="2153"/>
      <c r="E50" s="2153"/>
      <c r="F50" s="2153"/>
      <c r="G50" s="2154"/>
      <c r="H50" s="2153"/>
      <c r="I50" s="2154"/>
      <c r="J50" s="2153"/>
      <c r="K50" s="2153"/>
      <c r="L50" s="2154"/>
      <c r="M50" s="2153"/>
      <c r="N50" s="2153"/>
      <c r="O50" s="2154"/>
      <c r="P50" s="2153"/>
      <c r="Q50" s="2153"/>
      <c r="R50" s="2155"/>
    </row>
    <row r="51" spans="2:18" s="2124" customFormat="1">
      <c r="B51" s="2153"/>
      <c r="C51" s="2153"/>
      <c r="D51" s="2153"/>
      <c r="E51" s="2153"/>
      <c r="F51" s="2153"/>
      <c r="G51" s="2154"/>
      <c r="H51" s="2153"/>
      <c r="I51" s="2154"/>
      <c r="J51" s="2153"/>
      <c r="K51" s="2153"/>
      <c r="L51" s="2154"/>
      <c r="M51" s="2153"/>
      <c r="N51" s="2153"/>
      <c r="O51" s="2154"/>
      <c r="P51" s="2153"/>
      <c r="Q51" s="2153"/>
      <c r="R51" s="2155"/>
    </row>
    <row r="52" spans="2:18" s="2124" customFormat="1">
      <c r="B52" s="2153"/>
      <c r="C52" s="2153"/>
      <c r="D52" s="2153"/>
      <c r="E52" s="2153"/>
      <c r="F52" s="2153"/>
      <c r="G52" s="2154"/>
      <c r="H52" s="2153"/>
      <c r="I52" s="2154"/>
      <c r="J52" s="2153"/>
      <c r="K52" s="2153"/>
      <c r="L52" s="2154"/>
      <c r="M52" s="2153"/>
      <c r="N52" s="2153"/>
      <c r="O52" s="2154"/>
      <c r="P52" s="2153"/>
      <c r="Q52" s="2153"/>
      <c r="R52" s="2155"/>
    </row>
    <row r="53" spans="2:18" s="2124" customFormat="1">
      <c r="B53" s="2153"/>
      <c r="C53" s="2153"/>
      <c r="D53" s="2153"/>
      <c r="E53" s="2153"/>
      <c r="F53" s="2153"/>
      <c r="G53" s="2154"/>
      <c r="H53" s="2153"/>
      <c r="I53" s="2154"/>
      <c r="J53" s="2153"/>
      <c r="K53" s="2153"/>
      <c r="L53" s="2154"/>
      <c r="M53" s="2153"/>
      <c r="N53" s="2153"/>
      <c r="O53" s="2154"/>
      <c r="P53" s="2153"/>
      <c r="Q53" s="2153"/>
      <c r="R53" s="2155"/>
    </row>
    <row r="54" spans="2:18" s="2124" customFormat="1">
      <c r="B54" s="2153"/>
      <c r="C54" s="2153"/>
      <c r="D54" s="2153"/>
      <c r="E54" s="2153"/>
      <c r="F54" s="2153"/>
      <c r="G54" s="2154"/>
      <c r="H54" s="2153"/>
      <c r="I54" s="2154"/>
      <c r="J54" s="2153"/>
      <c r="K54" s="2153"/>
      <c r="L54" s="2154"/>
      <c r="M54" s="2153"/>
      <c r="N54" s="2153"/>
      <c r="O54" s="2154"/>
      <c r="P54" s="2153"/>
      <c r="Q54" s="2153"/>
      <c r="R54" s="2155"/>
    </row>
    <row r="55" spans="2:18" s="2124" customFormat="1">
      <c r="B55" s="2153"/>
      <c r="C55" s="2153"/>
      <c r="D55" s="2153"/>
      <c r="E55" s="2153"/>
      <c r="F55" s="2153"/>
      <c r="G55" s="2154"/>
      <c r="H55" s="2153"/>
      <c r="I55" s="2154"/>
      <c r="J55" s="2153"/>
      <c r="K55" s="2153"/>
      <c r="L55" s="2154"/>
      <c r="M55" s="2153"/>
      <c r="N55" s="2153"/>
      <c r="O55" s="2154"/>
      <c r="P55" s="2153"/>
      <c r="Q55" s="2153"/>
      <c r="R55" s="2155"/>
    </row>
    <row r="56" spans="2:18" s="2124" customFormat="1">
      <c r="B56" s="2153"/>
      <c r="C56" s="2153"/>
      <c r="D56" s="2153"/>
      <c r="E56" s="2153"/>
      <c r="F56" s="2153"/>
      <c r="G56" s="2154"/>
      <c r="H56" s="2153"/>
      <c r="I56" s="2154"/>
      <c r="J56" s="2153"/>
      <c r="K56" s="2153"/>
      <c r="L56" s="2154"/>
      <c r="M56" s="2153"/>
      <c r="N56" s="2153"/>
      <c r="O56" s="2154"/>
      <c r="P56" s="2153"/>
      <c r="Q56" s="2153"/>
      <c r="R56" s="2155"/>
    </row>
    <row r="57" spans="2:18" s="2124" customFormat="1">
      <c r="B57" s="2153"/>
      <c r="C57" s="2153"/>
      <c r="D57" s="2153"/>
      <c r="E57" s="2153"/>
      <c r="F57" s="2153"/>
      <c r="G57" s="2154"/>
      <c r="H57" s="2153"/>
      <c r="I57" s="2154"/>
      <c r="J57" s="2153"/>
      <c r="K57" s="2153"/>
      <c r="L57" s="2154"/>
      <c r="M57" s="2153"/>
      <c r="N57" s="2153"/>
      <c r="O57" s="2154"/>
      <c r="P57" s="2153"/>
      <c r="Q57" s="2153"/>
      <c r="R57" s="2155"/>
    </row>
    <row r="58" spans="2:18" s="2124" customFormat="1">
      <c r="B58" s="2153"/>
      <c r="C58" s="2153"/>
      <c r="D58" s="2153"/>
      <c r="E58" s="2153"/>
      <c r="F58" s="2153"/>
      <c r="G58" s="2154"/>
      <c r="H58" s="2153"/>
      <c r="I58" s="2154"/>
      <c r="J58" s="2153"/>
      <c r="K58" s="2153"/>
      <c r="L58" s="2154"/>
      <c r="M58" s="2153"/>
      <c r="N58" s="2153"/>
      <c r="O58" s="2154"/>
      <c r="P58" s="2153"/>
      <c r="Q58" s="2153"/>
      <c r="R58" s="2155"/>
    </row>
    <row r="59" spans="2:18" s="2124" customFormat="1">
      <c r="B59" s="2153"/>
      <c r="C59" s="2153"/>
      <c r="D59" s="2153"/>
      <c r="E59" s="2153"/>
      <c r="F59" s="2153"/>
      <c r="G59" s="2154"/>
      <c r="H59" s="2153"/>
      <c r="I59" s="2154"/>
      <c r="J59" s="2153"/>
      <c r="K59" s="2153"/>
      <c r="L59" s="2154"/>
      <c r="M59" s="2153"/>
      <c r="N59" s="2153"/>
      <c r="O59" s="2154"/>
      <c r="P59" s="2153"/>
      <c r="Q59" s="2153"/>
      <c r="R59" s="2155"/>
    </row>
    <row r="60" spans="2:18" s="2124" customFormat="1">
      <c r="B60" s="2153"/>
      <c r="C60" s="2153"/>
      <c r="D60" s="2153"/>
      <c r="E60" s="2153"/>
      <c r="F60" s="2153"/>
      <c r="G60" s="2154"/>
      <c r="H60" s="2153"/>
      <c r="I60" s="2154"/>
      <c r="J60" s="2153"/>
      <c r="K60" s="2153"/>
      <c r="L60" s="2154"/>
      <c r="M60" s="2153"/>
      <c r="N60" s="2153"/>
      <c r="O60" s="2154"/>
      <c r="P60" s="2153"/>
      <c r="Q60" s="2153"/>
      <c r="R60" s="2155"/>
    </row>
    <row r="61" spans="2:18" s="2124" customFormat="1">
      <c r="B61" s="2153"/>
      <c r="C61" s="2153"/>
      <c r="D61" s="2153"/>
      <c r="E61" s="2153"/>
      <c r="F61" s="2153"/>
      <c r="G61" s="2154"/>
      <c r="H61" s="2153"/>
      <c r="I61" s="2154"/>
      <c r="J61" s="2153"/>
      <c r="K61" s="2153"/>
      <c r="L61" s="2154"/>
      <c r="M61" s="2153"/>
      <c r="N61" s="2153"/>
      <c r="O61" s="2154"/>
      <c r="P61" s="2153"/>
      <c r="Q61" s="2153"/>
      <c r="R61" s="2155"/>
    </row>
    <row r="62" spans="2:18" s="2124" customFormat="1">
      <c r="B62" s="2153"/>
      <c r="C62" s="2153"/>
      <c r="D62" s="2153"/>
      <c r="E62" s="2153"/>
      <c r="F62" s="2153"/>
      <c r="G62" s="2154"/>
      <c r="H62" s="2153"/>
      <c r="I62" s="2154"/>
      <c r="J62" s="2153"/>
      <c r="K62" s="2153"/>
      <c r="L62" s="2154"/>
      <c r="M62" s="2153"/>
      <c r="N62" s="2153"/>
      <c r="O62" s="2154"/>
      <c r="P62" s="2153"/>
      <c r="Q62" s="2153"/>
      <c r="R62" s="2155"/>
    </row>
    <row r="63" spans="2:18" s="2124" customFormat="1">
      <c r="B63" s="2153"/>
      <c r="C63" s="2153"/>
      <c r="D63" s="2153"/>
      <c r="E63" s="2153"/>
      <c r="F63" s="2153"/>
      <c r="G63" s="2154"/>
      <c r="H63" s="2153"/>
      <c r="I63" s="2154"/>
      <c r="J63" s="2153"/>
      <c r="K63" s="2153"/>
      <c r="L63" s="2154"/>
      <c r="M63" s="2153"/>
      <c r="N63" s="2153"/>
      <c r="O63" s="2154"/>
      <c r="P63" s="2153"/>
      <c r="Q63" s="2153"/>
      <c r="R63" s="2155"/>
    </row>
    <row r="64" spans="2:18" s="2124" customFormat="1">
      <c r="B64" s="2153"/>
      <c r="C64" s="2153"/>
      <c r="D64" s="2153"/>
      <c r="E64" s="2153"/>
      <c r="F64" s="2153"/>
      <c r="G64" s="2154"/>
      <c r="H64" s="2153"/>
      <c r="I64" s="2154"/>
      <c r="J64" s="2153"/>
      <c r="K64" s="2153"/>
      <c r="L64" s="2154"/>
      <c r="M64" s="2153"/>
      <c r="N64" s="2153"/>
      <c r="O64" s="2154"/>
      <c r="P64" s="2153"/>
      <c r="Q64" s="2153"/>
      <c r="R64" s="2155"/>
    </row>
    <row r="65" spans="2:18" s="2124" customFormat="1">
      <c r="B65" s="2153"/>
      <c r="C65" s="2153"/>
      <c r="D65" s="2153"/>
      <c r="E65" s="2153"/>
      <c r="F65" s="2153"/>
      <c r="G65" s="2154"/>
      <c r="H65" s="2153"/>
      <c r="I65" s="2154"/>
      <c r="J65" s="2153"/>
      <c r="K65" s="2153"/>
      <c r="L65" s="2154"/>
      <c r="M65" s="2153"/>
      <c r="N65" s="2153"/>
      <c r="O65" s="2154"/>
      <c r="P65" s="2153"/>
      <c r="Q65" s="2153"/>
      <c r="R65" s="2155"/>
    </row>
    <row r="66" spans="2:18" s="2124" customFormat="1">
      <c r="B66" s="2153"/>
      <c r="C66" s="2153"/>
      <c r="D66" s="2153"/>
      <c r="E66" s="2153"/>
      <c r="F66" s="2153"/>
      <c r="G66" s="2154"/>
      <c r="H66" s="2153"/>
      <c r="I66" s="2154"/>
      <c r="J66" s="2153"/>
      <c r="K66" s="2153"/>
      <c r="L66" s="2154"/>
      <c r="M66" s="2153"/>
      <c r="N66" s="2153"/>
      <c r="O66" s="2154"/>
      <c r="P66" s="2153"/>
      <c r="Q66" s="2153"/>
      <c r="R66" s="2155"/>
    </row>
    <row r="67" spans="2:18" s="2124" customFormat="1">
      <c r="B67" s="2153"/>
      <c r="C67" s="2153"/>
      <c r="D67" s="2153"/>
      <c r="E67" s="2153"/>
      <c r="F67" s="2153"/>
      <c r="G67" s="2154"/>
      <c r="H67" s="2153"/>
      <c r="I67" s="2154"/>
      <c r="J67" s="2153"/>
      <c r="K67" s="2153"/>
      <c r="L67" s="2154"/>
      <c r="M67" s="2153"/>
      <c r="N67" s="2153"/>
      <c r="O67" s="2154"/>
      <c r="P67" s="2153"/>
      <c r="Q67" s="2153"/>
      <c r="R67" s="2155"/>
    </row>
    <row r="68" spans="2:18" s="2124" customFormat="1">
      <c r="B68" s="2153"/>
      <c r="C68" s="2153"/>
      <c r="D68" s="2153"/>
      <c r="E68" s="2153"/>
      <c r="F68" s="2153"/>
      <c r="G68" s="2154"/>
      <c r="H68" s="2153"/>
      <c r="I68" s="2154"/>
      <c r="J68" s="2153"/>
      <c r="K68" s="2153"/>
      <c r="L68" s="2154"/>
      <c r="M68" s="2153"/>
      <c r="N68" s="2153"/>
      <c r="O68" s="2154"/>
      <c r="P68" s="2153"/>
      <c r="Q68" s="2153"/>
      <c r="R68" s="2155"/>
    </row>
    <row r="69" spans="2:18" s="2124" customFormat="1">
      <c r="B69" s="2153"/>
      <c r="C69" s="2153"/>
      <c r="D69" s="2153"/>
      <c r="E69" s="2153"/>
      <c r="F69" s="2153"/>
      <c r="G69" s="2154"/>
      <c r="H69" s="2153"/>
      <c r="I69" s="2154"/>
      <c r="J69" s="2153"/>
      <c r="K69" s="2153"/>
      <c r="L69" s="2154"/>
      <c r="M69" s="2153"/>
      <c r="N69" s="2153"/>
      <c r="O69" s="2154"/>
      <c r="P69" s="2153"/>
      <c r="Q69" s="2153"/>
      <c r="R69" s="2155"/>
    </row>
    <row r="70" spans="2:18" s="2124" customFormat="1">
      <c r="B70" s="2153"/>
      <c r="C70" s="2153"/>
      <c r="D70" s="2153"/>
      <c r="E70" s="2153"/>
      <c r="F70" s="2153"/>
      <c r="G70" s="2154"/>
      <c r="H70" s="2153"/>
      <c r="I70" s="2154"/>
      <c r="J70" s="2153"/>
      <c r="K70" s="2153"/>
      <c r="L70" s="2154"/>
      <c r="M70" s="2153"/>
      <c r="N70" s="2153"/>
      <c r="O70" s="2154"/>
      <c r="P70" s="2153"/>
      <c r="Q70" s="2153"/>
      <c r="R70" s="2155"/>
    </row>
    <row r="71" spans="2:18" s="2124" customFormat="1">
      <c r="B71" s="2153"/>
      <c r="C71" s="2153"/>
      <c r="D71" s="2153"/>
      <c r="E71" s="2153"/>
      <c r="F71" s="2153"/>
      <c r="G71" s="2154"/>
      <c r="H71" s="2153"/>
      <c r="I71" s="2154"/>
      <c r="J71" s="2153"/>
      <c r="K71" s="2153"/>
      <c r="L71" s="2154"/>
      <c r="M71" s="2153"/>
      <c r="N71" s="2153"/>
      <c r="O71" s="2154"/>
      <c r="P71" s="2153"/>
      <c r="Q71" s="2153"/>
      <c r="R71" s="2155"/>
    </row>
    <row r="72" spans="2:18" s="2124" customFormat="1">
      <c r="B72" s="2153"/>
      <c r="C72" s="2153"/>
      <c r="D72" s="2153"/>
      <c r="E72" s="2153"/>
      <c r="F72" s="2153"/>
      <c r="G72" s="2154"/>
      <c r="H72" s="2153"/>
      <c r="I72" s="2154"/>
      <c r="J72" s="2153"/>
      <c r="K72" s="2153"/>
      <c r="L72" s="2154"/>
      <c r="M72" s="2153"/>
      <c r="N72" s="2153"/>
      <c r="O72" s="2154"/>
      <c r="P72" s="2153"/>
      <c r="Q72" s="2153"/>
      <c r="R72" s="2155"/>
    </row>
    <row r="73" spans="2:18" s="2124" customFormat="1">
      <c r="B73" s="2153"/>
      <c r="C73" s="2153"/>
      <c r="D73" s="2153"/>
      <c r="E73" s="2153"/>
      <c r="F73" s="2153"/>
      <c r="G73" s="2154"/>
      <c r="H73" s="2153"/>
      <c r="I73" s="2154"/>
      <c r="J73" s="2153"/>
      <c r="K73" s="2153"/>
      <c r="L73" s="2154"/>
      <c r="M73" s="2153"/>
      <c r="N73" s="2153"/>
      <c r="O73" s="2154"/>
      <c r="P73" s="2153"/>
      <c r="Q73" s="2153"/>
      <c r="R73" s="2155"/>
    </row>
    <row r="74" spans="2:18" s="2124" customFormat="1">
      <c r="B74" s="2153"/>
      <c r="C74" s="2153"/>
      <c r="D74" s="2153"/>
      <c r="E74" s="2153"/>
      <c r="F74" s="2153"/>
      <c r="G74" s="2154"/>
      <c r="H74" s="2153"/>
      <c r="I74" s="2154"/>
      <c r="J74" s="2153"/>
      <c r="K74" s="2153"/>
      <c r="L74" s="2154"/>
      <c r="M74" s="2153"/>
      <c r="N74" s="2153"/>
      <c r="O74" s="2154"/>
      <c r="P74" s="2153"/>
      <c r="Q74" s="2153"/>
      <c r="R74" s="2155"/>
    </row>
    <row r="75" spans="2:18" s="2124" customFormat="1">
      <c r="B75" s="2153"/>
      <c r="C75" s="2153"/>
      <c r="D75" s="2153"/>
      <c r="E75" s="2153"/>
      <c r="F75" s="2153"/>
      <c r="G75" s="2154"/>
      <c r="H75" s="2153"/>
      <c r="I75" s="2154"/>
      <c r="J75" s="2153"/>
      <c r="K75" s="2153"/>
      <c r="L75" s="2154"/>
      <c r="M75" s="2153"/>
      <c r="N75" s="2153"/>
      <c r="O75" s="2154"/>
      <c r="P75" s="2153"/>
      <c r="Q75" s="2153"/>
      <c r="R75" s="2155"/>
    </row>
    <row r="76" spans="2:18" s="2124" customFormat="1">
      <c r="B76" s="2153"/>
      <c r="C76" s="2153"/>
      <c r="D76" s="2153"/>
      <c r="E76" s="2153"/>
      <c r="F76" s="2153"/>
      <c r="G76" s="2154"/>
      <c r="H76" s="2153"/>
      <c r="I76" s="2154"/>
      <c r="J76" s="2153"/>
      <c r="K76" s="2153"/>
      <c r="L76" s="2154"/>
      <c r="M76" s="2153"/>
      <c r="N76" s="2153"/>
      <c r="O76" s="2154"/>
      <c r="P76" s="2153"/>
      <c r="Q76" s="2153"/>
      <c r="R76" s="2155"/>
    </row>
    <row r="77" spans="2:18" s="2124" customFormat="1">
      <c r="B77" s="2153"/>
      <c r="C77" s="2153"/>
      <c r="D77" s="2153"/>
      <c r="E77" s="2153"/>
      <c r="F77" s="2153"/>
      <c r="G77" s="2154"/>
      <c r="H77" s="2153"/>
      <c r="I77" s="2154"/>
      <c r="J77" s="2153"/>
      <c r="K77" s="2153"/>
      <c r="L77" s="2154"/>
      <c r="M77" s="2153"/>
      <c r="N77" s="2153"/>
      <c r="O77" s="2154"/>
      <c r="P77" s="2153"/>
      <c r="Q77" s="2153"/>
      <c r="R77" s="2155"/>
    </row>
    <row r="78" spans="2:18" s="2124" customFormat="1">
      <c r="B78" s="2153"/>
      <c r="C78" s="2153"/>
      <c r="D78" s="2153"/>
      <c r="E78" s="2153"/>
      <c r="F78" s="2153"/>
      <c r="G78" s="2154"/>
      <c r="H78" s="2153"/>
      <c r="I78" s="2154"/>
      <c r="J78" s="2153"/>
      <c r="K78" s="2153"/>
      <c r="L78" s="2154"/>
      <c r="M78" s="2153"/>
      <c r="N78" s="2153"/>
      <c r="O78" s="2154"/>
      <c r="P78" s="2153"/>
      <c r="Q78" s="2153"/>
      <c r="R78" s="2155"/>
    </row>
    <row r="79" spans="2:18" s="2124" customFormat="1">
      <c r="B79" s="2153"/>
      <c r="C79" s="2153"/>
      <c r="D79" s="2153"/>
      <c r="E79" s="2153"/>
      <c r="F79" s="2153"/>
      <c r="G79" s="2154"/>
      <c r="H79" s="2153"/>
      <c r="I79" s="2154"/>
      <c r="J79" s="2153"/>
      <c r="K79" s="2153"/>
      <c r="L79" s="2154"/>
      <c r="M79" s="2153"/>
      <c r="N79" s="2153"/>
      <c r="O79" s="2154"/>
      <c r="P79" s="2153"/>
      <c r="Q79" s="2153"/>
      <c r="R79" s="2155"/>
    </row>
    <row r="80" spans="2:18" s="2124" customFormat="1">
      <c r="B80" s="2153"/>
      <c r="C80" s="2153"/>
      <c r="D80" s="2153"/>
      <c r="E80" s="2153"/>
      <c r="F80" s="2153"/>
      <c r="G80" s="2154"/>
      <c r="H80" s="2153"/>
      <c r="I80" s="2154"/>
      <c r="J80" s="2153"/>
      <c r="K80" s="2153"/>
      <c r="L80" s="2154"/>
      <c r="M80" s="2153"/>
      <c r="N80" s="2153"/>
      <c r="O80" s="2154"/>
      <c r="P80" s="2153"/>
      <c r="Q80" s="2153"/>
      <c r="R80" s="2155"/>
    </row>
    <row r="81" spans="2:18" s="2124" customFormat="1">
      <c r="B81" s="2153"/>
      <c r="C81" s="2153"/>
      <c r="D81" s="2153"/>
      <c r="E81" s="2153"/>
      <c r="F81" s="2153"/>
      <c r="G81" s="2154"/>
      <c r="H81" s="2153"/>
      <c r="I81" s="2154"/>
      <c r="J81" s="2153"/>
      <c r="K81" s="2153"/>
      <c r="L81" s="2154"/>
      <c r="M81" s="2153"/>
      <c r="N81" s="2153"/>
      <c r="O81" s="2154"/>
      <c r="P81" s="2153"/>
      <c r="Q81" s="2153"/>
      <c r="R81" s="2155"/>
    </row>
    <row r="82" spans="2:18" s="2124" customFormat="1">
      <c r="B82" s="2153"/>
      <c r="C82" s="2153"/>
      <c r="D82" s="2153"/>
      <c r="E82" s="2153"/>
      <c r="F82" s="2153"/>
      <c r="G82" s="2154"/>
      <c r="H82" s="2153"/>
      <c r="I82" s="2154"/>
      <c r="J82" s="2153"/>
      <c r="K82" s="2153"/>
      <c r="L82" s="2154"/>
      <c r="M82" s="2153"/>
      <c r="N82" s="2153"/>
      <c r="O82" s="2154"/>
      <c r="P82" s="2153"/>
      <c r="Q82" s="2153"/>
      <c r="R82" s="2155"/>
    </row>
    <row r="83" spans="2:18" s="2124" customFormat="1">
      <c r="B83" s="2153"/>
      <c r="C83" s="2153"/>
      <c r="D83" s="2153"/>
      <c r="E83" s="2153"/>
      <c r="F83" s="2153"/>
      <c r="G83" s="2154"/>
      <c r="H83" s="2153"/>
      <c r="I83" s="2154"/>
      <c r="J83" s="2153"/>
      <c r="K83" s="2153"/>
      <c r="L83" s="2154"/>
      <c r="M83" s="2153"/>
      <c r="N83" s="2153"/>
      <c r="O83" s="2154"/>
      <c r="P83" s="2153"/>
      <c r="Q83" s="2153"/>
      <c r="R83" s="2155"/>
    </row>
    <row r="84" spans="2:18" s="2124" customFormat="1">
      <c r="B84" s="2153"/>
      <c r="C84" s="2153"/>
      <c r="D84" s="2153"/>
      <c r="E84" s="2153"/>
      <c r="F84" s="2153"/>
      <c r="G84" s="2154"/>
      <c r="H84" s="2153"/>
      <c r="I84" s="2154"/>
      <c r="J84" s="2153"/>
      <c r="K84" s="2153"/>
      <c r="L84" s="2154"/>
      <c r="M84" s="2153"/>
      <c r="N84" s="2153"/>
      <c r="O84" s="2154"/>
      <c r="P84" s="2153"/>
      <c r="Q84" s="2153"/>
      <c r="R84" s="2155"/>
    </row>
    <row r="85" spans="2:18" s="2124" customFormat="1">
      <c r="B85" s="2153"/>
      <c r="C85" s="2153"/>
      <c r="D85" s="2153"/>
      <c r="E85" s="2153"/>
      <c r="F85" s="2153"/>
      <c r="G85" s="2154"/>
      <c r="H85" s="2153"/>
      <c r="I85" s="2154"/>
      <c r="J85" s="2153"/>
      <c r="K85" s="2153"/>
      <c r="L85" s="2154"/>
      <c r="M85" s="2153"/>
      <c r="N85" s="2153"/>
      <c r="O85" s="2154"/>
      <c r="P85" s="2153"/>
      <c r="Q85" s="2153"/>
      <c r="R85" s="2155"/>
    </row>
    <row r="86" spans="2:18" s="2124" customFormat="1">
      <c r="B86" s="2153"/>
      <c r="C86" s="2153"/>
      <c r="D86" s="2153"/>
      <c r="E86" s="2153"/>
      <c r="F86" s="2153"/>
      <c r="G86" s="2154"/>
      <c r="H86" s="2153"/>
      <c r="I86" s="2154"/>
      <c r="J86" s="2153"/>
      <c r="K86" s="2153"/>
      <c r="L86" s="2154"/>
      <c r="M86" s="2153"/>
      <c r="N86" s="2153"/>
      <c r="O86" s="2154"/>
      <c r="P86" s="2153"/>
      <c r="Q86" s="2153"/>
      <c r="R86" s="2155"/>
    </row>
    <row r="87" spans="2:18" s="2124" customFormat="1">
      <c r="B87" s="2153"/>
      <c r="C87" s="2153"/>
      <c r="D87" s="2153"/>
      <c r="E87" s="2153"/>
      <c r="F87" s="2153"/>
      <c r="G87" s="2154"/>
      <c r="H87" s="2153"/>
      <c r="I87" s="2154"/>
      <c r="J87" s="2153"/>
      <c r="K87" s="2153"/>
      <c r="L87" s="2154"/>
      <c r="M87" s="2153"/>
      <c r="N87" s="2153"/>
      <c r="O87" s="2154"/>
      <c r="P87" s="2153"/>
      <c r="Q87" s="2153"/>
      <c r="R87" s="2155"/>
    </row>
    <row r="88" spans="2:18" s="2124" customFormat="1">
      <c r="B88" s="2153"/>
      <c r="C88" s="2153"/>
      <c r="D88" s="2153"/>
      <c r="E88" s="2153"/>
      <c r="F88" s="2153"/>
      <c r="G88" s="2154"/>
      <c r="H88" s="2153"/>
      <c r="I88" s="2154"/>
      <c r="J88" s="2153"/>
      <c r="K88" s="2153"/>
      <c r="L88" s="2154"/>
      <c r="M88" s="2153"/>
      <c r="N88" s="2153"/>
      <c r="O88" s="2154"/>
      <c r="P88" s="2153"/>
      <c r="Q88" s="2153"/>
      <c r="R88" s="2155"/>
    </row>
    <row r="89" spans="2:18" s="2124" customFormat="1">
      <c r="B89" s="2153"/>
      <c r="C89" s="2153"/>
      <c r="D89" s="2153"/>
      <c r="E89" s="2153"/>
      <c r="F89" s="2153"/>
      <c r="G89" s="2154"/>
      <c r="H89" s="2153"/>
      <c r="I89" s="2154"/>
      <c r="J89" s="2153"/>
      <c r="K89" s="2153"/>
      <c r="L89" s="2154"/>
      <c r="M89" s="2153"/>
      <c r="N89" s="2153"/>
      <c r="O89" s="2154"/>
      <c r="P89" s="2153"/>
      <c r="Q89" s="2153"/>
      <c r="R89" s="2155"/>
    </row>
    <row r="90" spans="2:18" s="2124" customFormat="1">
      <c r="B90" s="2153"/>
      <c r="C90" s="2153"/>
      <c r="D90" s="2153"/>
      <c r="E90" s="2153"/>
      <c r="F90" s="2153"/>
      <c r="G90" s="2154"/>
      <c r="H90" s="2153"/>
      <c r="I90" s="2154"/>
      <c r="J90" s="2153"/>
      <c r="K90" s="2153"/>
      <c r="L90" s="2154"/>
      <c r="M90" s="2153"/>
      <c r="N90" s="2153"/>
      <c r="O90" s="2154"/>
      <c r="P90" s="2153"/>
      <c r="Q90" s="2153"/>
      <c r="R90" s="2155"/>
    </row>
    <row r="91" spans="2:18" s="2124" customFormat="1">
      <c r="B91" s="2153"/>
      <c r="C91" s="2153"/>
      <c r="D91" s="2153"/>
      <c r="E91" s="2153"/>
      <c r="F91" s="2153"/>
      <c r="G91" s="2154"/>
      <c r="H91" s="2153"/>
      <c r="I91" s="2154"/>
      <c r="J91" s="2153"/>
      <c r="K91" s="2153"/>
      <c r="L91" s="2154"/>
      <c r="M91" s="2153"/>
      <c r="N91" s="2153"/>
      <c r="O91" s="2154"/>
      <c r="P91" s="2153"/>
      <c r="Q91" s="2153"/>
      <c r="R91" s="2155"/>
    </row>
    <row r="92" spans="2:18" s="2124" customFormat="1">
      <c r="B92" s="2153"/>
      <c r="C92" s="2153"/>
      <c r="D92" s="2153"/>
      <c r="E92" s="2153"/>
      <c r="F92" s="2153"/>
      <c r="G92" s="2154"/>
      <c r="H92" s="2153"/>
      <c r="I92" s="2154"/>
      <c r="J92" s="2153"/>
      <c r="K92" s="2153"/>
      <c r="L92" s="2154"/>
      <c r="M92" s="2153"/>
      <c r="N92" s="2153"/>
      <c r="O92" s="2154"/>
      <c r="P92" s="2153"/>
      <c r="Q92" s="2153"/>
      <c r="R92" s="2155"/>
    </row>
    <row r="93" spans="2:18" s="2124" customFormat="1">
      <c r="B93" s="2153"/>
      <c r="C93" s="2153"/>
      <c r="D93" s="2153"/>
      <c r="E93" s="2153"/>
      <c r="F93" s="2153"/>
      <c r="G93" s="2154"/>
      <c r="H93" s="2153"/>
      <c r="I93" s="2154"/>
      <c r="J93" s="2153"/>
      <c r="K93" s="2153"/>
      <c r="L93" s="2154"/>
      <c r="M93" s="2153"/>
      <c r="N93" s="2153"/>
      <c r="O93" s="2154"/>
      <c r="P93" s="2153"/>
      <c r="Q93" s="2153"/>
      <c r="R93" s="2155"/>
    </row>
    <row r="94" spans="2:18" s="2124" customFormat="1">
      <c r="B94" s="2153"/>
      <c r="C94" s="2153"/>
      <c r="D94" s="2153"/>
      <c r="E94" s="2153"/>
      <c r="F94" s="2153"/>
      <c r="G94" s="2154"/>
      <c r="H94" s="2153"/>
      <c r="I94" s="2154"/>
      <c r="J94" s="2153"/>
      <c r="K94" s="2153"/>
      <c r="L94" s="2154"/>
      <c r="M94" s="2153"/>
      <c r="N94" s="2153"/>
      <c r="O94" s="2154"/>
      <c r="P94" s="2153"/>
      <c r="Q94" s="2153"/>
      <c r="R94" s="2155"/>
    </row>
    <row r="95" spans="2:18" s="2124" customFormat="1">
      <c r="B95" s="2153"/>
      <c r="C95" s="2153"/>
      <c r="D95" s="2153"/>
      <c r="E95" s="2153"/>
      <c r="F95" s="2153"/>
      <c r="G95" s="2154"/>
      <c r="H95" s="2153"/>
      <c r="I95" s="2154"/>
      <c r="J95" s="2153"/>
      <c r="K95" s="2153"/>
      <c r="L95" s="2154"/>
      <c r="M95" s="2153"/>
      <c r="N95" s="2153"/>
      <c r="O95" s="2154"/>
      <c r="P95" s="2153"/>
      <c r="Q95" s="2153"/>
      <c r="R95" s="2155"/>
    </row>
    <row r="96" spans="2:18" s="2124" customFormat="1">
      <c r="B96" s="2153"/>
      <c r="C96" s="2153"/>
      <c r="D96" s="2153"/>
      <c r="E96" s="2153"/>
      <c r="F96" s="2153"/>
      <c r="G96" s="2154"/>
      <c r="H96" s="2153"/>
      <c r="I96" s="2154"/>
      <c r="J96" s="2153"/>
      <c r="K96" s="2153"/>
      <c r="L96" s="2154"/>
      <c r="M96" s="2153"/>
      <c r="N96" s="2153"/>
      <c r="O96" s="2154"/>
      <c r="P96" s="2153"/>
      <c r="Q96" s="2153"/>
      <c r="R96" s="2155"/>
    </row>
    <row r="97" spans="2:18" s="2124" customFormat="1">
      <c r="B97" s="2153"/>
      <c r="C97" s="2153"/>
      <c r="D97" s="2153"/>
      <c r="E97" s="2153"/>
      <c r="F97" s="2153"/>
      <c r="G97" s="2154"/>
      <c r="H97" s="2153"/>
      <c r="I97" s="2154"/>
      <c r="J97" s="2153"/>
      <c r="K97" s="2153"/>
      <c r="L97" s="2154"/>
      <c r="M97" s="2153"/>
      <c r="N97" s="2153"/>
      <c r="O97" s="2154"/>
      <c r="P97" s="2153"/>
      <c r="Q97" s="2153"/>
      <c r="R97" s="2155"/>
    </row>
    <row r="98" spans="2:18" s="2124" customFormat="1">
      <c r="B98" s="2153"/>
      <c r="C98" s="2153"/>
      <c r="D98" s="2153"/>
      <c r="E98" s="2153"/>
      <c r="F98" s="2153"/>
      <c r="G98" s="2154"/>
      <c r="H98" s="2153"/>
      <c r="I98" s="2154"/>
      <c r="J98" s="2153"/>
      <c r="K98" s="2153"/>
      <c r="L98" s="2154"/>
      <c r="M98" s="2153"/>
      <c r="N98" s="2153"/>
      <c r="O98" s="2154"/>
      <c r="P98" s="2153"/>
      <c r="Q98" s="2153"/>
      <c r="R98" s="2155"/>
    </row>
    <row r="99" spans="2:18" s="2124" customFormat="1">
      <c r="B99" s="2153"/>
      <c r="C99" s="2153"/>
      <c r="D99" s="2153"/>
      <c r="E99" s="2153"/>
      <c r="F99" s="2153"/>
      <c r="G99" s="2154"/>
      <c r="H99" s="2153"/>
      <c r="I99" s="2154"/>
      <c r="J99" s="2153"/>
      <c r="K99" s="2153"/>
      <c r="L99" s="2154"/>
      <c r="M99" s="2153"/>
      <c r="N99" s="2153"/>
      <c r="O99" s="2154"/>
      <c r="P99" s="2153"/>
      <c r="Q99" s="2153"/>
      <c r="R99" s="2155"/>
    </row>
    <row r="100" spans="2:18" s="2124" customFormat="1">
      <c r="B100" s="2153"/>
      <c r="C100" s="2153"/>
      <c r="D100" s="2153"/>
      <c r="E100" s="2153"/>
      <c r="F100" s="2153"/>
      <c r="G100" s="2154"/>
      <c r="H100" s="2153"/>
      <c r="I100" s="2154"/>
      <c r="J100" s="2153"/>
      <c r="K100" s="2153"/>
      <c r="L100" s="2154"/>
      <c r="M100" s="2153"/>
      <c r="N100" s="2153"/>
      <c r="O100" s="2154"/>
      <c r="P100" s="2153"/>
      <c r="Q100" s="2153"/>
      <c r="R100" s="2155"/>
    </row>
    <row r="101" spans="2:18" s="2124" customFormat="1">
      <c r="B101" s="2153"/>
      <c r="C101" s="2153"/>
      <c r="D101" s="2153"/>
      <c r="E101" s="2153"/>
      <c r="F101" s="2153"/>
      <c r="G101" s="2154"/>
      <c r="H101" s="2153"/>
      <c r="I101" s="2154"/>
      <c r="J101" s="2153"/>
      <c r="K101" s="2153"/>
      <c r="L101" s="2154"/>
      <c r="M101" s="2153"/>
      <c r="N101" s="2153"/>
      <c r="O101" s="2154"/>
      <c r="P101" s="2153"/>
      <c r="Q101" s="2153"/>
      <c r="R101" s="2155"/>
    </row>
    <row r="102" spans="2:18" s="2124" customFormat="1">
      <c r="B102" s="2153"/>
      <c r="C102" s="2153"/>
      <c r="D102" s="2153"/>
      <c r="E102" s="2153"/>
      <c r="F102" s="2153"/>
      <c r="G102" s="2154"/>
      <c r="H102" s="2153"/>
      <c r="I102" s="2154"/>
      <c r="J102" s="2153"/>
      <c r="K102" s="2153"/>
      <c r="L102" s="2154"/>
      <c r="M102" s="2153"/>
      <c r="N102" s="2153"/>
      <c r="O102" s="2154"/>
      <c r="P102" s="2153"/>
      <c r="Q102" s="2153"/>
      <c r="R102" s="2155"/>
    </row>
    <row r="103" spans="2:18" s="2124" customFormat="1">
      <c r="B103" s="2153"/>
      <c r="C103" s="2153"/>
      <c r="D103" s="2153"/>
      <c r="E103" s="2153"/>
      <c r="F103" s="2153"/>
      <c r="G103" s="2154"/>
      <c r="H103" s="2153"/>
      <c r="I103" s="2154"/>
      <c r="J103" s="2153"/>
      <c r="K103" s="2153"/>
      <c r="L103" s="2154"/>
      <c r="M103" s="2153"/>
      <c r="N103" s="2153"/>
      <c r="O103" s="2154"/>
      <c r="P103" s="2153"/>
      <c r="Q103" s="2153"/>
      <c r="R103" s="2155"/>
    </row>
    <row r="104" spans="2:18" s="2124" customFormat="1">
      <c r="B104" s="2153"/>
      <c r="C104" s="2153"/>
      <c r="D104" s="2153"/>
      <c r="E104" s="2153"/>
      <c r="F104" s="2153"/>
      <c r="G104" s="2154"/>
      <c r="H104" s="2153"/>
      <c r="I104" s="2154"/>
      <c r="J104" s="2153"/>
      <c r="K104" s="2153"/>
      <c r="L104" s="2154"/>
      <c r="M104" s="2153"/>
      <c r="N104" s="2153"/>
      <c r="O104" s="2154"/>
      <c r="P104" s="2153"/>
      <c r="Q104" s="2153"/>
      <c r="R104" s="2155"/>
    </row>
    <row r="105" spans="2:18" s="2124" customFormat="1">
      <c r="B105" s="2153"/>
      <c r="C105" s="2153"/>
      <c r="D105" s="2153"/>
      <c r="E105" s="2153"/>
      <c r="F105" s="2153"/>
      <c r="G105" s="2154"/>
      <c r="H105" s="2153"/>
      <c r="I105" s="2154"/>
      <c r="J105" s="2153"/>
      <c r="K105" s="2153"/>
      <c r="L105" s="2154"/>
      <c r="M105" s="2153"/>
      <c r="N105" s="2153"/>
      <c r="O105" s="2154"/>
      <c r="P105" s="2153"/>
      <c r="Q105" s="2153"/>
      <c r="R105" s="2155"/>
    </row>
    <row r="106" spans="2:18" s="2124" customFormat="1">
      <c r="B106" s="2153"/>
      <c r="C106" s="2153"/>
      <c r="D106" s="2153"/>
      <c r="E106" s="2153"/>
      <c r="F106" s="2153"/>
      <c r="G106" s="2154"/>
      <c r="H106" s="2153"/>
      <c r="I106" s="2154"/>
      <c r="J106" s="2153"/>
      <c r="K106" s="2153"/>
      <c r="L106" s="2154"/>
      <c r="M106" s="2153"/>
      <c r="N106" s="2153"/>
      <c r="O106" s="2154"/>
      <c r="P106" s="2153"/>
      <c r="Q106" s="2153"/>
      <c r="R106" s="2155"/>
    </row>
    <row r="107" spans="2:18" s="2124" customFormat="1">
      <c r="B107" s="2153"/>
      <c r="C107" s="2153"/>
      <c r="D107" s="2153"/>
      <c r="E107" s="2153"/>
      <c r="F107" s="2153"/>
      <c r="G107" s="2154"/>
      <c r="H107" s="2153"/>
      <c r="I107" s="2154"/>
      <c r="J107" s="2153"/>
      <c r="K107" s="2153"/>
      <c r="L107" s="2154"/>
      <c r="M107" s="2153"/>
      <c r="N107" s="2153"/>
      <c r="O107" s="2154"/>
      <c r="P107" s="2153"/>
      <c r="Q107" s="2153"/>
      <c r="R107" s="2155"/>
    </row>
    <row r="108" spans="2:18" s="2124" customFormat="1">
      <c r="B108" s="2153"/>
      <c r="C108" s="2153"/>
      <c r="D108" s="2153"/>
      <c r="E108" s="2153"/>
      <c r="F108" s="2153"/>
      <c r="G108" s="2154"/>
      <c r="H108" s="2153"/>
      <c r="I108" s="2154"/>
      <c r="J108" s="2153"/>
      <c r="K108" s="2153"/>
      <c r="L108" s="2154"/>
      <c r="M108" s="2153"/>
      <c r="N108" s="2153"/>
      <c r="O108" s="2154"/>
      <c r="P108" s="2153"/>
      <c r="Q108" s="2153"/>
      <c r="R108" s="2155"/>
    </row>
    <row r="109" spans="2:18" s="2124" customFormat="1">
      <c r="B109" s="2153"/>
      <c r="C109" s="2153"/>
      <c r="D109" s="2153"/>
      <c r="E109" s="2153"/>
      <c r="F109" s="2153"/>
      <c r="G109" s="2154"/>
      <c r="H109" s="2153"/>
      <c r="I109" s="2154"/>
      <c r="J109" s="2153"/>
      <c r="K109" s="2153"/>
      <c r="L109" s="2154"/>
      <c r="M109" s="2153"/>
      <c r="N109" s="2153"/>
      <c r="O109" s="2154"/>
      <c r="P109" s="2153"/>
      <c r="Q109" s="2153"/>
      <c r="R109" s="2155"/>
    </row>
    <row r="110" spans="2:18" s="2124" customFormat="1">
      <c r="B110" s="2153"/>
      <c r="C110" s="2153"/>
      <c r="D110" s="2153"/>
      <c r="E110" s="2153"/>
      <c r="F110" s="2153"/>
      <c r="G110" s="2154"/>
      <c r="H110" s="2153"/>
      <c r="I110" s="2154"/>
      <c r="J110" s="2153"/>
      <c r="K110" s="2153"/>
      <c r="L110" s="2154"/>
      <c r="M110" s="2153"/>
      <c r="N110" s="2153"/>
      <c r="O110" s="2154"/>
      <c r="P110" s="2153"/>
      <c r="Q110" s="2153"/>
      <c r="R110" s="2155"/>
    </row>
    <row r="111" spans="2:18" s="2124" customFormat="1">
      <c r="B111" s="2153"/>
      <c r="C111" s="2153"/>
      <c r="D111" s="2153"/>
      <c r="E111" s="2153"/>
      <c r="F111" s="2153"/>
      <c r="G111" s="2154"/>
      <c r="H111" s="2153"/>
      <c r="I111" s="2154"/>
      <c r="J111" s="2153"/>
      <c r="K111" s="2153"/>
      <c r="L111" s="2154"/>
      <c r="M111" s="2153"/>
      <c r="N111" s="2153"/>
      <c r="O111" s="2154"/>
      <c r="P111" s="2153"/>
      <c r="Q111" s="2153"/>
      <c r="R111" s="2155"/>
    </row>
    <row r="112" spans="2:18" s="2124" customFormat="1">
      <c r="B112" s="2153"/>
      <c r="C112" s="2153"/>
      <c r="D112" s="2153"/>
      <c r="E112" s="2153"/>
      <c r="F112" s="2153"/>
      <c r="G112" s="2154"/>
      <c r="H112" s="2153"/>
      <c r="I112" s="2154"/>
      <c r="J112" s="2153"/>
      <c r="K112" s="2153"/>
      <c r="L112" s="2154"/>
      <c r="M112" s="2153"/>
      <c r="N112" s="2153"/>
      <c r="O112" s="2154"/>
      <c r="P112" s="2153"/>
      <c r="Q112" s="2153"/>
      <c r="R112" s="2155"/>
    </row>
    <row r="113" spans="2:18" s="2124" customFormat="1">
      <c r="B113" s="2153"/>
      <c r="C113" s="2153"/>
      <c r="D113" s="2153"/>
      <c r="E113" s="2153"/>
      <c r="F113" s="2153"/>
      <c r="G113" s="2154"/>
      <c r="H113" s="2153"/>
      <c r="I113" s="2154"/>
      <c r="J113" s="2153"/>
      <c r="K113" s="2153"/>
      <c r="L113" s="2154"/>
      <c r="M113" s="2153"/>
      <c r="N113" s="2153"/>
      <c r="O113" s="2154"/>
      <c r="P113" s="2153"/>
      <c r="Q113" s="2153"/>
      <c r="R113" s="2155"/>
    </row>
    <row r="114" spans="2:18" s="2124" customFormat="1">
      <c r="B114" s="2153"/>
      <c r="C114" s="2153"/>
      <c r="D114" s="2153"/>
      <c r="E114" s="2153"/>
      <c r="F114" s="2153"/>
      <c r="G114" s="2154"/>
      <c r="H114" s="2153"/>
      <c r="I114" s="2154"/>
      <c r="J114" s="2153"/>
      <c r="K114" s="2153"/>
      <c r="L114" s="2154"/>
      <c r="M114" s="2153"/>
      <c r="N114" s="2153"/>
      <c r="O114" s="2154"/>
      <c r="P114" s="2153"/>
      <c r="Q114" s="2153"/>
      <c r="R114" s="2155"/>
    </row>
    <row r="115" spans="2:18" s="2124" customFormat="1">
      <c r="B115" s="2153"/>
      <c r="C115" s="2153"/>
      <c r="D115" s="2153"/>
      <c r="E115" s="2153"/>
      <c r="F115" s="2153"/>
      <c r="G115" s="2154"/>
      <c r="H115" s="2153"/>
      <c r="I115" s="2154"/>
      <c r="J115" s="2153"/>
      <c r="K115" s="2153"/>
      <c r="L115" s="2154"/>
      <c r="M115" s="2153"/>
      <c r="N115" s="2153"/>
      <c r="O115" s="2154"/>
      <c r="P115" s="2153"/>
      <c r="Q115" s="2153"/>
      <c r="R115" s="2155"/>
    </row>
    <row r="116" spans="2:18" s="2124" customFormat="1">
      <c r="B116" s="2153"/>
      <c r="C116" s="2153"/>
      <c r="D116" s="2153"/>
      <c r="E116" s="2153"/>
      <c r="F116" s="2153"/>
      <c r="G116" s="2154"/>
      <c r="H116" s="2153"/>
      <c r="I116" s="2154"/>
      <c r="J116" s="2153"/>
      <c r="K116" s="2153"/>
      <c r="L116" s="2154"/>
      <c r="M116" s="2153"/>
      <c r="N116" s="2153"/>
      <c r="O116" s="2154"/>
      <c r="P116" s="2153"/>
      <c r="Q116" s="2153"/>
      <c r="R116" s="2155"/>
    </row>
    <row r="117" spans="2:18" s="2124" customFormat="1">
      <c r="B117" s="2153"/>
      <c r="C117" s="2153"/>
      <c r="D117" s="2153"/>
      <c r="E117" s="2153"/>
      <c r="F117" s="2153"/>
      <c r="G117" s="2154"/>
      <c r="H117" s="2153"/>
      <c r="I117" s="2154"/>
      <c r="J117" s="2153"/>
      <c r="K117" s="2153"/>
      <c r="L117" s="2154"/>
      <c r="M117" s="2153"/>
      <c r="N117" s="2153"/>
      <c r="O117" s="2154"/>
      <c r="P117" s="2153"/>
      <c r="Q117" s="2153"/>
      <c r="R117" s="2155"/>
    </row>
    <row r="118" spans="2:18" s="2124" customFormat="1">
      <c r="B118" s="2153"/>
      <c r="C118" s="2153"/>
      <c r="D118" s="2153"/>
      <c r="E118" s="2153"/>
      <c r="F118" s="2153"/>
      <c r="G118" s="2154"/>
      <c r="H118" s="2153"/>
      <c r="I118" s="2154"/>
      <c r="J118" s="2153"/>
      <c r="K118" s="2153"/>
      <c r="L118" s="2154"/>
      <c r="M118" s="2153"/>
      <c r="N118" s="2153"/>
      <c r="O118" s="2154"/>
      <c r="P118" s="2153"/>
      <c r="Q118" s="2153"/>
      <c r="R118" s="2155"/>
    </row>
    <row r="119" spans="2:18" s="2124" customFormat="1">
      <c r="B119" s="2153"/>
      <c r="C119" s="2153"/>
      <c r="D119" s="2153"/>
      <c r="E119" s="2153"/>
      <c r="F119" s="2153"/>
      <c r="G119" s="2154"/>
      <c r="H119" s="2153"/>
      <c r="I119" s="2154"/>
      <c r="J119" s="2153"/>
      <c r="K119" s="2153"/>
      <c r="L119" s="2154"/>
      <c r="M119" s="2153"/>
      <c r="N119" s="2153"/>
      <c r="O119" s="2154"/>
      <c r="P119" s="2153"/>
      <c r="Q119" s="2153"/>
      <c r="R119" s="2155"/>
    </row>
    <row r="120" spans="2:18" s="2124" customFormat="1">
      <c r="B120" s="2153"/>
      <c r="C120" s="2153"/>
      <c r="D120" s="2153"/>
      <c r="E120" s="2153"/>
      <c r="F120" s="2153"/>
      <c r="G120" s="2154"/>
      <c r="H120" s="2153"/>
      <c r="I120" s="2154"/>
      <c r="J120" s="2153"/>
      <c r="K120" s="2153"/>
      <c r="L120" s="2154"/>
      <c r="M120" s="2153"/>
      <c r="N120" s="2153"/>
      <c r="O120" s="2154"/>
      <c r="P120" s="2153"/>
      <c r="Q120" s="2153"/>
      <c r="R120" s="2155"/>
    </row>
    <row r="121" spans="2:18" s="2124" customFormat="1">
      <c r="B121" s="2153"/>
      <c r="C121" s="2153"/>
      <c r="D121" s="2153"/>
      <c r="E121" s="2153"/>
      <c r="F121" s="2153"/>
      <c r="G121" s="2154"/>
      <c r="H121" s="2153"/>
      <c r="I121" s="2154"/>
      <c r="J121" s="2153"/>
      <c r="K121" s="2153"/>
      <c r="L121" s="2154"/>
      <c r="M121" s="2153"/>
      <c r="N121" s="2153"/>
      <c r="O121" s="2154"/>
      <c r="P121" s="2153"/>
      <c r="Q121" s="2153"/>
      <c r="R121" s="2155"/>
    </row>
    <row r="122" spans="2:18" s="2124" customFormat="1">
      <c r="B122" s="2153"/>
      <c r="C122" s="2153"/>
      <c r="D122" s="2153"/>
      <c r="E122" s="2153"/>
      <c r="F122" s="2153"/>
      <c r="G122" s="2154"/>
      <c r="H122" s="2153"/>
      <c r="I122" s="2154"/>
      <c r="J122" s="2153"/>
      <c r="K122" s="2153"/>
      <c r="L122" s="2154"/>
      <c r="M122" s="2153"/>
      <c r="N122" s="2153"/>
      <c r="O122" s="2154"/>
      <c r="P122" s="2153"/>
      <c r="Q122" s="2153"/>
      <c r="R122" s="2155"/>
    </row>
    <row r="123" spans="2:18" s="2124" customFormat="1">
      <c r="B123" s="2153"/>
      <c r="C123" s="2153"/>
      <c r="D123" s="2153"/>
      <c r="E123" s="2153"/>
      <c r="F123" s="2153"/>
      <c r="G123" s="2154"/>
      <c r="H123" s="2153"/>
      <c r="I123" s="2154"/>
      <c r="J123" s="2153"/>
      <c r="K123" s="2153"/>
      <c r="L123" s="2154"/>
      <c r="M123" s="2153"/>
      <c r="N123" s="2153"/>
      <c r="O123" s="2154"/>
      <c r="P123" s="2153"/>
      <c r="Q123" s="2153"/>
      <c r="R123" s="2155"/>
    </row>
    <row r="124" spans="2:18" s="2124" customFormat="1">
      <c r="B124" s="2153"/>
      <c r="C124" s="2153"/>
      <c r="D124" s="2153"/>
      <c r="E124" s="2153"/>
      <c r="F124" s="2153"/>
      <c r="G124" s="2154"/>
      <c r="H124" s="2153"/>
      <c r="I124" s="2154"/>
      <c r="J124" s="2153"/>
      <c r="K124" s="2153"/>
      <c r="L124" s="2154"/>
      <c r="M124" s="2153"/>
      <c r="N124" s="2153"/>
      <c r="O124" s="2154"/>
      <c r="P124" s="2153"/>
      <c r="Q124" s="2153"/>
      <c r="R124" s="2155"/>
    </row>
    <row r="125" spans="2:18" s="2124" customFormat="1">
      <c r="B125" s="2153"/>
      <c r="C125" s="2153"/>
      <c r="D125" s="2153"/>
      <c r="E125" s="2153"/>
      <c r="F125" s="2153"/>
      <c r="G125" s="2154"/>
      <c r="H125" s="2153"/>
      <c r="I125" s="2154"/>
      <c r="J125" s="2153"/>
      <c r="K125" s="2153"/>
      <c r="L125" s="2154"/>
      <c r="M125" s="2153"/>
      <c r="N125" s="2153"/>
      <c r="O125" s="2154"/>
      <c r="P125" s="2153"/>
      <c r="Q125" s="2153"/>
      <c r="R125" s="2155"/>
    </row>
    <row r="126" spans="2:18" s="2124" customFormat="1">
      <c r="B126" s="2153"/>
      <c r="C126" s="2153"/>
      <c r="D126" s="2153"/>
      <c r="E126" s="2153"/>
      <c r="F126" s="2153"/>
      <c r="G126" s="2154"/>
      <c r="H126" s="2153"/>
      <c r="I126" s="2154"/>
      <c r="J126" s="2153"/>
      <c r="K126" s="2153"/>
      <c r="L126" s="2154"/>
      <c r="M126" s="2153"/>
      <c r="N126" s="2153"/>
      <c r="O126" s="2154"/>
      <c r="P126" s="2153"/>
      <c r="Q126" s="2153"/>
      <c r="R126" s="2155"/>
    </row>
    <row r="127" spans="2:18" s="2124" customFormat="1">
      <c r="B127" s="2153"/>
      <c r="C127" s="2153"/>
      <c r="D127" s="2153"/>
      <c r="E127" s="2153"/>
      <c r="F127" s="2153"/>
      <c r="G127" s="2154"/>
      <c r="H127" s="2153"/>
      <c r="I127" s="2154"/>
      <c r="J127" s="2153"/>
      <c r="K127" s="2153"/>
      <c r="L127" s="2154"/>
      <c r="M127" s="2153"/>
      <c r="N127" s="2153"/>
      <c r="O127" s="2154"/>
      <c r="P127" s="2153"/>
      <c r="Q127" s="2153"/>
      <c r="R127" s="2155"/>
    </row>
    <row r="128" spans="2:18" s="2124" customFormat="1">
      <c r="B128" s="2153"/>
      <c r="C128" s="2153"/>
      <c r="D128" s="2153"/>
      <c r="E128" s="2153"/>
      <c r="F128" s="2153"/>
      <c r="G128" s="2154"/>
      <c r="H128" s="2153"/>
      <c r="I128" s="2154"/>
      <c r="J128" s="2153"/>
      <c r="K128" s="2153"/>
      <c r="L128" s="2154"/>
      <c r="M128" s="2153"/>
      <c r="N128" s="2153"/>
      <c r="O128" s="2154"/>
      <c r="P128" s="2153"/>
      <c r="Q128" s="2153"/>
      <c r="R128" s="2155"/>
    </row>
    <row r="129" spans="2:18" s="2124" customFormat="1">
      <c r="B129" s="2153"/>
      <c r="C129" s="2153"/>
      <c r="D129" s="2153"/>
      <c r="E129" s="2153"/>
      <c r="F129" s="2153"/>
      <c r="G129" s="2154"/>
      <c r="H129" s="2153"/>
      <c r="I129" s="2154"/>
      <c r="J129" s="2153"/>
      <c r="K129" s="2153"/>
      <c r="L129" s="2154"/>
      <c r="M129" s="2153"/>
      <c r="N129" s="2153"/>
      <c r="O129" s="2154"/>
      <c r="P129" s="2153"/>
      <c r="Q129" s="2153"/>
      <c r="R129" s="2155"/>
    </row>
    <row r="130" spans="2:18" s="2124" customFormat="1">
      <c r="B130" s="2153"/>
      <c r="C130" s="2153"/>
      <c r="D130" s="2153"/>
      <c r="E130" s="2153"/>
      <c r="F130" s="2153"/>
      <c r="G130" s="2154"/>
      <c r="H130" s="2153"/>
      <c r="I130" s="2154"/>
      <c r="J130" s="2153"/>
      <c r="K130" s="2153"/>
      <c r="L130" s="2154"/>
      <c r="M130" s="2153"/>
      <c r="N130" s="2153"/>
      <c r="O130" s="2154"/>
      <c r="P130" s="2153"/>
      <c r="Q130" s="2153"/>
      <c r="R130" s="2155"/>
    </row>
    <row r="131" spans="2:18" s="2124" customFormat="1">
      <c r="B131" s="2153"/>
      <c r="C131" s="2153"/>
      <c r="D131" s="2153"/>
      <c r="E131" s="2153"/>
      <c r="F131" s="2153"/>
      <c r="G131" s="2154"/>
      <c r="H131" s="2153"/>
      <c r="I131" s="2154"/>
      <c r="J131" s="2153"/>
      <c r="K131" s="2153"/>
      <c r="L131" s="2154"/>
      <c r="M131" s="2153"/>
      <c r="N131" s="2153"/>
      <c r="O131" s="2154"/>
      <c r="P131" s="2153"/>
      <c r="Q131" s="2153"/>
      <c r="R131" s="2155"/>
    </row>
    <row r="132" spans="2:18" s="2124" customFormat="1">
      <c r="B132" s="2153"/>
      <c r="C132" s="2153"/>
      <c r="D132" s="2153"/>
      <c r="E132" s="2153"/>
      <c r="F132" s="2153"/>
      <c r="G132" s="2154"/>
      <c r="H132" s="2153"/>
      <c r="I132" s="2154"/>
      <c r="J132" s="2153"/>
      <c r="K132" s="2153"/>
      <c r="L132" s="2154"/>
      <c r="M132" s="2153"/>
      <c r="N132" s="2153"/>
      <c r="O132" s="2154"/>
      <c r="P132" s="2153"/>
      <c r="Q132" s="2153"/>
      <c r="R132" s="2155"/>
    </row>
    <row r="133" spans="2:18" s="2124" customFormat="1">
      <c r="B133" s="2153"/>
      <c r="C133" s="2153"/>
      <c r="D133" s="2153"/>
      <c r="E133" s="2153"/>
      <c r="F133" s="2153"/>
      <c r="G133" s="2154"/>
      <c r="H133" s="2153"/>
      <c r="I133" s="2154"/>
      <c r="J133" s="2153"/>
      <c r="K133" s="2153"/>
      <c r="L133" s="2154"/>
      <c r="M133" s="2153"/>
      <c r="N133" s="2153"/>
      <c r="O133" s="2154"/>
      <c r="P133" s="2153"/>
      <c r="Q133" s="2153"/>
      <c r="R133" s="2155"/>
    </row>
    <row r="134" spans="2:18" s="2124" customFormat="1">
      <c r="B134" s="2153"/>
      <c r="C134" s="2153"/>
      <c r="D134" s="2153"/>
      <c r="E134" s="2153"/>
      <c r="F134" s="2153"/>
      <c r="G134" s="2154"/>
      <c r="H134" s="2153"/>
      <c r="I134" s="2154"/>
      <c r="J134" s="2153"/>
      <c r="K134" s="2153"/>
      <c r="L134" s="2154"/>
      <c r="M134" s="2153"/>
      <c r="N134" s="2153"/>
      <c r="O134" s="2154"/>
      <c r="P134" s="2153"/>
      <c r="Q134" s="2153"/>
      <c r="R134" s="2155"/>
    </row>
    <row r="135" spans="2:18" s="2124" customFormat="1">
      <c r="B135" s="2153"/>
      <c r="C135" s="2153"/>
      <c r="D135" s="2153"/>
      <c r="E135" s="2153"/>
      <c r="F135" s="2153"/>
      <c r="G135" s="2154"/>
      <c r="H135" s="2153"/>
      <c r="I135" s="2154"/>
      <c r="J135" s="2153"/>
      <c r="K135" s="2153"/>
      <c r="L135" s="2154"/>
      <c r="M135" s="2153"/>
      <c r="N135" s="2153"/>
      <c r="O135" s="2154"/>
      <c r="P135" s="2153"/>
      <c r="Q135" s="2153"/>
      <c r="R135" s="2155"/>
    </row>
    <row r="136" spans="2:18" s="2124" customFormat="1">
      <c r="B136" s="2153"/>
      <c r="C136" s="2153"/>
      <c r="D136" s="2153"/>
      <c r="E136" s="2153"/>
      <c r="F136" s="2153"/>
      <c r="G136" s="2154"/>
      <c r="H136" s="2153"/>
      <c r="I136" s="2154"/>
      <c r="J136" s="2153"/>
      <c r="K136" s="2153"/>
      <c r="L136" s="2154"/>
      <c r="M136" s="2153"/>
      <c r="N136" s="2153"/>
      <c r="O136" s="2154"/>
      <c r="P136" s="2153"/>
      <c r="Q136" s="2153"/>
      <c r="R136" s="2155"/>
    </row>
    <row r="137" spans="2:18" s="2124" customFormat="1">
      <c r="B137" s="2153"/>
      <c r="C137" s="2153"/>
      <c r="D137" s="2153"/>
      <c r="E137" s="2153"/>
      <c r="F137" s="2153"/>
      <c r="G137" s="2154"/>
      <c r="H137" s="2153"/>
      <c r="I137" s="2154"/>
      <c r="J137" s="2153"/>
      <c r="K137" s="2153"/>
      <c r="L137" s="2154"/>
      <c r="M137" s="2153"/>
      <c r="N137" s="2153"/>
      <c r="O137" s="2154"/>
      <c r="P137" s="2153"/>
      <c r="Q137" s="2153"/>
      <c r="R137" s="2155"/>
    </row>
    <row r="138" spans="2:18" s="2124" customFormat="1">
      <c r="B138" s="2153"/>
      <c r="C138" s="2153"/>
      <c r="D138" s="2153"/>
      <c r="E138" s="2153"/>
      <c r="F138" s="2153"/>
      <c r="G138" s="2154"/>
      <c r="H138" s="2153"/>
      <c r="I138" s="2154"/>
      <c r="J138" s="2153"/>
      <c r="K138" s="2153"/>
      <c r="L138" s="2154"/>
      <c r="M138" s="2153"/>
      <c r="N138" s="2153"/>
      <c r="O138" s="2154"/>
      <c r="P138" s="2153"/>
      <c r="Q138" s="2153"/>
      <c r="R138" s="2155"/>
    </row>
    <row r="139" spans="2:18" s="2124" customFormat="1">
      <c r="B139" s="2153"/>
      <c r="C139" s="2153"/>
      <c r="D139" s="2153"/>
      <c r="E139" s="2153"/>
      <c r="F139" s="2153"/>
      <c r="G139" s="2154"/>
      <c r="H139" s="2153"/>
      <c r="I139" s="2154"/>
      <c r="J139" s="2153"/>
      <c r="K139" s="2153"/>
      <c r="L139" s="2154"/>
      <c r="M139" s="2153"/>
      <c r="N139" s="2153"/>
      <c r="O139" s="2154"/>
      <c r="P139" s="2153"/>
      <c r="Q139" s="2153"/>
      <c r="R139" s="2155"/>
    </row>
    <row r="140" spans="2:18" s="2124" customFormat="1">
      <c r="B140" s="2153"/>
      <c r="C140" s="2153"/>
      <c r="D140" s="2153"/>
      <c r="E140" s="2153"/>
      <c r="F140" s="2153"/>
      <c r="G140" s="2154"/>
      <c r="H140" s="2153"/>
      <c r="I140" s="2154"/>
      <c r="J140" s="2153"/>
      <c r="K140" s="2153"/>
      <c r="L140" s="2154"/>
      <c r="M140" s="2153"/>
      <c r="N140" s="2153"/>
      <c r="O140" s="2154"/>
      <c r="P140" s="2153"/>
      <c r="Q140" s="2153"/>
      <c r="R140" s="2155"/>
    </row>
    <row r="141" spans="2:18" s="2124" customFormat="1">
      <c r="B141" s="2153"/>
      <c r="C141" s="2153"/>
      <c r="D141" s="2153"/>
      <c r="E141" s="2153"/>
      <c r="F141" s="2153"/>
      <c r="G141" s="2154"/>
      <c r="H141" s="2153"/>
      <c r="I141" s="2154"/>
      <c r="J141" s="2153"/>
      <c r="K141" s="2153"/>
      <c r="L141" s="2154"/>
      <c r="M141" s="2153"/>
      <c r="N141" s="2153"/>
      <c r="O141" s="2154"/>
      <c r="P141" s="2153"/>
      <c r="Q141" s="2153"/>
      <c r="R141" s="2155"/>
    </row>
    <row r="142" spans="2:18" s="2124" customFormat="1">
      <c r="B142" s="2153"/>
      <c r="C142" s="2153"/>
      <c r="D142" s="2153"/>
      <c r="E142" s="2153"/>
      <c r="F142" s="2153"/>
      <c r="G142" s="2154"/>
      <c r="H142" s="2153"/>
      <c r="I142" s="2154"/>
      <c r="J142" s="2153"/>
      <c r="K142" s="2153"/>
      <c r="L142" s="2154"/>
      <c r="M142" s="2153"/>
      <c r="N142" s="2153"/>
      <c r="O142" s="2154"/>
      <c r="P142" s="2153"/>
      <c r="Q142" s="2153"/>
      <c r="R142" s="2155"/>
    </row>
    <row r="143" spans="2:18" s="2124" customFormat="1">
      <c r="B143" s="2153"/>
      <c r="C143" s="2153"/>
      <c r="D143" s="2153"/>
      <c r="E143" s="2153"/>
      <c r="F143" s="2153"/>
      <c r="G143" s="2154"/>
      <c r="H143" s="2153"/>
      <c r="I143" s="2154"/>
      <c r="J143" s="2153"/>
      <c r="K143" s="2153"/>
      <c r="L143" s="2154"/>
      <c r="M143" s="2153"/>
      <c r="N143" s="2153"/>
      <c r="O143" s="2154"/>
      <c r="P143" s="2153"/>
      <c r="Q143" s="2153"/>
      <c r="R143" s="2155"/>
    </row>
    <row r="144" spans="2:18" s="2124" customFormat="1">
      <c r="B144" s="2153"/>
      <c r="C144" s="2153"/>
      <c r="D144" s="2153"/>
      <c r="E144" s="2153"/>
      <c r="F144" s="2153"/>
      <c r="G144" s="2154"/>
      <c r="H144" s="2153"/>
      <c r="I144" s="2154"/>
      <c r="J144" s="2153"/>
      <c r="K144" s="2153"/>
      <c r="L144" s="2154"/>
      <c r="M144" s="2153"/>
      <c r="N144" s="2153"/>
      <c r="O144" s="2154"/>
      <c r="P144" s="2153"/>
      <c r="Q144" s="2153"/>
      <c r="R144" s="2155"/>
    </row>
    <row r="145" spans="2:18" s="2124" customFormat="1">
      <c r="B145" s="2153"/>
      <c r="C145" s="2153"/>
      <c r="D145" s="2153"/>
      <c r="E145" s="2153"/>
      <c r="F145" s="2153"/>
      <c r="G145" s="2154"/>
      <c r="H145" s="2153"/>
      <c r="I145" s="2154"/>
      <c r="J145" s="2153"/>
      <c r="K145" s="2153"/>
      <c r="L145" s="2154"/>
      <c r="M145" s="2153"/>
      <c r="N145" s="2153"/>
      <c r="O145" s="2154"/>
      <c r="P145" s="2153"/>
      <c r="Q145" s="2153"/>
      <c r="R145" s="2155"/>
    </row>
    <row r="146" spans="2:18" s="2124" customFormat="1">
      <c r="B146" s="2153"/>
      <c r="C146" s="2153"/>
      <c r="D146" s="2153"/>
      <c r="E146" s="2153"/>
      <c r="F146" s="2153"/>
      <c r="G146" s="2154"/>
      <c r="H146" s="2153"/>
      <c r="I146" s="2154"/>
      <c r="J146" s="2153"/>
      <c r="K146" s="2153"/>
      <c r="L146" s="2154"/>
      <c r="M146" s="2153"/>
      <c r="N146" s="2153"/>
      <c r="O146" s="2154"/>
      <c r="P146" s="2153"/>
      <c r="Q146" s="2153"/>
      <c r="R146" s="2155"/>
    </row>
    <row r="147" spans="2:18" s="2124" customFormat="1">
      <c r="B147" s="2153"/>
      <c r="C147" s="2153"/>
      <c r="D147" s="2153"/>
      <c r="E147" s="2153"/>
      <c r="F147" s="2153"/>
      <c r="G147" s="2154"/>
      <c r="H147" s="2153"/>
      <c r="I147" s="2154"/>
      <c r="J147" s="2153"/>
      <c r="K147" s="2153"/>
      <c r="L147" s="2154"/>
      <c r="M147" s="2153"/>
      <c r="N147" s="2153"/>
      <c r="O147" s="2154"/>
      <c r="P147" s="2153"/>
      <c r="Q147" s="2153"/>
      <c r="R147" s="2155"/>
    </row>
    <row r="148" spans="2:18" s="2124" customFormat="1">
      <c r="B148" s="2153"/>
      <c r="C148" s="2153"/>
      <c r="D148" s="2153"/>
      <c r="E148" s="2153"/>
      <c r="F148" s="2153"/>
      <c r="G148" s="2154"/>
      <c r="H148" s="2153"/>
      <c r="I148" s="2154"/>
      <c r="J148" s="2153"/>
      <c r="K148" s="2153"/>
      <c r="L148" s="2154"/>
      <c r="M148" s="2153"/>
      <c r="N148" s="2153"/>
      <c r="O148" s="2154"/>
      <c r="P148" s="2153"/>
      <c r="Q148" s="2153"/>
      <c r="R148" s="2155"/>
    </row>
    <row r="149" spans="2:18" s="2124" customFormat="1">
      <c r="B149" s="2153"/>
      <c r="C149" s="2153"/>
      <c r="D149" s="2153"/>
      <c r="E149" s="2153"/>
      <c r="F149" s="2153"/>
      <c r="G149" s="2154"/>
      <c r="H149" s="2153"/>
      <c r="I149" s="2154"/>
      <c r="J149" s="2153"/>
      <c r="K149" s="2153"/>
      <c r="L149" s="2154"/>
      <c r="M149" s="2153"/>
      <c r="N149" s="2153"/>
      <c r="O149" s="2154"/>
      <c r="P149" s="2153"/>
      <c r="Q149" s="2153"/>
      <c r="R149" s="2155"/>
    </row>
    <row r="150" spans="2:18" s="2124" customFormat="1">
      <c r="B150" s="2153"/>
      <c r="C150" s="2153"/>
      <c r="D150" s="2153"/>
      <c r="E150" s="2153"/>
      <c r="F150" s="2153"/>
      <c r="G150" s="2154"/>
      <c r="H150" s="2153"/>
      <c r="I150" s="2154"/>
      <c r="J150" s="2153"/>
      <c r="K150" s="2153"/>
      <c r="L150" s="2154"/>
      <c r="M150" s="2153"/>
      <c r="N150" s="2153"/>
      <c r="O150" s="2154"/>
      <c r="P150" s="2153"/>
      <c r="Q150" s="2153"/>
      <c r="R150" s="2155"/>
    </row>
    <row r="151" spans="2:18" s="2124" customFormat="1">
      <c r="B151" s="2153"/>
      <c r="C151" s="2153"/>
      <c r="D151" s="2153"/>
      <c r="E151" s="2153"/>
      <c r="F151" s="2153"/>
      <c r="G151" s="2154"/>
      <c r="H151" s="2153"/>
      <c r="I151" s="2154"/>
      <c r="J151" s="2153"/>
      <c r="K151" s="2153"/>
      <c r="L151" s="2154"/>
      <c r="M151" s="2153"/>
      <c r="N151" s="2153"/>
      <c r="O151" s="2154"/>
      <c r="P151" s="2153"/>
      <c r="Q151" s="2153"/>
      <c r="R151" s="2155"/>
    </row>
    <row r="152" spans="2:18" s="2124" customFormat="1">
      <c r="B152" s="2153"/>
      <c r="C152" s="2153"/>
      <c r="D152" s="2153"/>
      <c r="E152" s="2153"/>
      <c r="F152" s="2153"/>
      <c r="G152" s="2154"/>
      <c r="H152" s="2153"/>
      <c r="I152" s="2154"/>
      <c r="J152" s="2153"/>
      <c r="K152" s="2153"/>
      <c r="L152" s="2154"/>
      <c r="M152" s="2153"/>
      <c r="N152" s="2153"/>
      <c r="O152" s="2154"/>
      <c r="P152" s="2153"/>
      <c r="Q152" s="2153"/>
      <c r="R152" s="2155"/>
    </row>
    <row r="153" spans="2:18" s="2124" customFormat="1">
      <c r="B153" s="2153"/>
      <c r="C153" s="2153"/>
      <c r="D153" s="2153"/>
      <c r="E153" s="2153"/>
      <c r="F153" s="2153"/>
      <c r="G153" s="2154"/>
      <c r="H153" s="2153"/>
      <c r="I153" s="2154"/>
      <c r="J153" s="2153"/>
      <c r="K153" s="2153"/>
      <c r="L153" s="2154"/>
      <c r="M153" s="2153"/>
      <c r="N153" s="2153"/>
      <c r="O153" s="2154"/>
      <c r="P153" s="2153"/>
      <c r="Q153" s="2153"/>
      <c r="R153" s="2155"/>
    </row>
    <row r="154" spans="2:18" s="2124" customFormat="1">
      <c r="B154" s="2153"/>
      <c r="C154" s="2153"/>
      <c r="D154" s="2153"/>
      <c r="E154" s="2153"/>
      <c r="F154" s="2153"/>
      <c r="G154" s="2154"/>
      <c r="H154" s="2153"/>
      <c r="I154" s="2154"/>
      <c r="J154" s="2153"/>
      <c r="K154" s="2153"/>
      <c r="L154" s="2154"/>
      <c r="M154" s="2153"/>
      <c r="N154" s="2153"/>
      <c r="O154" s="2154"/>
      <c r="P154" s="2153"/>
      <c r="Q154" s="2153"/>
      <c r="R154" s="2155"/>
    </row>
    <row r="155" spans="2:18" s="2124" customFormat="1">
      <c r="B155" s="2153"/>
      <c r="C155" s="2153"/>
      <c r="D155" s="2153"/>
      <c r="E155" s="2153"/>
      <c r="F155" s="2153"/>
      <c r="G155" s="2154"/>
      <c r="H155" s="2153"/>
      <c r="I155" s="2154"/>
      <c r="J155" s="2153"/>
      <c r="K155" s="2153"/>
      <c r="L155" s="2154"/>
      <c r="M155" s="2153"/>
      <c r="N155" s="2153"/>
      <c r="O155" s="2154"/>
      <c r="P155" s="2153"/>
      <c r="Q155" s="2153"/>
      <c r="R155" s="2155"/>
    </row>
    <row r="156" spans="2:18" s="2124" customFormat="1">
      <c r="B156" s="2153"/>
      <c r="C156" s="2153"/>
      <c r="D156" s="2153"/>
      <c r="E156" s="2153"/>
      <c r="F156" s="2153"/>
      <c r="G156" s="2154"/>
      <c r="H156" s="2153"/>
      <c r="I156" s="2154"/>
      <c r="J156" s="2153"/>
      <c r="K156" s="2153"/>
      <c r="L156" s="2154"/>
      <c r="M156" s="2153"/>
      <c r="N156" s="2153"/>
      <c r="O156" s="2154"/>
      <c r="P156" s="2153"/>
      <c r="Q156" s="2153"/>
      <c r="R156" s="2155"/>
    </row>
    <row r="157" spans="2:18" s="2124" customFormat="1">
      <c r="B157" s="2153"/>
      <c r="C157" s="2153"/>
      <c r="D157" s="2153"/>
      <c r="E157" s="2153"/>
      <c r="F157" s="2153"/>
      <c r="G157" s="2154"/>
      <c r="H157" s="2153"/>
      <c r="I157" s="2154"/>
      <c r="J157" s="2153"/>
      <c r="K157" s="2153"/>
      <c r="L157" s="2154"/>
      <c r="M157" s="2153"/>
      <c r="N157" s="2153"/>
      <c r="O157" s="2154"/>
      <c r="P157" s="2153"/>
      <c r="Q157" s="2153"/>
      <c r="R157" s="2155"/>
    </row>
    <row r="158" spans="2:18" s="2124" customFormat="1">
      <c r="B158" s="2153"/>
      <c r="C158" s="2153"/>
      <c r="D158" s="2153"/>
      <c r="E158" s="2153"/>
      <c r="F158" s="2153"/>
      <c r="G158" s="2154"/>
      <c r="H158" s="2153"/>
      <c r="I158" s="2154"/>
      <c r="J158" s="2153"/>
      <c r="K158" s="2153"/>
      <c r="L158" s="2154"/>
      <c r="M158" s="2153"/>
      <c r="N158" s="2153"/>
      <c r="O158" s="2154"/>
      <c r="P158" s="2153"/>
      <c r="Q158" s="2153"/>
      <c r="R158" s="2155"/>
    </row>
    <row r="159" spans="2:18" s="2124" customFormat="1">
      <c r="B159" s="2153"/>
      <c r="C159" s="2153"/>
      <c r="D159" s="2153"/>
      <c r="E159" s="2153"/>
      <c r="F159" s="2153"/>
      <c r="G159" s="2154"/>
      <c r="H159" s="2153"/>
      <c r="I159" s="2154"/>
      <c r="J159" s="2153"/>
      <c r="K159" s="2153"/>
      <c r="L159" s="2154"/>
      <c r="M159" s="2153"/>
      <c r="N159" s="2153"/>
      <c r="O159" s="2154"/>
      <c r="P159" s="2153"/>
      <c r="Q159" s="2153"/>
      <c r="R159" s="2155"/>
    </row>
    <row r="160" spans="2:18" s="2124" customFormat="1">
      <c r="B160" s="2153"/>
      <c r="C160" s="2153"/>
      <c r="D160" s="2153"/>
      <c r="E160" s="2153"/>
      <c r="F160" s="2153"/>
      <c r="G160" s="2154"/>
      <c r="H160" s="2153"/>
      <c r="I160" s="2154"/>
      <c r="J160" s="2153"/>
      <c r="K160" s="2153"/>
      <c r="L160" s="2154"/>
      <c r="M160" s="2153"/>
      <c r="N160" s="2153"/>
      <c r="O160" s="2154"/>
      <c r="P160" s="2153"/>
      <c r="Q160" s="2153"/>
      <c r="R160" s="2155"/>
    </row>
    <row r="161" spans="2:18" s="2124" customFormat="1">
      <c r="B161" s="2153"/>
      <c r="C161" s="2153"/>
      <c r="D161" s="2153"/>
      <c r="E161" s="2153"/>
      <c r="F161" s="2153"/>
      <c r="G161" s="2154"/>
      <c r="H161" s="2153"/>
      <c r="I161" s="2154"/>
      <c r="J161" s="2153"/>
      <c r="K161" s="2153"/>
      <c r="L161" s="2154"/>
      <c r="M161" s="2153"/>
      <c r="N161" s="2153"/>
      <c r="O161" s="2154"/>
      <c r="P161" s="2153"/>
      <c r="Q161" s="2153"/>
      <c r="R161" s="2155"/>
    </row>
    <row r="162" spans="2:18" s="2124" customFormat="1">
      <c r="B162" s="2153"/>
      <c r="C162" s="2153"/>
      <c r="D162" s="2153"/>
      <c r="E162" s="2153"/>
      <c r="F162" s="2153"/>
      <c r="G162" s="2154"/>
      <c r="H162" s="2153"/>
      <c r="I162" s="2154"/>
      <c r="J162" s="2153"/>
      <c r="K162" s="2153"/>
      <c r="L162" s="2154"/>
      <c r="M162" s="2153"/>
      <c r="N162" s="2153"/>
      <c r="O162" s="2154"/>
      <c r="P162" s="2153"/>
      <c r="Q162" s="2153"/>
      <c r="R162" s="2155"/>
    </row>
    <row r="163" spans="2:18" s="2124" customFormat="1">
      <c r="B163" s="2153"/>
      <c r="C163" s="2153"/>
      <c r="D163" s="2153"/>
      <c r="E163" s="2153"/>
      <c r="F163" s="2153"/>
      <c r="G163" s="2154"/>
      <c r="H163" s="2153"/>
      <c r="I163" s="2154"/>
      <c r="J163" s="2153"/>
      <c r="K163" s="2153"/>
      <c r="L163" s="2154"/>
      <c r="M163" s="2153"/>
      <c r="N163" s="2153"/>
      <c r="O163" s="2154"/>
      <c r="P163" s="2153"/>
      <c r="Q163" s="2153"/>
      <c r="R163" s="2155"/>
    </row>
    <row r="164" spans="2:18" s="2124" customFormat="1">
      <c r="B164" s="2153"/>
      <c r="C164" s="2153"/>
      <c r="D164" s="2153"/>
      <c r="E164" s="2153"/>
      <c r="F164" s="2153"/>
      <c r="G164" s="2154"/>
      <c r="H164" s="2153"/>
      <c r="I164" s="2154"/>
      <c r="J164" s="2153"/>
      <c r="K164" s="2153"/>
      <c r="L164" s="2154"/>
      <c r="M164" s="2153"/>
      <c r="N164" s="2153"/>
      <c r="O164" s="2154"/>
      <c r="P164" s="2153"/>
      <c r="Q164" s="2153"/>
      <c r="R164" s="2155"/>
    </row>
    <row r="165" spans="2:18" s="2124" customFormat="1">
      <c r="B165" s="2153"/>
      <c r="C165" s="2153"/>
      <c r="D165" s="2153"/>
      <c r="E165" s="2153"/>
      <c r="F165" s="2153"/>
      <c r="G165" s="2154"/>
      <c r="H165" s="2153"/>
      <c r="I165" s="2154"/>
      <c r="J165" s="2153"/>
      <c r="K165" s="2153"/>
      <c r="L165" s="2154"/>
      <c r="M165" s="2153"/>
      <c r="N165" s="2153"/>
      <c r="O165" s="2154"/>
      <c r="P165" s="2153"/>
      <c r="Q165" s="2153"/>
      <c r="R165" s="2155"/>
    </row>
    <row r="166" spans="2:18" s="2124" customFormat="1">
      <c r="B166" s="2153"/>
      <c r="C166" s="2153"/>
      <c r="D166" s="2153"/>
      <c r="E166" s="2153"/>
      <c r="F166" s="2153"/>
      <c r="G166" s="2154"/>
      <c r="H166" s="2153"/>
      <c r="I166" s="2154"/>
      <c r="J166" s="2153"/>
      <c r="K166" s="2153"/>
      <c r="L166" s="2154"/>
      <c r="M166" s="2153"/>
      <c r="N166" s="2153"/>
      <c r="O166" s="2154"/>
      <c r="P166" s="2153"/>
      <c r="Q166" s="2153"/>
      <c r="R166" s="2155"/>
    </row>
    <row r="167" spans="2:18" s="2124" customFormat="1">
      <c r="B167" s="2153"/>
      <c r="C167" s="2153"/>
      <c r="D167" s="2153"/>
      <c r="E167" s="2153"/>
      <c r="F167" s="2153"/>
      <c r="G167" s="2154"/>
      <c r="H167" s="2153"/>
      <c r="I167" s="2154"/>
      <c r="J167" s="2153"/>
      <c r="K167" s="2153"/>
      <c r="L167" s="2154"/>
      <c r="M167" s="2153"/>
      <c r="N167" s="2153"/>
      <c r="O167" s="2154"/>
      <c r="P167" s="2153"/>
      <c r="Q167" s="2153"/>
      <c r="R167" s="2155"/>
    </row>
    <row r="168" spans="2:18" s="2124" customFormat="1">
      <c r="B168" s="2153"/>
      <c r="C168" s="2153"/>
      <c r="D168" s="2153"/>
      <c r="E168" s="2153"/>
      <c r="F168" s="2153"/>
      <c r="G168" s="2154"/>
      <c r="H168" s="2153"/>
      <c r="I168" s="2154"/>
      <c r="J168" s="2153"/>
      <c r="K168" s="2153"/>
      <c r="L168" s="2154"/>
      <c r="M168" s="2153"/>
      <c r="N168" s="2153"/>
      <c r="O168" s="2154"/>
      <c r="P168" s="2153"/>
      <c r="Q168" s="2153"/>
      <c r="R168" s="2155"/>
    </row>
    <row r="169" spans="2:18" s="2124" customFormat="1">
      <c r="B169" s="2153"/>
      <c r="C169" s="2153"/>
      <c r="D169" s="2153"/>
      <c r="E169" s="2153"/>
      <c r="F169" s="2153"/>
      <c r="G169" s="2154"/>
      <c r="H169" s="2153"/>
      <c r="I169" s="2154"/>
      <c r="J169" s="2153"/>
      <c r="K169" s="2153"/>
      <c r="L169" s="2154"/>
      <c r="M169" s="2153"/>
      <c r="N169" s="2153"/>
      <c r="O169" s="2154"/>
      <c r="P169" s="2153"/>
      <c r="Q169" s="2153"/>
      <c r="R169" s="2155"/>
    </row>
    <row r="170" spans="2:18" s="2124" customFormat="1">
      <c r="B170" s="2153"/>
      <c r="C170" s="2153"/>
      <c r="D170" s="2153"/>
      <c r="E170" s="2153"/>
      <c r="F170" s="2153"/>
      <c r="G170" s="2154"/>
      <c r="H170" s="2153"/>
      <c r="I170" s="2154"/>
      <c r="J170" s="2153"/>
      <c r="K170" s="2153"/>
      <c r="L170" s="2154"/>
      <c r="M170" s="2153"/>
      <c r="N170" s="2153"/>
      <c r="O170" s="2154"/>
      <c r="P170" s="2153"/>
      <c r="Q170" s="2153"/>
      <c r="R170" s="2155"/>
    </row>
    <row r="171" spans="2:18" s="2124" customFormat="1">
      <c r="B171" s="2153"/>
      <c r="C171" s="2153"/>
      <c r="D171" s="2153"/>
      <c r="E171" s="2153"/>
      <c r="F171" s="2153"/>
      <c r="G171" s="2154"/>
      <c r="H171" s="2153"/>
      <c r="I171" s="2154"/>
      <c r="J171" s="2153"/>
      <c r="K171" s="2153"/>
      <c r="L171" s="2154"/>
      <c r="M171" s="2153"/>
      <c r="N171" s="2153"/>
      <c r="O171" s="2154"/>
      <c r="P171" s="2153"/>
      <c r="Q171" s="2153"/>
      <c r="R171" s="2155"/>
    </row>
    <row r="172" spans="2:18" s="2124" customFormat="1">
      <c r="B172" s="2153"/>
      <c r="C172" s="2153"/>
      <c r="D172" s="2153"/>
      <c r="E172" s="2153"/>
      <c r="F172" s="2153"/>
      <c r="G172" s="2154"/>
      <c r="H172" s="2153"/>
      <c r="I172" s="2154"/>
      <c r="J172" s="2153"/>
      <c r="K172" s="2153"/>
      <c r="L172" s="2154"/>
      <c r="M172" s="2153"/>
      <c r="N172" s="2153"/>
      <c r="O172" s="2154"/>
      <c r="P172" s="2153"/>
      <c r="Q172" s="2153"/>
      <c r="R172" s="2155"/>
    </row>
    <row r="173" spans="2:18" s="2124" customFormat="1">
      <c r="B173" s="2153"/>
      <c r="C173" s="2153"/>
      <c r="D173" s="2153"/>
      <c r="E173" s="2153"/>
      <c r="F173" s="2153"/>
      <c r="G173" s="2154"/>
      <c r="H173" s="2153"/>
      <c r="I173" s="2154"/>
      <c r="J173" s="2153"/>
      <c r="K173" s="2153"/>
      <c r="L173" s="2154"/>
      <c r="M173" s="2153"/>
      <c r="N173" s="2153"/>
      <c r="O173" s="2154"/>
      <c r="P173" s="2153"/>
      <c r="Q173" s="2153"/>
      <c r="R173" s="2155"/>
    </row>
    <row r="174" spans="2:18" s="2124" customFormat="1">
      <c r="B174" s="2153"/>
      <c r="C174" s="2153"/>
      <c r="D174" s="2153"/>
      <c r="E174" s="2153"/>
      <c r="F174" s="2153"/>
      <c r="G174" s="2154"/>
      <c r="H174" s="2153"/>
      <c r="I174" s="2154"/>
      <c r="J174" s="2153"/>
      <c r="K174" s="2153"/>
      <c r="L174" s="2154"/>
      <c r="M174" s="2153"/>
      <c r="N174" s="2153"/>
      <c r="O174" s="2154"/>
      <c r="P174" s="2153"/>
      <c r="Q174" s="2153"/>
      <c r="R174" s="2155"/>
    </row>
    <row r="175" spans="2:18" s="2124" customFormat="1">
      <c r="B175" s="2153"/>
      <c r="C175" s="2153"/>
      <c r="D175" s="2153"/>
      <c r="E175" s="2153"/>
      <c r="F175" s="2153"/>
      <c r="G175" s="2154"/>
      <c r="H175" s="2153"/>
      <c r="I175" s="2154"/>
      <c r="J175" s="2153"/>
      <c r="K175" s="2153"/>
      <c r="L175" s="2154"/>
      <c r="M175" s="2153"/>
      <c r="N175" s="2153"/>
      <c r="O175" s="2154"/>
      <c r="P175" s="2153"/>
      <c r="Q175" s="2153"/>
      <c r="R175" s="2155"/>
    </row>
    <row r="176" spans="2:18" s="2124" customFormat="1">
      <c r="B176" s="2153"/>
      <c r="C176" s="2153"/>
      <c r="D176" s="2153"/>
      <c r="E176" s="2153"/>
      <c r="F176" s="2153"/>
      <c r="G176" s="2154"/>
      <c r="H176" s="2153"/>
      <c r="I176" s="2154"/>
      <c r="J176" s="2153"/>
      <c r="K176" s="2153"/>
      <c r="L176" s="2154"/>
      <c r="M176" s="2153"/>
      <c r="N176" s="2153"/>
      <c r="O176" s="2154"/>
      <c r="P176" s="2153"/>
      <c r="Q176" s="2153"/>
      <c r="R176" s="2155"/>
    </row>
    <row r="177" spans="1:18" s="2124" customFormat="1">
      <c r="B177" s="2153"/>
      <c r="C177" s="2153"/>
      <c r="D177" s="2153"/>
      <c r="E177" s="2153"/>
      <c r="F177" s="2153"/>
      <c r="G177" s="2154"/>
      <c r="H177" s="2153"/>
      <c r="I177" s="2154"/>
      <c r="J177" s="2153"/>
      <c r="K177" s="2153"/>
      <c r="L177" s="2154"/>
      <c r="M177" s="2153"/>
      <c r="N177" s="2153"/>
      <c r="O177" s="2154"/>
      <c r="P177" s="2153"/>
      <c r="Q177" s="2153"/>
      <c r="R177" s="2155"/>
    </row>
    <row r="178" spans="1:18" s="2124" customFormat="1">
      <c r="B178" s="2153"/>
      <c r="C178" s="2153"/>
      <c r="D178" s="2153"/>
      <c r="E178" s="2153"/>
      <c r="F178" s="2153"/>
      <c r="G178" s="2154"/>
      <c r="H178" s="2153"/>
      <c r="I178" s="2154"/>
      <c r="J178" s="2153"/>
      <c r="K178" s="2153"/>
      <c r="L178" s="2154"/>
      <c r="M178" s="2153"/>
      <c r="N178" s="2153"/>
      <c r="O178" s="2154"/>
      <c r="P178" s="2153"/>
      <c r="Q178" s="2153"/>
      <c r="R178" s="2155"/>
    </row>
    <row r="179" spans="1:18" s="2124" customFormat="1">
      <c r="B179" s="2153"/>
      <c r="C179" s="2153"/>
      <c r="D179" s="2153"/>
      <c r="E179" s="2153"/>
      <c r="F179" s="2153"/>
      <c r="G179" s="2154"/>
      <c r="H179" s="2153"/>
      <c r="I179" s="2154"/>
      <c r="J179" s="2153"/>
      <c r="K179" s="2153"/>
      <c r="L179" s="2154"/>
      <c r="M179" s="2153"/>
      <c r="N179" s="2153"/>
      <c r="O179" s="2154"/>
      <c r="P179" s="2153"/>
      <c r="Q179" s="2153"/>
      <c r="R179" s="2155"/>
    </row>
    <row r="180" spans="1:18" s="2124" customFormat="1">
      <c r="B180" s="2153"/>
      <c r="C180" s="2153"/>
      <c r="D180" s="2153"/>
      <c r="E180" s="2153"/>
      <c r="F180" s="2153"/>
      <c r="G180" s="2154"/>
      <c r="H180" s="2153"/>
      <c r="I180" s="2154"/>
      <c r="J180" s="2153"/>
      <c r="K180" s="2153"/>
      <c r="L180" s="2154"/>
      <c r="M180" s="2153"/>
      <c r="N180" s="2153"/>
      <c r="O180" s="2154"/>
      <c r="P180" s="2153"/>
      <c r="Q180" s="2153"/>
      <c r="R180" s="2155"/>
    </row>
    <row r="181" spans="1:18" s="2124" customFormat="1">
      <c r="B181" s="2153"/>
      <c r="C181" s="2153"/>
      <c r="D181" s="2153"/>
      <c r="E181" s="2153"/>
      <c r="F181" s="2153"/>
      <c r="G181" s="2154"/>
      <c r="H181" s="2153"/>
      <c r="I181" s="2154"/>
      <c r="J181" s="2153"/>
      <c r="K181" s="2153"/>
      <c r="L181" s="2154"/>
      <c r="M181" s="2153"/>
      <c r="N181" s="2153"/>
      <c r="O181" s="2154"/>
      <c r="P181" s="2153"/>
      <c r="Q181" s="2153"/>
      <c r="R181" s="2155"/>
    </row>
    <row r="182" spans="1:18" s="2124" customFormat="1">
      <c r="B182" s="2153"/>
      <c r="C182" s="2153"/>
      <c r="D182" s="2153"/>
      <c r="E182" s="2153"/>
      <c r="F182" s="2153"/>
      <c r="G182" s="2154"/>
      <c r="H182" s="2153"/>
      <c r="I182" s="2154"/>
      <c r="J182" s="2153"/>
      <c r="K182" s="2153"/>
      <c r="L182" s="2154"/>
      <c r="M182" s="2153"/>
      <c r="N182" s="2153"/>
      <c r="O182" s="2154"/>
      <c r="P182" s="2153"/>
      <c r="Q182" s="2153"/>
      <c r="R182" s="2155"/>
    </row>
    <row r="183" spans="1:18" s="2124" customFormat="1">
      <c r="B183" s="2153"/>
      <c r="C183" s="2153"/>
      <c r="D183" s="2153"/>
      <c r="E183" s="2153"/>
      <c r="F183" s="2153"/>
      <c r="G183" s="2154"/>
      <c r="H183" s="2153"/>
      <c r="I183" s="2154"/>
      <c r="J183" s="2153"/>
      <c r="K183" s="2153"/>
      <c r="L183" s="2154"/>
      <c r="M183" s="2153"/>
      <c r="N183" s="2153"/>
      <c r="O183" s="2154"/>
      <c r="P183" s="2153"/>
      <c r="Q183" s="2153"/>
      <c r="R183" s="2155"/>
    </row>
    <row r="184" spans="1:18" s="2124" customFormat="1">
      <c r="B184" s="2153"/>
      <c r="C184" s="2153"/>
      <c r="D184" s="2153"/>
      <c r="E184" s="2153"/>
      <c r="F184" s="2153"/>
      <c r="G184" s="2154"/>
      <c r="H184" s="2153"/>
      <c r="I184" s="2154"/>
      <c r="J184" s="2153"/>
      <c r="K184" s="2153"/>
      <c r="L184" s="2154"/>
      <c r="M184" s="2153"/>
      <c r="N184" s="2153"/>
      <c r="O184" s="2154"/>
      <c r="P184" s="2153"/>
      <c r="Q184" s="2153"/>
      <c r="R184" s="2155"/>
    </row>
    <row r="185" spans="1:18" s="2124" customFormat="1">
      <c r="B185" s="2153"/>
      <c r="C185" s="2153"/>
      <c r="D185" s="2153"/>
      <c r="E185" s="2153"/>
      <c r="F185" s="2153"/>
      <c r="G185" s="2154"/>
      <c r="H185" s="2153"/>
      <c r="I185" s="2154"/>
      <c r="J185" s="2153"/>
      <c r="K185" s="2153"/>
      <c r="L185" s="2154"/>
      <c r="M185" s="2153"/>
      <c r="N185" s="2153"/>
      <c r="O185" s="2154"/>
      <c r="P185" s="2153"/>
      <c r="Q185" s="2153"/>
      <c r="R185" s="2155"/>
    </row>
    <row r="186" spans="1:18">
      <c r="A186" s="2124"/>
      <c r="B186" s="2153"/>
      <c r="C186" s="2153"/>
      <c r="E186" s="2153"/>
      <c r="F186" s="2153"/>
      <c r="G186" s="2154"/>
    </row>
    <row r="187" spans="1:18">
      <c r="A187" s="2124"/>
      <c r="B187" s="2153"/>
      <c r="C187" s="2153"/>
      <c r="E187" s="2153"/>
      <c r="F187" s="2153"/>
      <c r="G187" s="215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H20" sqref="H20"/>
    </sheetView>
  </sheetViews>
  <sheetFormatPr defaultColWidth="14.625" defaultRowHeight="13.5"/>
  <cols>
    <col min="1" max="1" width="24.375" style="1073" customWidth="1"/>
    <col min="2" max="16384" width="14.625" style="1073"/>
  </cols>
  <sheetData>
    <row r="1" spans="1:9" ht="16.5">
      <c r="A1" s="2741" t="s">
        <v>1219</v>
      </c>
      <c r="B1" s="2741">
        <f>SUM(B14:B23)</f>
        <v>378.66</v>
      </c>
      <c r="C1" s="2738"/>
      <c r="D1" s="2738"/>
      <c r="E1" s="2738"/>
      <c r="F1" s="2738"/>
      <c r="G1" s="2739"/>
    </row>
    <row r="2" spans="1:9" ht="16.5">
      <c r="A2" s="2741" t="s">
        <v>1220</v>
      </c>
      <c r="B2" s="2741">
        <f>SUM(C14:C23)</f>
        <v>0</v>
      </c>
      <c r="C2" s="2738"/>
      <c r="D2" s="2738"/>
      <c r="E2" s="2738"/>
      <c r="F2" s="2738"/>
      <c r="G2" s="2739"/>
    </row>
    <row r="3" spans="1:9" ht="16.5">
      <c r="A3" s="2741" t="s">
        <v>1221</v>
      </c>
      <c r="B3" s="2742">
        <f>项目基本情况!D2</f>
        <v>43999</v>
      </c>
      <c r="C3" s="2738"/>
      <c r="D3" s="2738"/>
      <c r="E3" s="2738"/>
      <c r="F3" s="2738"/>
      <c r="G3" s="2739"/>
    </row>
    <row r="4" spans="1:9" ht="33">
      <c r="A4" s="2741" t="s">
        <v>1222</v>
      </c>
      <c r="B4" s="2741" t="s">
        <v>1223</v>
      </c>
      <c r="C4" s="2741" t="s">
        <v>1224</v>
      </c>
      <c r="D4" s="2741" t="s">
        <v>1225</v>
      </c>
      <c r="E4" s="2738"/>
      <c r="F4" s="2739"/>
      <c r="G4" s="2739"/>
    </row>
    <row r="5" spans="1:9" ht="16.5">
      <c r="A5" s="2741" t="s">
        <v>1226</v>
      </c>
      <c r="B5" s="2741">
        <f ca="1">SUM(D14:D23)</f>
        <v>420</v>
      </c>
      <c r="C5" s="2741">
        <f ca="1">ROUND(B5*10000/$B$1,0)</f>
        <v>11092</v>
      </c>
      <c r="D5" s="2741" t="e">
        <f ca="1">ROUND(B5*10000/$B$2,0)</f>
        <v>#DIV/0!</v>
      </c>
      <c r="E5" s="2738"/>
      <c r="F5" s="2739"/>
      <c r="G5" s="2739"/>
    </row>
    <row r="6" spans="1:9" ht="16.5">
      <c r="A6" s="2741" t="s">
        <v>1227</v>
      </c>
      <c r="B6" s="2741">
        <f ca="1">SUM(G14:G23)</f>
        <v>420</v>
      </c>
      <c r="C6" s="2741">
        <f t="shared" ref="C6:C8" ca="1" si="0">ROUND(B6*10000/$B$1,0)</f>
        <v>11092</v>
      </c>
      <c r="D6" s="2741" t="e">
        <f t="shared" ref="D6:D8" ca="1" si="1">ROUND(B6*10000/$B$2,0)</f>
        <v>#DIV/0!</v>
      </c>
      <c r="E6" s="2738"/>
      <c r="F6" s="2739"/>
      <c r="G6" s="2739"/>
    </row>
    <row r="7" spans="1:9" ht="16.5">
      <c r="A7" s="2741" t="s">
        <v>1228</v>
      </c>
      <c r="B7" s="2741">
        <f>SUM(H14:H23)</f>
        <v>0</v>
      </c>
      <c r="C7" s="2741">
        <f>ROUND(B7*10000/$B$1,0)</f>
        <v>0</v>
      </c>
      <c r="D7" s="2741" t="e">
        <f t="shared" si="1"/>
        <v>#DIV/0!</v>
      </c>
      <c r="E7" s="2738"/>
      <c r="F7" s="2739"/>
      <c r="G7" s="2739"/>
    </row>
    <row r="8" spans="1:9" ht="16.5">
      <c r="A8" s="2741" t="s">
        <v>1229</v>
      </c>
      <c r="B8" s="2741">
        <f>SUM(I14:I23)</f>
        <v>0</v>
      </c>
      <c r="C8" s="2741">
        <f t="shared" si="0"/>
        <v>0</v>
      </c>
      <c r="D8" s="2741" t="e">
        <f t="shared" si="1"/>
        <v>#DIV/0!</v>
      </c>
      <c r="E8" s="2738"/>
      <c r="F8" s="2739"/>
      <c r="G8" s="2739"/>
    </row>
    <row r="9" spans="1:9" ht="16.5">
      <c r="A9" s="2741" t="s">
        <v>1230</v>
      </c>
      <c r="B9" s="1822"/>
      <c r="C9" s="2738"/>
      <c r="D9" s="2738"/>
      <c r="E9" s="2738"/>
      <c r="F9" s="2739"/>
      <c r="G9" s="2739"/>
    </row>
    <row r="10" spans="1:9" ht="16.5">
      <c r="A10" s="2741" t="s">
        <v>1231</v>
      </c>
      <c r="B10" s="1822"/>
      <c r="C10" s="2738"/>
      <c r="D10" s="2738"/>
      <c r="E10" s="2738"/>
      <c r="F10" s="2739"/>
      <c r="G10" s="2739"/>
    </row>
    <row r="11" spans="1:9" ht="16.5">
      <c r="A11" s="2741" t="s">
        <v>1247</v>
      </c>
      <c r="B11" s="1822"/>
      <c r="C11" s="2738"/>
      <c r="D11" s="2738"/>
      <c r="E11" s="2738"/>
      <c r="F11" s="2739"/>
      <c r="G11" s="2739"/>
    </row>
    <row r="12" spans="1:9" ht="16.5">
      <c r="A12" s="2738"/>
      <c r="B12" s="2738"/>
      <c r="C12" s="2738"/>
      <c r="D12" s="2738"/>
      <c r="E12" s="2738"/>
      <c r="F12" s="2739"/>
      <c r="G12" s="2739"/>
    </row>
    <row r="13" spans="1:9" ht="33">
      <c r="A13" s="2743" t="s">
        <v>1246</v>
      </c>
      <c r="B13" s="2744" t="s">
        <v>1219</v>
      </c>
      <c r="C13" s="2744" t="s">
        <v>1220</v>
      </c>
      <c r="D13" s="2744" t="s">
        <v>1232</v>
      </c>
      <c r="E13" s="2741" t="s">
        <v>1224</v>
      </c>
      <c r="F13" s="2741" t="s">
        <v>1225</v>
      </c>
      <c r="G13" s="2744" t="s">
        <v>1233</v>
      </c>
      <c r="H13" s="2744" t="s">
        <v>1234</v>
      </c>
      <c r="I13" s="2744" t="s">
        <v>1235</v>
      </c>
    </row>
    <row r="14" spans="1:9" ht="16.5">
      <c r="A14" s="2745" t="s">
        <v>1245</v>
      </c>
      <c r="B14" s="2740">
        <f>项目基本情况!C12</f>
        <v>0</v>
      </c>
      <c r="C14" s="2740">
        <f>项目基本情况!C13</f>
        <v>0</v>
      </c>
      <c r="D14" s="2740">
        <f ca="1">IF('数据-取费表'!B3="万元",IF(A14="估价对象1（结果表）",结果表!H121,'结果表 (1修多)'!H124),IF(A14="估价对象1（结果表）",结果表!H121,'结果表 (1修多)'!H124)/10000)</f>
        <v>420</v>
      </c>
      <c r="E14" s="2744" t="e">
        <f ca="1">ROUND(D14*10000/B14,0)</f>
        <v>#DIV/0!</v>
      </c>
      <c r="F14" s="2744" t="e">
        <f ca="1">ROUND(D14*10000/C14,0)</f>
        <v>#DIV/0!</v>
      </c>
      <c r="G14" s="2740">
        <f ca="1">IF('数据-取费表'!B3="万元",IF(A14="估价对象1（结果表）",结果表!D125,'结果表 (1修多)'!D128),IF(A14="估价对象1（结果表）",结果表!D125,'结果表 (1修多)'!D128)/10000)</f>
        <v>420</v>
      </c>
      <c r="H14" s="2740" t="str">
        <f>IF('数据-取费表'!B3="万元",IF(A14="估价对象1（结果表）",结果表!D127,'结果表 (1修多)'!D130),IF(A14="估价对象1（结果表）",结果表!D127,'结果表 (1修多)'!D130)/10000)</f>
        <v>——</v>
      </c>
      <c r="I14" s="2740" t="str">
        <f>IF('数据-取费表'!B3="万元",IF(A14="估价对象1（结果表）",结果表!D129,'结果表 (1修多)'!D132),IF(A14="估价对象1（结果表）",结果表!D129,'结果表 (1修多)'!D132)/10000)</f>
        <v>——</v>
      </c>
    </row>
    <row r="15" spans="1:9" ht="16.5">
      <c r="A15" s="2746" t="s">
        <v>1236</v>
      </c>
      <c r="B15" s="1823">
        <f>典型户型修正!B25</f>
        <v>378.66</v>
      </c>
      <c r="C15" s="1823"/>
      <c r="D15" s="1823"/>
      <c r="E15" s="2744">
        <f t="shared" ref="E15:E23" si="2">ROUND(D15*10000/B15,0)</f>
        <v>0</v>
      </c>
      <c r="F15" s="2744" t="e">
        <f t="shared" ref="F15:F23" si="3">ROUND(D15*10000/C15,0)</f>
        <v>#DIV/0!</v>
      </c>
      <c r="G15" s="1824"/>
      <c r="H15" s="1824"/>
      <c r="I15" s="1823"/>
    </row>
    <row r="16" spans="1:9" ht="16.5">
      <c r="A16" s="2746" t="s">
        <v>1237</v>
      </c>
      <c r="B16" s="1823"/>
      <c r="C16" s="1823"/>
      <c r="D16" s="1823"/>
      <c r="E16" s="2744" t="e">
        <f t="shared" si="2"/>
        <v>#DIV/0!</v>
      </c>
      <c r="F16" s="2744" t="e">
        <f t="shared" si="3"/>
        <v>#DIV/0!</v>
      </c>
      <c r="G16" s="1824"/>
      <c r="H16" s="1824"/>
      <c r="I16" s="1823"/>
    </row>
    <row r="17" spans="1:9" ht="16.5">
      <c r="A17" s="2746" t="s">
        <v>1238</v>
      </c>
      <c r="B17" s="1823"/>
      <c r="C17" s="1823"/>
      <c r="D17" s="1823"/>
      <c r="E17" s="2744" t="e">
        <f t="shared" si="2"/>
        <v>#DIV/0!</v>
      </c>
      <c r="F17" s="2744" t="e">
        <f t="shared" si="3"/>
        <v>#DIV/0!</v>
      </c>
      <c r="G17" s="1824"/>
      <c r="H17" s="1824"/>
      <c r="I17" s="1823"/>
    </row>
    <row r="18" spans="1:9" ht="16.5">
      <c r="A18" s="2746" t="s">
        <v>1239</v>
      </c>
      <c r="B18" s="1823"/>
      <c r="C18" s="1823"/>
      <c r="D18" s="1823"/>
      <c r="E18" s="2744" t="e">
        <f t="shared" si="2"/>
        <v>#DIV/0!</v>
      </c>
      <c r="F18" s="2744" t="e">
        <f t="shared" si="3"/>
        <v>#DIV/0!</v>
      </c>
      <c r="G18" s="1823"/>
      <c r="H18" s="1823"/>
      <c r="I18" s="1823"/>
    </row>
    <row r="19" spans="1:9" ht="16.5">
      <c r="A19" s="2746" t="s">
        <v>1240</v>
      </c>
      <c r="B19" s="1823"/>
      <c r="C19" s="1823"/>
      <c r="D19" s="1823"/>
      <c r="E19" s="2744" t="e">
        <f t="shared" si="2"/>
        <v>#DIV/0!</v>
      </c>
      <c r="F19" s="2744" t="e">
        <f t="shared" si="3"/>
        <v>#DIV/0!</v>
      </c>
      <c r="G19" s="1823"/>
      <c r="H19" s="1823"/>
      <c r="I19" s="1823"/>
    </row>
    <row r="20" spans="1:9" ht="16.5">
      <c r="A20" s="2746" t="s">
        <v>1241</v>
      </c>
      <c r="B20" s="1823"/>
      <c r="C20" s="1823"/>
      <c r="D20" s="1823"/>
      <c r="E20" s="2744" t="e">
        <f t="shared" si="2"/>
        <v>#DIV/0!</v>
      </c>
      <c r="F20" s="2744" t="e">
        <f t="shared" si="3"/>
        <v>#DIV/0!</v>
      </c>
      <c r="G20" s="1823"/>
      <c r="H20" s="1823"/>
      <c r="I20" s="1823"/>
    </row>
    <row r="21" spans="1:9" ht="16.5">
      <c r="A21" s="2746" t="s">
        <v>1242</v>
      </c>
      <c r="B21" s="1823"/>
      <c r="C21" s="1823"/>
      <c r="D21" s="1823"/>
      <c r="E21" s="2744" t="e">
        <f t="shared" si="2"/>
        <v>#DIV/0!</v>
      </c>
      <c r="F21" s="2744" t="e">
        <f t="shared" si="3"/>
        <v>#DIV/0!</v>
      </c>
      <c r="G21" s="1823"/>
      <c r="H21" s="1823"/>
      <c r="I21" s="1823"/>
    </row>
    <row r="22" spans="1:9" ht="16.5">
      <c r="A22" s="2746" t="s">
        <v>1243</v>
      </c>
      <c r="B22" s="1823"/>
      <c r="C22" s="1823"/>
      <c r="D22" s="1823"/>
      <c r="E22" s="2744" t="e">
        <f t="shared" si="2"/>
        <v>#DIV/0!</v>
      </c>
      <c r="F22" s="2744" t="e">
        <f t="shared" si="3"/>
        <v>#DIV/0!</v>
      </c>
      <c r="G22" s="1823"/>
      <c r="H22" s="1823"/>
      <c r="I22" s="1823"/>
    </row>
    <row r="23" spans="1:9" ht="16.5">
      <c r="A23" s="2746" t="s">
        <v>1244</v>
      </c>
      <c r="B23" s="1823"/>
      <c r="C23" s="1823"/>
      <c r="D23" s="1823"/>
      <c r="E23" s="2741" t="e">
        <f t="shared" si="2"/>
        <v>#DIV/0!</v>
      </c>
      <c r="F23" s="2741" t="e">
        <f t="shared" si="3"/>
        <v>#DIV/0!</v>
      </c>
      <c r="G23" s="1823"/>
      <c r="H23" s="1823"/>
      <c r="I23" s="182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80"/>
    <col min="3" max="4" width="12.625" style="2180" customWidth="1"/>
    <col min="5" max="9" width="12.625" style="2180"/>
    <col min="10" max="11" width="12.625" style="797" customWidth="1"/>
    <col min="12" max="12" width="12.625" style="797"/>
    <col min="13" max="13" width="14.125" style="797" bestFit="1" customWidth="1"/>
    <col min="14" max="26" width="12.625" style="797"/>
    <col min="27" max="35" width="12.625" style="1829"/>
    <col min="36" max="16384" width="12.625" style="2180"/>
  </cols>
  <sheetData>
    <row r="1" spans="1:12" ht="21.75" customHeight="1">
      <c r="A1" s="2178" t="s">
        <v>1761</v>
      </c>
      <c r="B1" s="2179"/>
      <c r="C1" s="2179"/>
      <c r="D1" s="2179"/>
      <c r="E1" s="2179"/>
      <c r="F1" s="2179"/>
      <c r="G1" s="2179"/>
      <c r="H1" s="2179"/>
      <c r="I1" s="2179"/>
    </row>
    <row r="2" spans="1:12" ht="21.75" customHeight="1">
      <c r="A2" s="2946" t="str">
        <f>项目基本情况!B1</f>
        <v>辽宁省大连市房地产市场价值预评估</v>
      </c>
      <c r="B2" s="2946"/>
      <c r="C2" s="2946"/>
      <c r="D2" s="2946"/>
      <c r="E2" s="2946"/>
      <c r="F2" s="2946"/>
      <c r="G2" s="2946"/>
      <c r="H2" s="2946"/>
      <c r="I2" s="2946"/>
    </row>
    <row r="3" spans="1:12" ht="12.75">
      <c r="A3" s="2952" t="s">
        <v>1762</v>
      </c>
      <c r="B3" s="2953"/>
      <c r="C3" s="2953"/>
      <c r="D3" s="2953"/>
      <c r="E3" s="2953"/>
      <c r="F3" s="2953"/>
      <c r="G3" s="2953"/>
      <c r="H3" s="2953"/>
      <c r="I3" s="2953"/>
    </row>
    <row r="4" spans="1:12" ht="14.25">
      <c r="A4" s="2181" t="s">
        <v>1763</v>
      </c>
      <c r="B4" s="2182" t="s">
        <v>1764</v>
      </c>
      <c r="C4" s="2183" t="s">
        <v>2884</v>
      </c>
      <c r="D4" s="2183" t="s">
        <v>2885</v>
      </c>
      <c r="E4" s="2957" t="s">
        <v>1765</v>
      </c>
      <c r="F4" s="2958"/>
      <c r="G4" s="2958"/>
      <c r="H4" s="2958"/>
      <c r="I4" s="2959"/>
      <c r="K4" s="1829" t="str">
        <f>IF(ISNUMBER(FIND("比较法",结果表!C4)),"比较法",IF(ISNUMBER(FIND("成本法",结果表!C4)),"成本法",IF(ISNUMBER(FIND("假设开发法",结果表!C4)),"假设开发法",IF(ISNUMBER(FIND("收益法",结果表!C4)),"收益法","基准地价系数修正法"))))</f>
        <v>比较法</v>
      </c>
      <c r="L4" s="1829" t="str">
        <f>IF(ISNUMBER(FIND("比较法",结果表!D4)),"比较法",IF(ISNUMBER(FIND("成本法",结果表!D4)),"成本法",IF(ISNUMBER(FIND("假设开发法",结果表!D4)),"假设开发法",IF(ISNUMBER(FIND("收益法",结果表!D4)),"收益法","基准地价系数修正法"))))</f>
        <v>收益法</v>
      </c>
    </row>
    <row r="5" spans="1:12" ht="12.75">
      <c r="A5" s="2947" t="s">
        <v>1766</v>
      </c>
      <c r="B5" s="2891">
        <v>25</v>
      </c>
      <c r="C5" s="2954">
        <v>22</v>
      </c>
      <c r="D5" s="2951">
        <v>3</v>
      </c>
      <c r="E5" s="56" t="s">
        <v>1767</v>
      </c>
      <c r="F5" s="2184"/>
      <c r="G5" s="2184"/>
      <c r="H5" s="2184"/>
      <c r="I5" s="2185"/>
    </row>
    <row r="6" spans="1:12" ht="12.75">
      <c r="A6" s="2947"/>
      <c r="B6" s="2891"/>
      <c r="C6" s="2955"/>
      <c r="D6" s="2951"/>
      <c r="E6" s="56" t="s">
        <v>1768</v>
      </c>
      <c r="F6" s="2184"/>
      <c r="G6" s="2184"/>
      <c r="H6" s="2184"/>
      <c r="I6" s="2185"/>
    </row>
    <row r="7" spans="1:12" ht="12.75">
      <c r="A7" s="2947"/>
      <c r="B7" s="2891"/>
      <c r="C7" s="2956"/>
      <c r="D7" s="2951"/>
      <c r="E7" s="56" t="s">
        <v>1769</v>
      </c>
      <c r="F7" s="2184"/>
      <c r="G7" s="2184"/>
      <c r="H7" s="2184"/>
      <c r="I7" s="2185"/>
    </row>
    <row r="8" spans="1:12" ht="12.75">
      <c r="A8" s="2947" t="s">
        <v>1770</v>
      </c>
      <c r="B8" s="2891">
        <v>15</v>
      </c>
      <c r="C8" s="2954">
        <v>14</v>
      </c>
      <c r="D8" s="2951">
        <v>2</v>
      </c>
      <c r="E8" s="56" t="s">
        <v>1771</v>
      </c>
      <c r="F8" s="2184"/>
      <c r="G8" s="2184"/>
      <c r="H8" s="2184"/>
      <c r="I8" s="2185"/>
    </row>
    <row r="9" spans="1:12" ht="12.75">
      <c r="A9" s="2947"/>
      <c r="B9" s="2891"/>
      <c r="C9" s="2956"/>
      <c r="D9" s="2951"/>
      <c r="E9" s="56" t="s">
        <v>1772</v>
      </c>
      <c r="F9" s="2184"/>
      <c r="G9" s="2184"/>
      <c r="H9" s="2184"/>
      <c r="I9" s="2185"/>
    </row>
    <row r="10" spans="1:12" ht="12.75">
      <c r="A10" s="2947" t="s">
        <v>1773</v>
      </c>
      <c r="B10" s="2891">
        <v>15</v>
      </c>
      <c r="C10" s="2954">
        <v>14</v>
      </c>
      <c r="D10" s="2951">
        <v>2</v>
      </c>
      <c r="E10" s="56" t="s">
        <v>1774</v>
      </c>
      <c r="F10" s="2184"/>
      <c r="G10" s="2184"/>
      <c r="H10" s="2184"/>
      <c r="I10" s="2185"/>
    </row>
    <row r="11" spans="1:12" ht="12.75">
      <c r="A11" s="2947"/>
      <c r="B11" s="2891"/>
      <c r="C11" s="2956"/>
      <c r="D11" s="2951"/>
      <c r="E11" s="56" t="s">
        <v>1775</v>
      </c>
      <c r="F11" s="2184"/>
      <c r="G11" s="2184"/>
      <c r="H11" s="2184"/>
      <c r="I11" s="2185"/>
    </row>
    <row r="12" spans="1:12" ht="12.75">
      <c r="A12" s="2947" t="s">
        <v>1776</v>
      </c>
      <c r="B12" s="2891">
        <v>15</v>
      </c>
      <c r="C12" s="2954">
        <v>14</v>
      </c>
      <c r="D12" s="2951">
        <v>2</v>
      </c>
      <c r="E12" s="56" t="s">
        <v>1777</v>
      </c>
      <c r="F12" s="2184"/>
      <c r="G12" s="2184"/>
      <c r="H12" s="2184"/>
      <c r="I12" s="2185"/>
    </row>
    <row r="13" spans="1:12" ht="12.75">
      <c r="A13" s="2947"/>
      <c r="B13" s="2891"/>
      <c r="C13" s="2956"/>
      <c r="D13" s="2951"/>
      <c r="E13" s="56" t="s">
        <v>1778</v>
      </c>
      <c r="F13" s="2184"/>
      <c r="G13" s="2184"/>
      <c r="H13" s="2184"/>
      <c r="I13" s="2185"/>
    </row>
    <row r="14" spans="1:12" ht="12.75">
      <c r="A14" s="2947" t="s">
        <v>1779</v>
      </c>
      <c r="B14" s="2891">
        <v>30</v>
      </c>
      <c r="C14" s="2954">
        <v>29</v>
      </c>
      <c r="D14" s="2951">
        <v>1</v>
      </c>
      <c r="E14" s="56" t="s">
        <v>1780</v>
      </c>
      <c r="F14" s="2184"/>
      <c r="G14" s="2184"/>
      <c r="H14" s="2184"/>
      <c r="I14" s="2185"/>
    </row>
    <row r="15" spans="1:12" ht="12.75">
      <c r="A15" s="2947"/>
      <c r="B15" s="2891"/>
      <c r="C15" s="2955"/>
      <c r="D15" s="2951"/>
      <c r="E15" s="56" t="s">
        <v>1781</v>
      </c>
      <c r="F15" s="2184"/>
      <c r="G15" s="2184"/>
      <c r="H15" s="2184"/>
      <c r="I15" s="2185"/>
    </row>
    <row r="16" spans="1:12" ht="12.75">
      <c r="A16" s="2947"/>
      <c r="B16" s="2891"/>
      <c r="C16" s="2956"/>
      <c r="D16" s="2951"/>
      <c r="E16" s="56" t="s">
        <v>1782</v>
      </c>
      <c r="F16" s="2184"/>
      <c r="G16" s="2184"/>
      <c r="H16" s="2184"/>
      <c r="I16" s="2185"/>
    </row>
    <row r="17" spans="1:35" ht="15">
      <c r="A17" s="2186" t="s">
        <v>1783</v>
      </c>
      <c r="B17" s="2187"/>
      <c r="C17" s="57">
        <f>SUM(C5:C16)</f>
        <v>93</v>
      </c>
      <c r="D17" s="57">
        <f>SUM(D5:D16)</f>
        <v>10</v>
      </c>
      <c r="E17" s="2179"/>
      <c r="F17" s="2179"/>
      <c r="G17" s="2179"/>
      <c r="H17" s="2179"/>
      <c r="I17" s="2179"/>
    </row>
    <row r="18" spans="1:35" ht="15.75" thickBot="1">
      <c r="A18" s="2188" t="s">
        <v>1784</v>
      </c>
      <c r="B18" s="2189"/>
      <c r="C18" s="58">
        <f>ROUND(C17/SUM(C17:D17),2)</f>
        <v>0.9</v>
      </c>
      <c r="D18" s="58">
        <f>1-C18</f>
        <v>9.9999999999999978E-2</v>
      </c>
      <c r="E18" s="2179"/>
      <c r="F18" s="2179"/>
      <c r="G18" s="2179"/>
      <c r="H18" s="2179"/>
      <c r="I18" s="2179"/>
    </row>
    <row r="19" spans="1:35" ht="15">
      <c r="A19" s="2190" t="s">
        <v>1785</v>
      </c>
      <c r="B19" s="2191" t="s">
        <v>1786</v>
      </c>
      <c r="C19" s="59">
        <f ca="1">SUMIF(INDIRECT("'"&amp;C4&amp;"'"&amp;"!A:A"),结果表!B19,INDIRECT("'"&amp;C4&amp;"'"&amp;"!B:B"))</f>
        <v>116</v>
      </c>
      <c r="D19" s="60">
        <f ca="1">SUMIF(INDIRECT("'"&amp;D4&amp;"'"&amp;"!A:A"),结果表!B19,INDIRECT("'"&amp;D4&amp;"'"&amp;"!B:B"))</f>
        <v>20</v>
      </c>
      <c r="E19" s="2190" t="s">
        <v>1787</v>
      </c>
      <c r="F19" s="2191" t="s">
        <v>1786</v>
      </c>
      <c r="G19" s="61">
        <f ca="1">ROUND(C19*$C$18+D19*$D$18,0)</f>
        <v>106</v>
      </c>
      <c r="H19" s="2192" t="str">
        <f>'数据-取费表'!B3</f>
        <v>万元</v>
      </c>
      <c r="I19" s="2179"/>
    </row>
    <row r="20" spans="1:35" ht="15">
      <c r="A20" s="2193"/>
      <c r="B20" s="2194" t="s">
        <v>1788</v>
      </c>
      <c r="C20" s="62">
        <f ca="1">SUMIF(INDIRECT("'"&amp;C4&amp;"'"&amp;"!A:A"),结果表!B20,INDIRECT("'"&amp;C4&amp;"'"&amp;"!B:B"))</f>
        <v>11702</v>
      </c>
      <c r="D20" s="63">
        <f ca="1">SUMIF(INDIRECT("'"&amp;D4&amp;"'"&amp;"!A:A"),结果表!B20,INDIRECT("'"&amp;D4&amp;"'"&amp;"!B:B"))</f>
        <v>2038</v>
      </c>
      <c r="E20" s="2193"/>
      <c r="F20" s="2194" t="s">
        <v>1788</v>
      </c>
      <c r="G20" s="64">
        <f ca="1">ROUND(C20*$C$18+D20*$D$18,0)</f>
        <v>10736</v>
      </c>
      <c r="H20" s="2195" t="s">
        <v>1789</v>
      </c>
      <c r="I20" s="2179"/>
    </row>
    <row r="21" spans="1:35" ht="15" customHeight="1" thickBot="1">
      <c r="A21" s="2196"/>
      <c r="B21" s="2197"/>
      <c r="C21" s="769"/>
      <c r="D21" s="770"/>
      <c r="E21" s="2196"/>
      <c r="F21" s="2197"/>
      <c r="G21" s="65"/>
      <c r="H21" s="2198"/>
      <c r="I21" s="2179"/>
    </row>
    <row r="22" spans="1:35" ht="15" thickBot="1">
      <c r="A22" s="2199" t="s">
        <v>1790</v>
      </c>
      <c r="B22" s="2200"/>
      <c r="C22" s="2201"/>
      <c r="D22" s="771">
        <f ca="1">IF(C19&lt;D19,D19/C19-1,C19/D19-1)</f>
        <v>4.8</v>
      </c>
      <c r="E22" s="2179"/>
      <c r="F22" s="2179"/>
      <c r="G22" s="2179"/>
      <c r="H22" s="2179"/>
      <c r="I22" s="2179"/>
    </row>
    <row r="23" spans="1:35" ht="13.5" thickBot="1">
      <c r="A23" s="2179"/>
      <c r="B23" s="2179"/>
      <c r="C23" s="2179"/>
      <c r="D23" s="2179"/>
      <c r="E23" s="2179"/>
      <c r="F23" s="2179"/>
      <c r="G23" s="2179"/>
      <c r="H23" s="2179"/>
      <c r="I23" s="2179"/>
    </row>
    <row r="24" spans="1:35" ht="21.75" customHeight="1">
      <c r="A24" s="2960" t="s">
        <v>1791</v>
      </c>
      <c r="B24" s="2191" t="s">
        <v>1786</v>
      </c>
      <c r="C24" s="61">
        <f>D30</f>
        <v>0</v>
      </c>
      <c r="D24" s="988"/>
      <c r="E24" s="2179"/>
      <c r="F24" s="2179"/>
      <c r="G24" s="2179"/>
      <c r="H24" s="2179"/>
      <c r="I24" s="2179"/>
    </row>
    <row r="25" spans="1:35" ht="21.75" customHeight="1">
      <c r="A25" s="2961"/>
      <c r="B25" s="2194" t="s">
        <v>1788</v>
      </c>
      <c r="C25" s="66">
        <f>IF(B30=0,0,C30)</f>
        <v>0</v>
      </c>
      <c r="D25" s="2202"/>
      <c r="E25" s="2179"/>
      <c r="F25" s="2179"/>
      <c r="G25" s="2179"/>
      <c r="H25" s="2179"/>
      <c r="I25" s="2179"/>
    </row>
    <row r="26" spans="1:35" ht="13.5" customHeight="1">
      <c r="A26" s="2203" t="s">
        <v>1792</v>
      </c>
      <c r="B26" s="67" t="s">
        <v>1793</v>
      </c>
      <c r="C26" s="67" t="s">
        <v>1794</v>
      </c>
      <c r="D26" s="68" t="s">
        <v>1795</v>
      </c>
      <c r="E26" s="2179"/>
      <c r="F26" s="2179"/>
      <c r="G26" s="2179"/>
      <c r="H26" s="2179"/>
      <c r="I26" s="2179"/>
    </row>
    <row r="27" spans="1:35" ht="14.25">
      <c r="A27" s="2204"/>
      <c r="B27" s="67">
        <v>0</v>
      </c>
      <c r="C27" s="67">
        <v>0</v>
      </c>
      <c r="D27" s="68">
        <f>ROUND(C27*B27/10000,0)</f>
        <v>0</v>
      </c>
      <c r="E27" s="2179"/>
      <c r="F27" s="2179"/>
      <c r="G27" s="2179"/>
      <c r="H27" s="2179"/>
      <c r="I27" s="2179"/>
    </row>
    <row r="28" spans="1:35" ht="14.25">
      <c r="A28" s="2203"/>
      <c r="B28" s="67"/>
      <c r="C28" s="67"/>
      <c r="D28" s="68">
        <f t="shared" ref="D28:D29" si="0">ROUND(C28*B28/10000,0)</f>
        <v>0</v>
      </c>
      <c r="E28" s="2179"/>
      <c r="F28" s="2179"/>
      <c r="G28" s="2179"/>
      <c r="H28" s="2179"/>
      <c r="I28" s="2179"/>
    </row>
    <row r="29" spans="1:35" ht="14.25">
      <c r="A29" s="2203"/>
      <c r="B29" s="67"/>
      <c r="C29" s="67"/>
      <c r="D29" s="68">
        <f t="shared" si="0"/>
        <v>0</v>
      </c>
      <c r="E29" s="2179"/>
      <c r="F29" s="2179"/>
      <c r="G29" s="2179"/>
      <c r="H29" s="2179"/>
      <c r="I29" s="2179"/>
    </row>
    <row r="30" spans="1:35" ht="14.25">
      <c r="A30" s="67" t="s">
        <v>1796</v>
      </c>
      <c r="B30" s="67"/>
      <c r="C30" s="67"/>
      <c r="D30" s="67"/>
      <c r="E30" s="2686" t="s">
        <v>2789</v>
      </c>
      <c r="F30" s="2179"/>
      <c r="G30" s="2179"/>
      <c r="H30" s="2179"/>
      <c r="I30" s="2179"/>
    </row>
    <row r="31" spans="1:35" s="2206" customFormat="1" ht="15" thickBot="1">
      <c r="A31" s="2205"/>
      <c r="B31" s="2205"/>
      <c r="C31" s="2205"/>
      <c r="D31" s="2205"/>
      <c r="E31" s="2179"/>
      <c r="F31" s="2179"/>
      <c r="G31" s="2179"/>
      <c r="H31" s="2179"/>
      <c r="I31" s="2179"/>
      <c r="J31" s="797"/>
      <c r="K31" s="797"/>
      <c r="L31" s="797"/>
      <c r="M31" s="797"/>
      <c r="N31" s="797"/>
      <c r="O31" s="797"/>
      <c r="P31" s="797"/>
      <c r="Q31" s="797"/>
      <c r="R31" s="797"/>
      <c r="S31" s="797"/>
      <c r="T31" s="797"/>
      <c r="U31" s="797"/>
      <c r="V31" s="797"/>
      <c r="W31" s="797"/>
      <c r="X31" s="797"/>
      <c r="Y31" s="797"/>
      <c r="Z31" s="797"/>
      <c r="AA31" s="1829"/>
      <c r="AB31" s="1829"/>
      <c r="AC31" s="1829"/>
      <c r="AD31" s="1829"/>
      <c r="AE31" s="1829"/>
      <c r="AF31" s="1829"/>
      <c r="AG31" s="1829"/>
      <c r="AH31" s="1829"/>
      <c r="AI31" s="1829"/>
    </row>
    <row r="32" spans="1:35" ht="15.75" thickBot="1">
      <c r="A32" s="2207" t="s">
        <v>1797</v>
      </c>
      <c r="B32" s="2208" t="str">
        <f>'数据-取费表'!B4</f>
        <v>楼面单价</v>
      </c>
      <c r="C32" s="1139">
        <f ca="1">IF(B32="总价",G19-C24,G20-C25)</f>
        <v>10736</v>
      </c>
      <c r="D32" s="2179" t="str">
        <f>IF(B32="楼面单价","元/平方米",H19)</f>
        <v>元/平方米</v>
      </c>
      <c r="E32" s="2179"/>
      <c r="F32" s="2179"/>
      <c r="G32" s="2179"/>
      <c r="H32" s="2179"/>
      <c r="I32" s="2179"/>
    </row>
    <row r="33" spans="1:16" ht="15">
      <c r="A33" s="2209" t="s">
        <v>1798</v>
      </c>
      <c r="B33" s="2210"/>
      <c r="C33" s="2211"/>
      <c r="D33" s="2212"/>
      <c r="E33" s="2213" t="s">
        <v>1799</v>
      </c>
      <c r="F33" s="2214" t="str">
        <f>IF(B32="楼面单价","取值（单价）","取值（总价）")</f>
        <v>取值（单价）</v>
      </c>
      <c r="G33" s="2179"/>
      <c r="H33" s="2179"/>
      <c r="I33" s="2179"/>
    </row>
    <row r="34" spans="1:16" ht="15">
      <c r="A34" s="2215"/>
      <c r="B34" s="2216" t="s">
        <v>1800</v>
      </c>
      <c r="C34" s="72">
        <f ca="1">IF(D33="自定义",F34,C32-C35)</f>
        <v>-10350</v>
      </c>
      <c r="D34" s="1085">
        <f ca="1">IF(D33="自定义",ROUND(C34/C32,3),1-D35)</f>
        <v>-0.96399999999999997</v>
      </c>
      <c r="E34" s="2217" t="s">
        <v>1801</v>
      </c>
      <c r="F34" s="1820">
        <v>2000</v>
      </c>
      <c r="G34" s="2179"/>
      <c r="H34" s="2179"/>
      <c r="I34" s="2179"/>
    </row>
    <row r="35" spans="1:16" ht="15.75" thickBot="1">
      <c r="A35" s="2218"/>
      <c r="B35" s="2219" t="s">
        <v>1802</v>
      </c>
      <c r="C35" s="73">
        <f ca="1">IF(D33="自定义",F35,ROUND(C32*D35,0))</f>
        <v>21086</v>
      </c>
      <c r="D35" s="1084">
        <f ca="1">IF(D33="自定义",ROUND(C35/C32,3),IF(D33="成本法成本比率",成本法!C56,IF(D33="收益法收益比率",收益法!J38,收益法!J41)))</f>
        <v>1.964</v>
      </c>
      <c r="E35" s="2220" t="s">
        <v>1803</v>
      </c>
      <c r="F35" s="79">
        <v>4460</v>
      </c>
      <c r="G35" s="2179"/>
      <c r="H35" s="2179"/>
      <c r="I35" s="2179"/>
    </row>
    <row r="36" spans="1:16" ht="15.75" thickBot="1">
      <c r="A36" s="2965" t="s">
        <v>1804</v>
      </c>
      <c r="B36" s="2221" t="s">
        <v>1805</v>
      </c>
      <c r="C36" s="69">
        <v>0</v>
      </c>
      <c r="D36" s="2222"/>
      <c r="E36" s="2223"/>
      <c r="F36" s="2223"/>
      <c r="G36" s="2179"/>
      <c r="H36" s="2179"/>
      <c r="I36" s="2179"/>
    </row>
    <row r="37" spans="1:16" ht="15.75" thickBot="1">
      <c r="A37" s="2966"/>
      <c r="B37" s="2224" t="s">
        <v>1806</v>
      </c>
      <c r="C37" s="71">
        <v>0</v>
      </c>
      <c r="D37" s="2189"/>
      <c r="E37" s="2189"/>
      <c r="F37" s="2223"/>
      <c r="G37" s="2189"/>
      <c r="H37" s="2189"/>
      <c r="I37" s="2189"/>
    </row>
    <row r="38" spans="1:16" ht="15.75" thickBot="1">
      <c r="A38" s="2967"/>
      <c r="B38" s="2225" t="s">
        <v>1807</v>
      </c>
      <c r="C38" s="711">
        <v>0</v>
      </c>
      <c r="D38" s="2226" t="s">
        <v>1808</v>
      </c>
      <c r="E38" s="2189"/>
      <c r="F38" s="2223"/>
      <c r="G38" s="2189"/>
      <c r="H38" s="2189"/>
      <c r="I38" s="2189"/>
    </row>
    <row r="39" spans="1:16" ht="15">
      <c r="A39" s="2193" t="s">
        <v>1809</v>
      </c>
      <c r="B39" s="2227" t="s">
        <v>1793</v>
      </c>
      <c r="C39" s="2228" t="s">
        <v>1794</v>
      </c>
      <c r="D39" s="2228" t="s">
        <v>1810</v>
      </c>
      <c r="E39" s="2229" t="s">
        <v>1795</v>
      </c>
      <c r="F39" s="2223"/>
      <c r="G39" s="2189"/>
      <c r="H39" s="2189"/>
      <c r="I39" s="2189"/>
    </row>
    <row r="40" spans="1:16" ht="14.25">
      <c r="A40" s="2230" t="s">
        <v>1811</v>
      </c>
      <c r="B40" s="74"/>
      <c r="C40" s="75"/>
      <c r="D40" s="75"/>
      <c r="E40" s="76"/>
      <c r="F40" s="2223"/>
      <c r="G40" s="2189"/>
      <c r="H40" s="2189"/>
      <c r="I40" s="2189"/>
    </row>
    <row r="41" spans="1:16" ht="14.25">
      <c r="A41" s="2230" t="s">
        <v>1812</v>
      </c>
      <c r="B41" s="74"/>
      <c r="C41" s="75"/>
      <c r="D41" s="75"/>
      <c r="E41" s="76"/>
      <c r="F41" s="2223"/>
      <c r="G41" s="2189"/>
      <c r="H41" s="2189"/>
      <c r="I41" s="2189"/>
    </row>
    <row r="42" spans="1:16" ht="15" thickBot="1">
      <c r="A42" s="2231"/>
      <c r="B42" s="77"/>
      <c r="C42" s="78"/>
      <c r="D42" s="78"/>
      <c r="E42" s="79"/>
      <c r="F42" s="2223"/>
      <c r="G42" s="2189"/>
      <c r="H42" s="2189"/>
      <c r="I42" s="2189"/>
    </row>
    <row r="43" spans="1:16" ht="12.75">
      <c r="A43" s="2232"/>
      <c r="B43" s="2232"/>
      <c r="C43" s="2232"/>
      <c r="D43" s="2232"/>
      <c r="E43" s="2232"/>
      <c r="F43" s="2233"/>
      <c r="G43" s="2233"/>
      <c r="H43" s="2233"/>
      <c r="I43" s="2234"/>
    </row>
    <row r="44" spans="1:16" ht="18.75">
      <c r="A44" s="2235" t="s">
        <v>1813</v>
      </c>
      <c r="B44" s="2236"/>
      <c r="C44" s="2236"/>
      <c r="D44" s="2237"/>
      <c r="E44" s="2237"/>
      <c r="F44" s="2238"/>
      <c r="G44" s="2238"/>
      <c r="H44" s="2238"/>
      <c r="I44" s="2238"/>
      <c r="J44" s="2239" t="s">
        <v>1814</v>
      </c>
      <c r="K44" s="2240"/>
      <c r="L44" s="2240"/>
      <c r="M44" s="2240"/>
      <c r="N44" s="2240"/>
      <c r="O44" s="2240"/>
      <c r="P44" s="1829"/>
    </row>
    <row r="45" spans="1:16" ht="14.25" customHeight="1" thickBot="1">
      <c r="A45" s="2970" t="s">
        <v>1815</v>
      </c>
      <c r="B45" s="2971"/>
      <c r="C45" s="2972"/>
      <c r="D45" s="80">
        <f ca="1">ROUND(I102*F45,0)</f>
        <v>0</v>
      </c>
      <c r="E45" s="81" t="s">
        <v>1816</v>
      </c>
      <c r="F45" s="82">
        <v>1</v>
      </c>
      <c r="G45" s="83" t="s">
        <v>1817</v>
      </c>
      <c r="H45" s="2179"/>
      <c r="I45" s="2179"/>
      <c r="J45" s="2881" t="s">
        <v>1818</v>
      </c>
      <c r="K45" s="2881"/>
      <c r="L45" s="2881"/>
      <c r="M45" s="2881"/>
      <c r="N45" s="2881"/>
      <c r="O45" s="2881"/>
      <c r="P45" s="1829"/>
    </row>
    <row r="46" spans="1:16" ht="14.25" customHeight="1">
      <c r="A46" s="2962" t="s">
        <v>1819</v>
      </c>
      <c r="B46" s="2963"/>
      <c r="C46" s="2963"/>
      <c r="D46" s="2963"/>
      <c r="E46" s="2963"/>
      <c r="F46" s="2963"/>
      <c r="G46" s="2964"/>
      <c r="H46" s="2241"/>
      <c r="I46" s="1138"/>
      <c r="J46" s="1866">
        <v>1</v>
      </c>
      <c r="K46" s="2881" t="s">
        <v>1820</v>
      </c>
      <c r="L46" s="2881"/>
      <c r="M46" s="2882" t="str">
        <f>项目基本情况!B1</f>
        <v>辽宁省大连市房地产市场价值预评估</v>
      </c>
      <c r="N46" s="2882"/>
      <c r="O46" s="2882"/>
      <c r="P46" s="1829"/>
    </row>
    <row r="47" spans="1:16" ht="12" customHeight="1">
      <c r="A47" s="85" t="s">
        <v>1821</v>
      </c>
      <c r="B47" s="86"/>
      <c r="C47" s="87"/>
      <c r="D47" s="88" t="s">
        <v>1822</v>
      </c>
      <c r="E47" s="14" t="s">
        <v>1823</v>
      </c>
      <c r="F47" s="89" t="s">
        <v>1824</v>
      </c>
      <c r="G47" s="90" t="s">
        <v>1825</v>
      </c>
      <c r="H47" s="2241"/>
      <c r="I47" s="1138"/>
      <c r="J47" s="1866">
        <v>2</v>
      </c>
      <c r="K47" s="2881" t="s">
        <v>1826</v>
      </c>
      <c r="L47" s="2881"/>
      <c r="M47" s="2883">
        <f>'数据-取费表'!B2</f>
        <v>43999</v>
      </c>
      <c r="N47" s="2883"/>
      <c r="O47" s="2883"/>
      <c r="P47" s="1829"/>
    </row>
    <row r="48" spans="1:16" ht="25.5">
      <c r="A48" s="2968" t="s">
        <v>1827</v>
      </c>
      <c r="B48" s="2969"/>
      <c r="C48" s="2969"/>
      <c r="D48" s="56">
        <f ca="1">IF(H48="情况1",0,IF(H48="情况2",D52,IF(H48="情况3",D53,IF(H48="情况4",D54))))</f>
        <v>0</v>
      </c>
      <c r="E48" s="1876" t="str">
        <f>IF(H48="情况4","(销售额-原购置价)×税（费）率","销售额×税（费）率")</f>
        <v>销售额×税（费）率</v>
      </c>
      <c r="F48" s="91">
        <f>IF(H48="情况1","免征",'数据-取费表'!E29)</f>
        <v>5.6000000000000001E-2</v>
      </c>
      <c r="G48" s="2242" t="s">
        <v>1828</v>
      </c>
      <c r="H48" s="2243" t="s">
        <v>1829</v>
      </c>
      <c r="I48" s="2241"/>
      <c r="J48" s="1866">
        <v>3</v>
      </c>
      <c r="K48" s="2881" t="s">
        <v>1830</v>
      </c>
      <c r="L48" s="2881"/>
      <c r="M48" s="2882">
        <f ca="1">I102</f>
        <v>0</v>
      </c>
      <c r="N48" s="2882"/>
      <c r="O48" s="2882"/>
      <c r="P48" s="1829"/>
    </row>
    <row r="49" spans="1:16" ht="25.5" customHeight="1">
      <c r="A49" s="92" t="s">
        <v>1831</v>
      </c>
      <c r="B49" s="2949" t="s">
        <v>1832</v>
      </c>
      <c r="C49" s="2949"/>
      <c r="D49" s="93">
        <v>0</v>
      </c>
      <c r="E49" s="13" t="s">
        <v>1833</v>
      </c>
      <c r="F49" s="18" t="s">
        <v>48</v>
      </c>
      <c r="G49" s="2872"/>
      <c r="H49" s="2179"/>
      <c r="I49" s="2244"/>
      <c r="J49" s="1866">
        <v>4</v>
      </c>
      <c r="K49" s="2881" t="str">
        <f>IF(项目基本情况!F5="房地产抵押价值","房地产抵押价值","抵押担保权已注销时的房地产抵押价值")</f>
        <v>房地产抵押价值</v>
      </c>
      <c r="L49" s="2881"/>
      <c r="M49" s="2882">
        <f ca="1">IF(项目基本情况!F5="房地产抵押价值",I110,I112)</f>
        <v>0</v>
      </c>
      <c r="N49" s="2882"/>
      <c r="O49" s="2882"/>
      <c r="P49" s="1829"/>
    </row>
    <row r="50" spans="1:16" ht="25.5" customHeight="1">
      <c r="A50" s="94"/>
      <c r="B50" s="2949" t="s">
        <v>1834</v>
      </c>
      <c r="C50" s="2949"/>
      <c r="D50" s="95"/>
      <c r="E50" s="21"/>
      <c r="F50" s="96"/>
      <c r="G50" s="2873"/>
      <c r="H50" s="2179"/>
      <c r="I50" s="2244"/>
      <c r="J50" s="2881" t="s">
        <v>1835</v>
      </c>
      <c r="K50" s="2881"/>
      <c r="L50" s="2881"/>
      <c r="M50" s="2881"/>
      <c r="N50" s="2881"/>
      <c r="O50" s="2881"/>
      <c r="P50" s="1829"/>
    </row>
    <row r="51" spans="1:16" ht="12" customHeight="1">
      <c r="A51" s="97"/>
      <c r="B51" s="2949" t="s">
        <v>1836</v>
      </c>
      <c r="C51" s="2949"/>
      <c r="D51" s="98"/>
      <c r="E51" s="20"/>
      <c r="F51" s="96"/>
      <c r="G51" s="2874"/>
      <c r="H51" s="2179"/>
      <c r="I51" s="2244"/>
      <c r="J51" s="2245" t="s">
        <v>1837</v>
      </c>
      <c r="K51" s="2881" t="s">
        <v>1838</v>
      </c>
      <c r="L51" s="2881"/>
      <c r="M51" s="2245" t="s">
        <v>1839</v>
      </c>
      <c r="N51" s="2245" t="s">
        <v>1840</v>
      </c>
      <c r="O51" s="2245" t="s">
        <v>1841</v>
      </c>
      <c r="P51" s="1829"/>
    </row>
    <row r="52" spans="1:16" ht="24" customHeight="1">
      <c r="A52" s="99" t="s">
        <v>1842</v>
      </c>
      <c r="B52" s="2949" t="s">
        <v>1843</v>
      </c>
      <c r="C52" s="2949"/>
      <c r="D52" s="98">
        <f ca="1">ROUND(D45*'数据-取费表'!E29/(1+'数据-取费表'!F30),0)</f>
        <v>0</v>
      </c>
      <c r="E52" s="10" t="s">
        <v>1844</v>
      </c>
      <c r="F52" s="100">
        <f>'数据-取费表'!E29</f>
        <v>5.6000000000000001E-2</v>
      </c>
      <c r="G52" s="2246"/>
      <c r="H52" s="2179"/>
      <c r="I52" s="2244"/>
      <c r="J52" s="1866">
        <v>1</v>
      </c>
      <c r="K52" s="2871" t="s">
        <v>1845</v>
      </c>
      <c r="L52" s="2871"/>
      <c r="M52" s="777">
        <f ca="1">D48</f>
        <v>0</v>
      </c>
      <c r="N52" s="1866" t="str">
        <f>E48</f>
        <v>销售额×税（费）率</v>
      </c>
      <c r="O52" s="778">
        <f>F48</f>
        <v>5.6000000000000001E-2</v>
      </c>
      <c r="P52" s="1829"/>
    </row>
    <row r="53" spans="1:16" ht="12" customHeight="1">
      <c r="A53" s="99" t="s">
        <v>1846</v>
      </c>
      <c r="B53" s="2948" t="s">
        <v>1847</v>
      </c>
      <c r="C53" s="2841"/>
      <c r="D53" s="98">
        <f ca="1">ROUND(D45*'数据-取费表'!E29/(1+'数据-取费表'!F30),0)</f>
        <v>0</v>
      </c>
      <c r="E53" s="10" t="s">
        <v>1844</v>
      </c>
      <c r="F53" s="100">
        <f>'数据-取费表'!E29</f>
        <v>5.6000000000000001E-2</v>
      </c>
      <c r="G53" s="2246"/>
      <c r="H53" s="2179"/>
      <c r="I53" s="2244"/>
      <c r="J53" s="1866">
        <v>2</v>
      </c>
      <c r="K53" s="2871" t="s">
        <v>1848</v>
      </c>
      <c r="L53" s="2871"/>
      <c r="M53" s="777">
        <f t="shared" ref="M53:O54" ca="1" si="1">D55</f>
        <v>0</v>
      </c>
      <c r="N53" s="1866" t="str">
        <f t="shared" si="1"/>
        <v>销售额×税（费）率</v>
      </c>
      <c r="O53" s="778">
        <f t="shared" si="1"/>
        <v>5.0000000000000001E-4</v>
      </c>
      <c r="P53" s="1829"/>
    </row>
    <row r="54" spans="1:16" ht="12" customHeight="1">
      <c r="A54" s="99" t="s">
        <v>1849</v>
      </c>
      <c r="B54" s="2948" t="s">
        <v>1850</v>
      </c>
      <c r="C54" s="2841"/>
      <c r="D54" s="98">
        <f ca="1">C68</f>
        <v>0</v>
      </c>
      <c r="E54" s="20" t="s">
        <v>1851</v>
      </c>
      <c r="F54" s="100">
        <f>'数据-取费表'!E29</f>
        <v>5.6000000000000001E-2</v>
      </c>
      <c r="G54" s="2246"/>
      <c r="H54" s="2247"/>
      <c r="I54" s="2244"/>
      <c r="J54" s="1866">
        <v>3</v>
      </c>
      <c r="K54" s="2871" t="s">
        <v>1852</v>
      </c>
      <c r="L54" s="2871"/>
      <c r="M54" s="777">
        <f t="shared" ca="1" si="1"/>
        <v>0</v>
      </c>
      <c r="N54" s="1866" t="str">
        <f t="shared" si="1"/>
        <v>增值额×税（费）率</v>
      </c>
      <c r="O54" s="779" t="str">
        <f t="shared" si="1"/>
        <v>——</v>
      </c>
      <c r="P54" s="1829"/>
    </row>
    <row r="55" spans="1:16" ht="24" customHeight="1">
      <c r="A55" s="2833" t="s">
        <v>1853</v>
      </c>
      <c r="B55" s="2969"/>
      <c r="C55" s="2969"/>
      <c r="D55" s="101">
        <f ca="1">IF(H55="个人住宅",0,ROUND(D45*I55,0))</f>
        <v>0</v>
      </c>
      <c r="E55" s="10" t="s">
        <v>1854</v>
      </c>
      <c r="F55" s="100">
        <f>IF(H55="正常",I55,"免征")</f>
        <v>5.0000000000000001E-4</v>
      </c>
      <c r="G55" s="2246"/>
      <c r="H55" s="2243" t="s">
        <v>1855</v>
      </c>
      <c r="I55" s="102">
        <f>'数据-取费表'!E37</f>
        <v>5.0000000000000001E-4</v>
      </c>
      <c r="J55" s="1866">
        <f>IF(H59="非个人房产","",4)</f>
        <v>4</v>
      </c>
      <c r="K55" s="2871" t="str">
        <f>IF(H59="非个人房产","——","个人所得税")</f>
        <v>个人所得税</v>
      </c>
      <c r="L55" s="2871"/>
      <c r="M55" s="780">
        <f ca="1">D59</f>
        <v>0</v>
      </c>
      <c r="N55" s="1869" t="str">
        <f>E59</f>
        <v>销售额×税（费）率</v>
      </c>
      <c r="O55" s="781">
        <f>F59</f>
        <v>0.01</v>
      </c>
      <c r="P55" s="1829"/>
    </row>
    <row r="56" spans="1:16" ht="24.75">
      <c r="A56" s="2833" t="s">
        <v>1856</v>
      </c>
      <c r="B56" s="2969"/>
      <c r="C56" s="2969"/>
      <c r="D56" s="101">
        <f ca="1">IF(H56="个人住宅",D57,D58)</f>
        <v>0</v>
      </c>
      <c r="E56" s="10" t="s">
        <v>1857</v>
      </c>
      <c r="F56" s="100" t="str">
        <f>IF(H56="正常",F58,"免征")</f>
        <v>——</v>
      </c>
      <c r="G56" s="2248" t="s">
        <v>1858</v>
      </c>
      <c r="H56" s="2249" t="s">
        <v>1855</v>
      </c>
      <c r="I56" s="1016"/>
      <c r="J56" s="1866" t="str">
        <f>IF(项目基本情况!I6="上海银行",IF(J55="",4,J55+1),"")</f>
        <v/>
      </c>
      <c r="K56" s="2888" t="str">
        <f>IF(项目基本情况!I6="上海银行","其他处置费用","")</f>
        <v/>
      </c>
      <c r="L56" s="2889"/>
      <c r="M56" s="777" t="str">
        <f>IF(项目基本情况!I6="上海银行",M69,"")</f>
        <v/>
      </c>
      <c r="N56" s="2869" t="str">
        <f>IF(项目基本情况!I6="上海银行","包含处置中涉及的律师、诉讼、拍卖、评估等费用","")</f>
        <v/>
      </c>
      <c r="O56" s="2870"/>
      <c r="P56" s="1829"/>
    </row>
    <row r="57" spans="1:16" ht="12.75">
      <c r="A57" s="99" t="s">
        <v>1831</v>
      </c>
      <c r="B57" s="2957" t="s">
        <v>1859</v>
      </c>
      <c r="C57" s="2959"/>
      <c r="D57" s="103">
        <v>0</v>
      </c>
      <c r="E57" s="13" t="s">
        <v>1833</v>
      </c>
      <c r="F57" s="70"/>
      <c r="G57" s="2246"/>
      <c r="H57" s="1016"/>
      <c r="I57" s="1016"/>
      <c r="J57" s="2871">
        <f>IF(AND(J55="",J56=""),4,IF(项目基本情况!I6="上海银行",J56+1,J55+1))</f>
        <v>5</v>
      </c>
      <c r="K57" s="2871" t="s">
        <v>1860</v>
      </c>
      <c r="L57" s="2250" t="s">
        <v>1861</v>
      </c>
      <c r="M57" s="782"/>
      <c r="N57" s="783">
        <f ca="1">SUMIF(M52:M56,"&lt;9e307")</f>
        <v>0</v>
      </c>
      <c r="O57" s="2251"/>
      <c r="P57" s="1825" t="e">
        <f ca="1">N57/M49</f>
        <v>#DIV/0!</v>
      </c>
    </row>
    <row r="58" spans="1:16" ht="24.75">
      <c r="A58" s="99" t="s">
        <v>1842</v>
      </c>
      <c r="B58" s="2957" t="s">
        <v>1862</v>
      </c>
      <c r="C58" s="2958"/>
      <c r="D58" s="101">
        <f ca="1">IF(H58="转让取得",C81,C97)</f>
        <v>0</v>
      </c>
      <c r="E58" s="10" t="s">
        <v>1857</v>
      </c>
      <c r="F58" s="14" t="s">
        <v>48</v>
      </c>
      <c r="G58" s="2246"/>
      <c r="H58" s="2249" t="s">
        <v>1863</v>
      </c>
      <c r="I58" s="1016"/>
      <c r="J58" s="2871"/>
      <c r="K58" s="2871"/>
      <c r="L58" s="2250" t="s">
        <v>1864</v>
      </c>
      <c r="M58" s="784"/>
      <c r="N58" s="2252" t="str">
        <f ca="1">IF(H19="元",NUMBERSTRING(INT(N57),2)&amp;"元整",NUMBERSTRING(INT(N57*10000),2)&amp;"元整")</f>
        <v>零元整</v>
      </c>
      <c r="O58" s="2253"/>
      <c r="P58" s="1829"/>
    </row>
    <row r="59" spans="1:16" ht="26.25" thickBot="1">
      <c r="A59" s="2834" t="s">
        <v>1865</v>
      </c>
      <c r="B59" s="2837"/>
      <c r="C59" s="2837"/>
      <c r="D59" s="104">
        <f ca="1">IF(H59="非个人房产","——",IF(H59="个人住宅",0,ROUND(D45*I59,0)))</f>
        <v>0</v>
      </c>
      <c r="E59" s="105" t="str">
        <f>IF(H59="非个人房产","——","销售额×税（费）率")</f>
        <v>销售额×税（费）率</v>
      </c>
      <c r="F59" s="106">
        <f>IF(H59="非个人房产","——",IF(H59="个人住宅","免征",I59))</f>
        <v>0.01</v>
      </c>
      <c r="G59" s="2254" t="s">
        <v>1858</v>
      </c>
      <c r="H59" s="2249" t="s">
        <v>1866</v>
      </c>
      <c r="I59" s="107">
        <v>0.01</v>
      </c>
      <c r="J59" s="2926">
        <f>J57+1</f>
        <v>6</v>
      </c>
      <c r="K59" s="2871" t="s">
        <v>1867</v>
      </c>
      <c r="L59" s="1866" t="s">
        <v>1861</v>
      </c>
      <c r="M59" s="785"/>
      <c r="N59" s="786">
        <f ca="1">M49-N57</f>
        <v>0</v>
      </c>
      <c r="O59" s="2255"/>
      <c r="P59" s="1829"/>
    </row>
    <row r="60" spans="1:16" ht="12" customHeight="1">
      <c r="A60" s="2050"/>
      <c r="B60" s="2179"/>
      <c r="C60" s="2179"/>
      <c r="D60" s="2179"/>
      <c r="E60" s="1016"/>
      <c r="F60" s="1016"/>
      <c r="G60" s="1016"/>
      <c r="H60" s="2232"/>
      <c r="I60" s="2179"/>
      <c r="J60" s="2927"/>
      <c r="K60" s="2871"/>
      <c r="L60" s="2250" t="s">
        <v>1864</v>
      </c>
      <c r="M60" s="784"/>
      <c r="N60" s="2252" t="str">
        <f ca="1">IF(H19="元",NUMBERSTRING(INT(N59),2)&amp;"元整",NUMBERSTRING(INT(N59*10000),2)&amp;"元整")</f>
        <v>零元整</v>
      </c>
      <c r="O60" s="2253"/>
      <c r="P60" s="1829"/>
    </row>
    <row r="61" spans="1:16" ht="13.5" thickBot="1">
      <c r="A61" s="2973" t="s">
        <v>1868</v>
      </c>
      <c r="B61" s="2973"/>
      <c r="C61" s="2973"/>
      <c r="D61" s="2973"/>
      <c r="E61" s="2973"/>
      <c r="F61" s="1016"/>
      <c r="G61" s="1016"/>
      <c r="H61" s="2232"/>
      <c r="I61" s="2179"/>
      <c r="J61" s="1866">
        <f>J59+1</f>
        <v>7</v>
      </c>
      <c r="K61" s="2871" t="s">
        <v>1869</v>
      </c>
      <c r="L61" s="2871"/>
      <c r="M61" s="787"/>
      <c r="N61" s="788" t="e">
        <f ca="1">IF(H19="元",ROUND(N59/项目基本情况!C12,0),ROUND(N59*10000/项目基本情况!C12,0))</f>
        <v>#DIV/0!</v>
      </c>
      <c r="O61" s="2256"/>
      <c r="P61" s="1829"/>
    </row>
    <row r="62" spans="1:16" ht="12.75">
      <c r="A62" s="2909" t="s">
        <v>1870</v>
      </c>
      <c r="B62" s="2910"/>
      <c r="C62" s="1868"/>
      <c r="D62" s="1868" t="s">
        <v>1871</v>
      </c>
      <c r="E62" s="108" t="s">
        <v>1872</v>
      </c>
      <c r="F62" s="1016"/>
      <c r="G62" s="1016"/>
      <c r="H62" s="2232"/>
      <c r="I62" s="2179"/>
      <c r="J62" s="1829"/>
      <c r="K62" s="1829"/>
      <c r="L62" s="1829"/>
      <c r="M62" s="1829"/>
      <c r="N62" s="1829"/>
      <c r="O62" s="1829"/>
      <c r="P62" s="1829"/>
    </row>
    <row r="63" spans="1:16" ht="12.75">
      <c r="A63" s="109">
        <v>1</v>
      </c>
      <c r="B63" s="110" t="s">
        <v>1873</v>
      </c>
      <c r="C63" s="111">
        <f ca="1">ROUND((C64+C65)/(1+'数据-取费表'!F30),0)</f>
        <v>0</v>
      </c>
      <c r="D63" s="112"/>
      <c r="E63" s="113"/>
      <c r="F63" s="1016"/>
      <c r="G63" s="1016"/>
      <c r="H63" s="2232"/>
      <c r="I63" s="2179"/>
      <c r="J63" s="2890" t="s">
        <v>1874</v>
      </c>
      <c r="K63" s="2257" t="s">
        <v>1875</v>
      </c>
      <c r="L63" s="1828">
        <f ca="1">IF(M49&gt;10000,M49*0.5%,IF(AND(M49&gt;1000,M49&lt;=10000),M49*1%,IF(AND(M49&gt;100,M49&lt;=1000),M49*3%,IF(AND(M49&gt;10,M49&lt;=100),M49*5%,M49*8%))))</f>
        <v>0</v>
      </c>
      <c r="M63" s="14">
        <f ca="1">ROUND(L63,1)</f>
        <v>0</v>
      </c>
      <c r="N63" s="1829"/>
      <c r="O63" s="1829"/>
      <c r="P63" s="1829"/>
    </row>
    <row r="64" spans="1:16" ht="12.75">
      <c r="A64" s="114" t="s">
        <v>71</v>
      </c>
      <c r="B64" s="115" t="s">
        <v>1876</v>
      </c>
      <c r="C64" s="116">
        <f ca="1">D45</f>
        <v>0</v>
      </c>
      <c r="D64" s="117" t="s">
        <v>41</v>
      </c>
      <c r="E64" s="118"/>
      <c r="F64" s="1016"/>
      <c r="G64" s="1016"/>
      <c r="H64" s="2232"/>
      <c r="I64" s="2179"/>
      <c r="J64" s="2890"/>
      <c r="K64" s="2257" t="s">
        <v>1877</v>
      </c>
      <c r="L64" s="1828" t="b">
        <f ca="1">IF(M49&gt;2000,M49*0.5%,IF(AND(M49&gt;1000,M49&lt;=2000),M49*0.6%,IF(AND(M49&gt;500,M49&lt;=1000),M49*0.7%,IF(AND(M49&gt;200,M49&lt;=500),M49*0.8%,IF(AND(M49&gt;100,M49&lt;=200),M49*0.9%,IF(AND(M49&gt;50,M49&lt;=100),M49*1%,IF(AND(M49&gt;20,M49&lt;=50),M49*1.5%,IF(AND(M49&gt;10,M49&lt;=20),M49*2%,IF(AND(M49&gt;1,M49&lt;=10),M49*2.5%)))))))))</f>
        <v>0</v>
      </c>
      <c r="M64" s="14">
        <f t="shared" ref="M64:M65" ca="1" si="2">ROUND(L64,1)</f>
        <v>0</v>
      </c>
      <c r="N64" s="1829" t="s">
        <v>1878</v>
      </c>
      <c r="O64" s="1829"/>
      <c r="P64" s="1829"/>
    </row>
    <row r="65" spans="1:35" ht="12.75">
      <c r="A65" s="114" t="s">
        <v>72</v>
      </c>
      <c r="B65" s="115" t="s">
        <v>1879</v>
      </c>
      <c r="C65" s="119"/>
      <c r="D65" s="117"/>
      <c r="E65" s="118"/>
      <c r="F65" s="1016"/>
      <c r="G65" s="1016"/>
      <c r="H65" s="2232"/>
      <c r="I65" s="2179"/>
      <c r="J65" s="2890"/>
      <c r="K65" s="2257" t="s">
        <v>1880</v>
      </c>
      <c r="L65" s="1828" t="b">
        <f ca="1">IF(M49&gt;1000,M49*0.1%,IF(AND(M49&gt;500,M49&lt;=1000),M49*0.5%,IF(AND(M49&gt;50,M49&lt;=500),M49*1%,IF(AND(M49&gt;1,M49&lt;=50),M49*1.5%))))</f>
        <v>0</v>
      </c>
      <c r="M65" s="14">
        <f t="shared" ca="1" si="2"/>
        <v>0</v>
      </c>
      <c r="N65" s="1829" t="s">
        <v>1878</v>
      </c>
      <c r="O65" s="1829"/>
      <c r="P65" s="1829"/>
    </row>
    <row r="66" spans="1:35" ht="12.75">
      <c r="A66" s="120" t="s">
        <v>47</v>
      </c>
      <c r="B66" s="121" t="s">
        <v>1881</v>
      </c>
      <c r="C66" s="122"/>
      <c r="D66" s="123" t="s">
        <v>41</v>
      </c>
      <c r="E66" s="1845" t="s">
        <v>1882</v>
      </c>
      <c r="F66" s="1016"/>
      <c r="G66" s="1016"/>
      <c r="H66" s="2232"/>
      <c r="I66" s="2179"/>
      <c r="J66" s="2890"/>
      <c r="K66" s="2257" t="s">
        <v>1883</v>
      </c>
      <c r="L66" s="1828">
        <f ca="1">M49*0.5%</f>
        <v>0</v>
      </c>
      <c r="M66" s="14">
        <f ca="1">IF(L66&gt;0.5,0.5,ROUND(L66,0))</f>
        <v>0</v>
      </c>
      <c r="N66" s="1829" t="s">
        <v>1884</v>
      </c>
      <c r="O66" s="1829"/>
      <c r="P66" s="1829"/>
    </row>
    <row r="67" spans="1:35" ht="12.75">
      <c r="A67" s="120" t="s">
        <v>42</v>
      </c>
      <c r="B67" s="121" t="s">
        <v>1885</v>
      </c>
      <c r="C67" s="124">
        <f ca="1">C63-C66</f>
        <v>0</v>
      </c>
      <c r="D67" s="117" t="s">
        <v>41</v>
      </c>
      <c r="E67" s="118"/>
      <c r="F67" s="1016"/>
      <c r="G67" s="1016"/>
      <c r="H67" s="2232"/>
      <c r="I67" s="2179"/>
      <c r="J67" s="2890"/>
      <c r="K67" s="2257" t="s">
        <v>1886</v>
      </c>
      <c r="L67" s="1828" t="b">
        <f ca="1">IF(M49&gt;=10000,(8.25+(M49-10000)*0.01%),IF(AND(M49&gt;=8000,M49&lt;10000),(7.85+(M49-8000)*0.02%),IF(AND(M49&gt;=5000,M49&lt;8000),(6.65+(M49-5000)*0.04%),IF(AND(M49&gt;=2000,M49&lt;5000),(4.25+(PM49-2000)*0.08%),IF(AND(M49&gt;=1000,M49&lt;2000),(2.75+(M49-1000)*0.15%),IF(AND(M49&gt;=100,M49&lt;1000),(0.5+(M49-100)*0.25%),IF(AND(M49&gt;0,M49&lt;100),M49*0.5%)))))))</f>
        <v>0</v>
      </c>
      <c r="M67" s="14">
        <f ca="1">ROUND(L67*0.9,1)</f>
        <v>0</v>
      </c>
      <c r="N67" s="1829"/>
      <c r="O67" s="1829"/>
      <c r="P67" s="1829"/>
    </row>
    <row r="68" spans="1:35" ht="13.5" thickBot="1">
      <c r="A68" s="125" t="s">
        <v>46</v>
      </c>
      <c r="B68" s="126" t="s">
        <v>1887</v>
      </c>
      <c r="C68" s="127">
        <f ca="1">IF(C67&lt;=0,0,ROUND(C67*D68,0))</f>
        <v>0</v>
      </c>
      <c r="D68" s="128">
        <f>'数据-取费表'!E29</f>
        <v>5.6000000000000001E-2</v>
      </c>
      <c r="E68" s="129"/>
      <c r="F68" s="1016"/>
      <c r="G68" s="1016"/>
      <c r="H68" s="2232"/>
      <c r="I68" s="2179"/>
      <c r="J68" s="2890"/>
      <c r="K68" s="2257" t="s">
        <v>1888</v>
      </c>
      <c r="L68" s="1828">
        <f ca="1">IF(M49&gt;10000,M49*0.5%,IF(AND(M49&gt;5000,M49&lt;=10000),M49*1%,IF(AND(M49&gt;1000,M49&lt;=5000),M49*2%,IF(AND(M49&gt;200,M49&lt;=1000),M49*3%,M49*5%))))</f>
        <v>0</v>
      </c>
      <c r="M68" s="14">
        <f ca="1">ROUND(L68,1)</f>
        <v>0</v>
      </c>
      <c r="N68" s="1829"/>
      <c r="O68" s="1829"/>
      <c r="P68" s="1829"/>
    </row>
    <row r="69" spans="1:35" s="2206" customFormat="1" ht="7.5" customHeight="1">
      <c r="A69" s="2258"/>
      <c r="B69" s="2259"/>
      <c r="C69" s="2260"/>
      <c r="D69" s="2261"/>
      <c r="E69" s="2262"/>
      <c r="F69" s="1016"/>
      <c r="G69" s="1016"/>
      <c r="H69" s="2232"/>
      <c r="I69" s="2179"/>
      <c r="J69" s="2890"/>
      <c r="K69" s="2257" t="s">
        <v>1889</v>
      </c>
      <c r="L69" s="2263"/>
      <c r="M69" s="14">
        <f ca="1">ROUND(SUM(M63:M68),0)</f>
        <v>0</v>
      </c>
      <c r="N69" s="1825" t="e">
        <f ca="1">M69/M49</f>
        <v>#DIV/0!</v>
      </c>
      <c r="O69" s="1829"/>
      <c r="P69" s="1829"/>
      <c r="Q69" s="797"/>
      <c r="R69" s="797"/>
      <c r="S69" s="797"/>
      <c r="T69" s="797"/>
      <c r="U69" s="797"/>
      <c r="V69" s="797"/>
      <c r="W69" s="797"/>
      <c r="X69" s="797"/>
      <c r="Y69" s="797"/>
      <c r="Z69" s="797"/>
      <c r="AA69" s="1829"/>
      <c r="AB69" s="1829"/>
      <c r="AC69" s="1829"/>
      <c r="AD69" s="1829"/>
      <c r="AE69" s="1829"/>
      <c r="AF69" s="1829"/>
      <c r="AG69" s="1829"/>
      <c r="AH69" s="1829"/>
      <c r="AI69" s="1829"/>
    </row>
    <row r="70" spans="1:35" s="2265" customFormat="1" ht="15" thickBot="1">
      <c r="A70" s="2911" t="s">
        <v>1890</v>
      </c>
      <c r="B70" s="2912"/>
      <c r="C70" s="2912"/>
      <c r="D70" s="2912"/>
      <c r="E70" s="2912"/>
      <c r="F70" s="2912"/>
      <c r="G70" s="2912"/>
      <c r="H70" s="2912"/>
      <c r="I70" s="2264"/>
      <c r="O70" s="1278"/>
      <c r="P70" s="1278"/>
      <c r="Q70" s="1278"/>
      <c r="R70" s="1278"/>
      <c r="S70" s="1278"/>
      <c r="T70" s="1278"/>
      <c r="U70" s="1278"/>
      <c r="V70" s="1278"/>
      <c r="W70" s="1278"/>
      <c r="X70" s="1278"/>
      <c r="Y70" s="1278"/>
      <c r="Z70" s="1278"/>
      <c r="AA70" s="2266"/>
      <c r="AB70" s="2266"/>
      <c r="AC70" s="2266"/>
      <c r="AD70" s="2266"/>
      <c r="AE70" s="2266"/>
      <c r="AF70" s="2266"/>
      <c r="AG70" s="2266"/>
      <c r="AH70" s="2266"/>
      <c r="AI70" s="2266"/>
    </row>
    <row r="71" spans="1:35" s="2265" customFormat="1" ht="14.25">
      <c r="A71" s="2909" t="s">
        <v>1870</v>
      </c>
      <c r="B71" s="2910"/>
      <c r="C71" s="1868"/>
      <c r="D71" s="1868" t="s">
        <v>1871</v>
      </c>
      <c r="E71" s="130" t="s">
        <v>1872</v>
      </c>
      <c r="F71" s="131"/>
      <c r="G71" s="131"/>
      <c r="H71" s="132"/>
      <c r="I71" s="2267"/>
      <c r="O71" s="1278"/>
      <c r="P71" s="1278"/>
      <c r="Q71" s="1278"/>
      <c r="R71" s="1278"/>
      <c r="S71" s="1278"/>
      <c r="T71" s="1278"/>
      <c r="U71" s="1278"/>
      <c r="V71" s="1278"/>
      <c r="W71" s="1278"/>
      <c r="X71" s="1278"/>
      <c r="Y71" s="1278"/>
      <c r="Z71" s="1278"/>
      <c r="AA71" s="2266"/>
      <c r="AB71" s="2266"/>
      <c r="AC71" s="2266"/>
      <c r="AD71" s="2266"/>
      <c r="AE71" s="2266"/>
      <c r="AF71" s="2266"/>
      <c r="AG71" s="2266"/>
      <c r="AH71" s="2266"/>
      <c r="AI71" s="2266"/>
    </row>
    <row r="72" spans="1:35" s="2265" customFormat="1" ht="14.25">
      <c r="A72" s="133">
        <v>1</v>
      </c>
      <c r="B72" s="121" t="s">
        <v>1891</v>
      </c>
      <c r="C72" s="124">
        <f ca="1">ROUND(D45/(1+'数据-取费表'!F30),0)</f>
        <v>0</v>
      </c>
      <c r="D72" s="117" t="s">
        <v>41</v>
      </c>
      <c r="E72" s="12" t="s">
        <v>1892</v>
      </c>
      <c r="F72" s="1872"/>
      <c r="G72" s="1872"/>
      <c r="H72" s="134"/>
      <c r="I72" s="2267"/>
      <c r="O72" s="1278"/>
      <c r="P72" s="1278"/>
      <c r="Q72" s="1278"/>
      <c r="R72" s="1278"/>
      <c r="S72" s="1278"/>
      <c r="T72" s="1278"/>
      <c r="U72" s="1278"/>
      <c r="V72" s="1278"/>
      <c r="W72" s="1278"/>
      <c r="X72" s="1278"/>
      <c r="Y72" s="1278"/>
      <c r="Z72" s="1278"/>
      <c r="AA72" s="2266"/>
      <c r="AB72" s="2266"/>
      <c r="AC72" s="2266"/>
      <c r="AD72" s="2266"/>
      <c r="AE72" s="2266"/>
      <c r="AF72" s="2266"/>
      <c r="AG72" s="2266"/>
      <c r="AH72" s="2266"/>
      <c r="AI72" s="2266"/>
    </row>
    <row r="73" spans="1:35" s="2265" customFormat="1" ht="14.25">
      <c r="A73" s="135">
        <v>2</v>
      </c>
      <c r="B73" s="89" t="s">
        <v>1893</v>
      </c>
      <c r="C73" s="124">
        <f ca="1">C74+C78</f>
        <v>0</v>
      </c>
      <c r="D73" s="117" t="s">
        <v>41</v>
      </c>
      <c r="E73" s="1871"/>
      <c r="F73" s="1872"/>
      <c r="G73" s="1872"/>
      <c r="H73" s="134"/>
      <c r="I73" s="2267"/>
      <c r="O73" s="1278"/>
      <c r="P73" s="1278"/>
      <c r="Q73" s="1278"/>
      <c r="R73" s="1278"/>
      <c r="S73" s="1278"/>
      <c r="T73" s="1278"/>
      <c r="U73" s="1278"/>
      <c r="V73" s="1278"/>
      <c r="W73" s="1278"/>
      <c r="X73" s="1278"/>
      <c r="Y73" s="1278"/>
      <c r="Z73" s="1278"/>
      <c r="AA73" s="2266"/>
      <c r="AB73" s="2266"/>
      <c r="AC73" s="2266"/>
      <c r="AD73" s="2266"/>
      <c r="AE73" s="2266"/>
      <c r="AF73" s="2266"/>
      <c r="AG73" s="2266"/>
      <c r="AH73" s="2266"/>
      <c r="AI73" s="2266"/>
    </row>
    <row r="74" spans="1:35" s="2265" customFormat="1" ht="24">
      <c r="A74" s="136" t="s">
        <v>73</v>
      </c>
      <c r="B74" s="115" t="s">
        <v>1894</v>
      </c>
      <c r="C74" s="117">
        <f>ROUND(IF(G77="2016年5月1日后购买",C75/(1+'数据-取费表'!F30)+C76+C77,C75+C76+C77),0)</f>
        <v>0</v>
      </c>
      <c r="D74" s="117" t="s">
        <v>41</v>
      </c>
      <c r="E74" s="1871"/>
      <c r="F74" s="1872"/>
      <c r="G74" s="1872"/>
      <c r="H74" s="134"/>
      <c r="I74" s="2267"/>
      <c r="O74" s="1278"/>
      <c r="P74" s="1278"/>
      <c r="Q74" s="1278"/>
      <c r="R74" s="1278"/>
      <c r="S74" s="1278"/>
      <c r="T74" s="1278"/>
      <c r="U74" s="1278"/>
      <c r="V74" s="1278"/>
      <c r="W74" s="1278"/>
      <c r="X74" s="1278"/>
      <c r="Y74" s="1278"/>
      <c r="Z74" s="1278"/>
      <c r="AA74" s="2266"/>
      <c r="AB74" s="2266"/>
      <c r="AC74" s="2266"/>
      <c r="AD74" s="2266"/>
      <c r="AE74" s="2266"/>
      <c r="AF74" s="2266"/>
      <c r="AG74" s="2266"/>
      <c r="AH74" s="2266"/>
      <c r="AI74" s="2266"/>
    </row>
    <row r="75" spans="1:35" s="2265" customFormat="1" ht="14.25">
      <c r="A75" s="136" t="s">
        <v>74</v>
      </c>
      <c r="B75" s="115" t="s">
        <v>1895</v>
      </c>
      <c r="C75" s="137"/>
      <c r="D75" s="117" t="s">
        <v>41</v>
      </c>
      <c r="E75" s="138" t="s">
        <v>1896</v>
      </c>
      <c r="F75" s="2268" t="s">
        <v>1897</v>
      </c>
      <c r="G75" s="138" t="s">
        <v>1898</v>
      </c>
      <c r="H75" s="139"/>
      <c r="I75" s="9"/>
      <c r="O75" s="1278"/>
      <c r="P75" s="1278"/>
      <c r="Q75" s="1278"/>
      <c r="R75" s="1278"/>
      <c r="S75" s="1278"/>
      <c r="T75" s="1278"/>
      <c r="U75" s="1278"/>
      <c r="V75" s="1278"/>
      <c r="W75" s="1278"/>
      <c r="X75" s="1278"/>
      <c r="Y75" s="1278"/>
      <c r="Z75" s="1278"/>
      <c r="AA75" s="2266"/>
      <c r="AB75" s="2266"/>
      <c r="AC75" s="2266"/>
      <c r="AD75" s="2266"/>
      <c r="AE75" s="2266"/>
      <c r="AF75" s="2266"/>
      <c r="AG75" s="2266"/>
      <c r="AH75" s="2266"/>
      <c r="AI75" s="2266"/>
    </row>
    <row r="76" spans="1:35" s="2265" customFormat="1" ht="24.75" customHeight="1">
      <c r="A76" s="136" t="s">
        <v>75</v>
      </c>
      <c r="B76" s="140" t="s">
        <v>1899</v>
      </c>
      <c r="C76" s="117">
        <f>IF(F75="购房发票",ROUND(C75*H75*D76,0),0)</f>
        <v>0</v>
      </c>
      <c r="D76" s="141">
        <v>0.05</v>
      </c>
      <c r="E76" s="2948" t="s">
        <v>1900</v>
      </c>
      <c r="F76" s="2949"/>
      <c r="G76" s="2949"/>
      <c r="H76" s="2950"/>
      <c r="I76" s="2267"/>
      <c r="O76" s="1278"/>
      <c r="P76" s="1278"/>
      <c r="Q76" s="1278"/>
      <c r="R76" s="1278"/>
      <c r="S76" s="1278"/>
      <c r="T76" s="1278"/>
      <c r="U76" s="1278"/>
      <c r="V76" s="1278"/>
      <c r="W76" s="1278"/>
      <c r="X76" s="1278"/>
      <c r="Y76" s="1278"/>
      <c r="Z76" s="1278"/>
      <c r="AA76" s="2266"/>
      <c r="AB76" s="2266"/>
      <c r="AC76" s="2266"/>
      <c r="AD76" s="2266"/>
      <c r="AE76" s="2266"/>
      <c r="AF76" s="2266"/>
      <c r="AG76" s="2266"/>
      <c r="AH76" s="2266"/>
      <c r="AI76" s="2266"/>
    </row>
    <row r="77" spans="1:35" s="2265"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69" t="s">
        <v>1903</v>
      </c>
      <c r="H77" s="1873" t="str">
        <f>IF(G77="个人买卖住房","免征印花税"," ")</f>
        <v xml:space="preserve"> </v>
      </c>
      <c r="I77" s="2267"/>
      <c r="J77" s="1278"/>
      <c r="K77" s="1278"/>
      <c r="L77" s="1278"/>
      <c r="M77" s="1278"/>
      <c r="N77" s="1278"/>
      <c r="O77" s="1278"/>
      <c r="P77" s="1278"/>
      <c r="Q77" s="1278"/>
      <c r="R77" s="1278"/>
      <c r="S77" s="1278"/>
      <c r="T77" s="1278"/>
      <c r="U77" s="1278"/>
      <c r="V77" s="1278"/>
      <c r="W77" s="1278"/>
      <c r="X77" s="1278"/>
      <c r="Y77" s="1278"/>
      <c r="Z77" s="1278"/>
      <c r="AA77" s="2266"/>
      <c r="AB77" s="2266"/>
      <c r="AC77" s="2266"/>
      <c r="AD77" s="2266"/>
      <c r="AE77" s="2266"/>
      <c r="AF77" s="2266"/>
      <c r="AG77" s="2266"/>
      <c r="AH77" s="2266"/>
      <c r="AI77" s="2266"/>
    </row>
    <row r="78" spans="1:35" s="2265" customFormat="1" ht="24.75" customHeight="1">
      <c r="A78" s="136" t="s">
        <v>77</v>
      </c>
      <c r="B78" s="115" t="s">
        <v>1904</v>
      </c>
      <c r="C78" s="144">
        <f ca="1">ROUND(D45*D78/(1+'数据-取费表'!F30),0)</f>
        <v>0</v>
      </c>
      <c r="D78" s="145">
        <f>'数据-取费表'!E31</f>
        <v>6.000000000000001E-3</v>
      </c>
      <c r="E78" s="2878" t="s">
        <v>1905</v>
      </c>
      <c r="F78" s="2879"/>
      <c r="G78" s="2879"/>
      <c r="H78" s="2899"/>
      <c r="I78" s="2270"/>
      <c r="J78" s="1278"/>
      <c r="K78" s="1278"/>
      <c r="L78" s="1278"/>
      <c r="M78" s="1278"/>
      <c r="N78" s="1278"/>
      <c r="O78" s="1278"/>
      <c r="P78" s="1278"/>
      <c r="Q78" s="1278"/>
      <c r="R78" s="1278"/>
      <c r="S78" s="1278"/>
      <c r="T78" s="1278"/>
      <c r="U78" s="1278"/>
      <c r="V78" s="1278"/>
      <c r="W78" s="1278"/>
      <c r="X78" s="1278"/>
      <c r="Y78" s="1278"/>
      <c r="Z78" s="1278"/>
      <c r="AA78" s="2266"/>
      <c r="AB78" s="2266"/>
      <c r="AC78" s="2266"/>
      <c r="AD78" s="2266"/>
      <c r="AE78" s="2266"/>
      <c r="AF78" s="2266"/>
      <c r="AG78" s="2266"/>
      <c r="AH78" s="2266"/>
      <c r="AI78" s="2266"/>
    </row>
    <row r="79" spans="1:35" s="2265" customFormat="1" ht="14.25">
      <c r="A79" s="146" t="s">
        <v>42</v>
      </c>
      <c r="B79" s="121" t="s">
        <v>1906</v>
      </c>
      <c r="C79" s="124">
        <f ca="1">C72-C73</f>
        <v>0</v>
      </c>
      <c r="D79" s="117" t="s">
        <v>41</v>
      </c>
      <c r="E79" s="1871"/>
      <c r="F79" s="1872"/>
      <c r="G79" s="1872"/>
      <c r="H79" s="134"/>
      <c r="I79" s="2267"/>
      <c r="J79" s="1278"/>
      <c r="K79" s="1278"/>
      <c r="L79" s="1278"/>
      <c r="M79" s="1278"/>
      <c r="N79" s="1278"/>
      <c r="O79" s="1278"/>
      <c r="P79" s="1278"/>
      <c r="Q79" s="1278"/>
      <c r="R79" s="1278"/>
      <c r="S79" s="1278"/>
      <c r="T79" s="1278"/>
      <c r="U79" s="1278"/>
      <c r="V79" s="1278"/>
      <c r="W79" s="1278"/>
      <c r="X79" s="1278"/>
      <c r="Y79" s="1278"/>
      <c r="Z79" s="1278"/>
      <c r="AA79" s="2266"/>
      <c r="AB79" s="2266"/>
      <c r="AC79" s="2266"/>
      <c r="AD79" s="2266"/>
      <c r="AE79" s="2266"/>
      <c r="AF79" s="2266"/>
      <c r="AG79" s="2266"/>
      <c r="AH79" s="2266"/>
      <c r="AI79" s="2266"/>
    </row>
    <row r="80" spans="1:35" s="2265" customFormat="1" ht="24">
      <c r="A80" s="146" t="s">
        <v>43</v>
      </c>
      <c r="B80" s="121" t="s">
        <v>1907</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72"/>
      <c r="G80" s="1872"/>
      <c r="H80" s="134"/>
      <c r="I80" s="2267"/>
      <c r="J80" s="1278"/>
      <c r="K80" s="1278"/>
      <c r="L80" s="1278"/>
      <c r="M80" s="1278"/>
      <c r="N80" s="1278"/>
      <c r="O80" s="1278"/>
      <c r="P80" s="1278"/>
      <c r="Q80" s="1278"/>
      <c r="R80" s="1278"/>
      <c r="S80" s="1278"/>
      <c r="T80" s="1278"/>
      <c r="U80" s="1278"/>
      <c r="V80" s="1278"/>
      <c r="W80" s="1278"/>
      <c r="X80" s="1278"/>
      <c r="Y80" s="1278"/>
      <c r="Z80" s="1278"/>
      <c r="AA80" s="2266"/>
      <c r="AB80" s="2266"/>
      <c r="AC80" s="2266"/>
      <c r="AD80" s="2266"/>
      <c r="AE80" s="2266"/>
      <c r="AF80" s="2266"/>
      <c r="AG80" s="2266"/>
      <c r="AH80" s="2266"/>
      <c r="AI80" s="2266"/>
    </row>
    <row r="81" spans="1:35" s="2265" customFormat="1" ht="24.75" thickBot="1">
      <c r="A81" s="148" t="s">
        <v>44</v>
      </c>
      <c r="B81" s="126" t="s">
        <v>1908</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67"/>
      <c r="J81" s="1278"/>
      <c r="K81" s="1278"/>
      <c r="L81" s="1278"/>
      <c r="M81" s="1278"/>
      <c r="N81" s="1278"/>
      <c r="O81" s="1278"/>
      <c r="P81" s="1278"/>
      <c r="Q81" s="1278"/>
      <c r="R81" s="1278"/>
      <c r="S81" s="1278"/>
      <c r="T81" s="1278"/>
      <c r="U81" s="1278"/>
      <c r="V81" s="1278"/>
      <c r="W81" s="1278"/>
      <c r="X81" s="1278"/>
      <c r="Y81" s="1278"/>
      <c r="Z81" s="1278"/>
      <c r="AA81" s="2266"/>
      <c r="AB81" s="2266"/>
      <c r="AC81" s="2266"/>
      <c r="AD81" s="2266"/>
      <c r="AE81" s="2266"/>
      <c r="AF81" s="2266"/>
      <c r="AG81" s="2266"/>
      <c r="AH81" s="2266"/>
      <c r="AI81" s="2266"/>
    </row>
    <row r="82" spans="1:35" s="2265" customFormat="1" ht="7.5" customHeight="1">
      <c r="A82" s="716"/>
      <c r="B82" s="717"/>
      <c r="C82" s="9"/>
      <c r="D82" s="9"/>
      <c r="E82" s="717"/>
      <c r="F82" s="717"/>
      <c r="G82" s="717"/>
      <c r="H82" s="718"/>
      <c r="I82" s="2270"/>
      <c r="J82" s="1278"/>
      <c r="K82" s="1278"/>
      <c r="L82" s="1278"/>
      <c r="M82" s="1278"/>
      <c r="N82" s="1278"/>
      <c r="O82" s="1278"/>
      <c r="P82" s="1278"/>
      <c r="Q82" s="1278"/>
      <c r="R82" s="1278"/>
      <c r="S82" s="1278"/>
      <c r="T82" s="1278"/>
      <c r="U82" s="1278"/>
      <c r="V82" s="1278"/>
      <c r="W82" s="1278"/>
      <c r="X82" s="1278"/>
      <c r="Y82" s="1278"/>
      <c r="Z82" s="1278"/>
      <c r="AA82" s="2266"/>
      <c r="AB82" s="2266"/>
      <c r="AC82" s="2266"/>
      <c r="AD82" s="2266"/>
      <c r="AE82" s="2266"/>
      <c r="AF82" s="2266"/>
      <c r="AG82" s="2266"/>
      <c r="AH82" s="2266"/>
      <c r="AI82" s="2266"/>
    </row>
    <row r="83" spans="1:35" s="2265" customFormat="1" ht="15" thickBot="1">
      <c r="A83" s="2911" t="s">
        <v>1909</v>
      </c>
      <c r="B83" s="2912"/>
      <c r="C83" s="2912"/>
      <c r="D83" s="2912"/>
      <c r="E83" s="2912"/>
      <c r="F83" s="2912"/>
      <c r="G83" s="2912"/>
      <c r="H83" s="2912"/>
      <c r="I83" s="9"/>
      <c r="J83" s="1278"/>
      <c r="K83" s="1278"/>
      <c r="L83" s="1278"/>
      <c r="M83" s="1278"/>
      <c r="N83" s="1278"/>
      <c r="O83" s="1278"/>
      <c r="P83" s="1278"/>
      <c r="Q83" s="1278"/>
      <c r="R83" s="1278"/>
      <c r="S83" s="1278"/>
      <c r="T83" s="1278"/>
      <c r="U83" s="1278"/>
      <c r="V83" s="1278"/>
      <c r="W83" s="1278"/>
      <c r="X83" s="1278"/>
      <c r="Y83" s="1278"/>
      <c r="Z83" s="1278"/>
      <c r="AA83" s="2266"/>
      <c r="AB83" s="2266"/>
      <c r="AC83" s="2266"/>
      <c r="AD83" s="2266"/>
      <c r="AE83" s="2266"/>
      <c r="AF83" s="2266"/>
      <c r="AG83" s="2266"/>
      <c r="AH83" s="2266"/>
      <c r="AI83" s="2266"/>
    </row>
    <row r="84" spans="1:35" s="2265" customFormat="1" ht="14.25">
      <c r="A84" s="2909" t="s">
        <v>1870</v>
      </c>
      <c r="B84" s="2910"/>
      <c r="C84" s="1868"/>
      <c r="D84" s="1868" t="s">
        <v>1871</v>
      </c>
      <c r="E84" s="130" t="s">
        <v>1872</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66"/>
      <c r="AB84" s="2266"/>
      <c r="AC84" s="2266"/>
      <c r="AD84" s="2266"/>
      <c r="AE84" s="2266"/>
      <c r="AF84" s="2266"/>
      <c r="AG84" s="2266"/>
      <c r="AH84" s="2266"/>
      <c r="AI84" s="2266"/>
    </row>
    <row r="85" spans="1:35" s="2265" customFormat="1" ht="24">
      <c r="A85" s="133">
        <v>1</v>
      </c>
      <c r="B85" s="121" t="s">
        <v>1891</v>
      </c>
      <c r="C85" s="124">
        <f ca="1">ROUND(D45/(1+'数据-取费表'!F30),0)</f>
        <v>0</v>
      </c>
      <c r="D85" s="117" t="s">
        <v>41</v>
      </c>
      <c r="E85" s="1871" t="s">
        <v>1892</v>
      </c>
      <c r="F85" s="1872"/>
      <c r="G85" s="1872"/>
      <c r="H85" s="155"/>
      <c r="I85" s="9"/>
      <c r="J85" s="1278"/>
      <c r="K85" s="1278"/>
      <c r="L85" s="1278"/>
      <c r="M85" s="1278"/>
      <c r="N85" s="1278"/>
      <c r="O85" s="1278"/>
      <c r="P85" s="1278"/>
      <c r="Q85" s="1278"/>
      <c r="R85" s="1278"/>
      <c r="S85" s="1278"/>
      <c r="T85" s="1278"/>
      <c r="U85" s="1278"/>
      <c r="V85" s="1278"/>
      <c r="W85" s="1278"/>
      <c r="X85" s="1278"/>
      <c r="Y85" s="1278"/>
      <c r="Z85" s="1278"/>
      <c r="AA85" s="2266"/>
      <c r="AB85" s="2266"/>
      <c r="AC85" s="2266"/>
      <c r="AD85" s="2266"/>
      <c r="AE85" s="2266"/>
      <c r="AF85" s="2266"/>
      <c r="AG85" s="2266"/>
      <c r="AH85" s="2266"/>
      <c r="AI85" s="2266"/>
    </row>
    <row r="86" spans="1:35" s="2265" customFormat="1" ht="14.25">
      <c r="A86" s="135">
        <v>2</v>
      </c>
      <c r="B86" s="89" t="s">
        <v>1893</v>
      </c>
      <c r="C86" s="124">
        <f ca="1">IF(H88="仅含出让金",C87+C90+C91+C92+C93+C94,C87+C91+C92+C93+C94)</f>
        <v>0</v>
      </c>
      <c r="D86" s="156"/>
      <c r="E86" s="1871"/>
      <c r="F86" s="1872"/>
      <c r="G86" s="1872"/>
      <c r="H86" s="155"/>
      <c r="I86" s="9"/>
      <c r="J86" s="1278"/>
      <c r="K86" s="1278"/>
      <c r="L86" s="1278"/>
      <c r="M86" s="1278"/>
      <c r="N86" s="1278"/>
      <c r="O86" s="1278"/>
      <c r="P86" s="1278"/>
      <c r="Q86" s="1278"/>
      <c r="R86" s="1278"/>
      <c r="S86" s="1278"/>
      <c r="T86" s="1278"/>
      <c r="U86" s="1278"/>
      <c r="V86" s="1278"/>
      <c r="W86" s="1278"/>
      <c r="X86" s="1278"/>
      <c r="Y86" s="1278"/>
      <c r="Z86" s="1278"/>
      <c r="AA86" s="2266"/>
      <c r="AB86" s="2266"/>
      <c r="AC86" s="2266"/>
      <c r="AD86" s="2266"/>
      <c r="AE86" s="2266"/>
      <c r="AF86" s="2266"/>
      <c r="AG86" s="2266"/>
      <c r="AH86" s="2266"/>
      <c r="AI86" s="2266"/>
    </row>
    <row r="87" spans="1:35" s="2265" customFormat="1" ht="14.25">
      <c r="A87" s="136" t="s">
        <v>73</v>
      </c>
      <c r="B87" s="115" t="s">
        <v>1910</v>
      </c>
      <c r="C87" s="144">
        <f>C88+C89</f>
        <v>0</v>
      </c>
      <c r="D87" s="145"/>
      <c r="E87" s="1864"/>
      <c r="F87" s="1865"/>
      <c r="G87" s="1865"/>
      <c r="H87" s="1867"/>
      <c r="I87" s="9"/>
      <c r="J87" s="1278"/>
      <c r="K87" s="1278"/>
      <c r="L87" s="1278"/>
      <c r="M87" s="1278"/>
      <c r="N87" s="1278"/>
      <c r="O87" s="1278"/>
      <c r="P87" s="1278"/>
      <c r="Q87" s="1278"/>
      <c r="R87" s="1278"/>
      <c r="S87" s="1278"/>
      <c r="T87" s="1278"/>
      <c r="U87" s="1278"/>
      <c r="V87" s="1278"/>
      <c r="W87" s="1278"/>
      <c r="X87" s="1278"/>
      <c r="Y87" s="1278"/>
      <c r="Z87" s="1278"/>
      <c r="AA87" s="2266"/>
      <c r="AB87" s="2266"/>
      <c r="AC87" s="2266"/>
      <c r="AD87" s="2266"/>
      <c r="AE87" s="2266"/>
      <c r="AF87" s="2266"/>
      <c r="AG87" s="2266"/>
      <c r="AH87" s="2266"/>
      <c r="AI87" s="2266"/>
    </row>
    <row r="88" spans="1:35" s="2265" customFormat="1" ht="14.25">
      <c r="A88" s="136" t="s">
        <v>74</v>
      </c>
      <c r="B88" s="115" t="s">
        <v>1911</v>
      </c>
      <c r="C88" s="157"/>
      <c r="D88" s="145"/>
      <c r="E88" s="158" t="s">
        <v>1912</v>
      </c>
      <c r="F88" s="1865"/>
      <c r="G88" s="159" t="s">
        <v>1913</v>
      </c>
      <c r="H88" s="2271"/>
      <c r="I88" s="9"/>
      <c r="J88" s="2737" t="s">
        <v>2823</v>
      </c>
      <c r="K88" s="1278"/>
      <c r="L88" s="1278"/>
      <c r="M88" s="1278"/>
      <c r="N88" s="1278"/>
      <c r="O88" s="1278"/>
      <c r="P88" s="1278"/>
      <c r="Q88" s="1278"/>
      <c r="R88" s="1278"/>
      <c r="S88" s="1278"/>
      <c r="T88" s="1278"/>
      <c r="U88" s="1278"/>
      <c r="V88" s="1278"/>
      <c r="W88" s="1278"/>
      <c r="X88" s="1278"/>
      <c r="Y88" s="1278"/>
      <c r="Z88" s="1278"/>
      <c r="AA88" s="2266"/>
      <c r="AB88" s="2266"/>
      <c r="AC88" s="2266"/>
      <c r="AD88" s="2266"/>
      <c r="AE88" s="2266"/>
      <c r="AF88" s="2266"/>
      <c r="AG88" s="2266"/>
      <c r="AH88" s="2266"/>
      <c r="AI88" s="2266"/>
    </row>
    <row r="89" spans="1:35" s="2265" customFormat="1" ht="14.25">
      <c r="A89" s="136" t="s">
        <v>75</v>
      </c>
      <c r="B89" s="115" t="s">
        <v>1901</v>
      </c>
      <c r="C89" s="144">
        <f>ROUND(C88*D89,0)</f>
        <v>0</v>
      </c>
      <c r="D89" s="145">
        <f>'数据-取费表'!E36+'数据-取费表'!E37</f>
        <v>3.0499999999999999E-2</v>
      </c>
      <c r="E89" s="158" t="s">
        <v>1914</v>
      </c>
      <c r="F89" s="1865"/>
      <c r="G89" s="1865"/>
      <c r="H89" s="1867"/>
      <c r="I89" s="9"/>
      <c r="J89" s="1278"/>
      <c r="K89" s="1278"/>
      <c r="L89" s="1278"/>
      <c r="M89" s="1278"/>
      <c r="N89" s="1278"/>
      <c r="O89" s="1278"/>
      <c r="P89" s="1278"/>
      <c r="Q89" s="1278"/>
      <c r="R89" s="1278"/>
      <c r="S89" s="1278"/>
      <c r="T89" s="1278"/>
      <c r="U89" s="1278"/>
      <c r="V89" s="1278"/>
      <c r="W89" s="1278"/>
      <c r="X89" s="1278"/>
      <c r="Y89" s="1278"/>
      <c r="Z89" s="1278"/>
      <c r="AA89" s="2266"/>
      <c r="AB89" s="2266"/>
      <c r="AC89" s="2266"/>
      <c r="AD89" s="2266"/>
      <c r="AE89" s="2266"/>
      <c r="AF89" s="2266"/>
      <c r="AG89" s="2266"/>
      <c r="AH89" s="2266"/>
      <c r="AI89" s="2266"/>
    </row>
    <row r="90" spans="1:35" s="2265" customFormat="1" ht="24" customHeight="1">
      <c r="A90" s="136" t="s">
        <v>77</v>
      </c>
      <c r="B90" s="115" t="s">
        <v>1915</v>
      </c>
      <c r="C90" s="157"/>
      <c r="D90" s="145"/>
      <c r="E90" s="158" t="str">
        <f>IF(H88="-","土地取得成本中已包含该笔费用"," ")</f>
        <v xml:space="preserve"> </v>
      </c>
      <c r="F90" s="1865"/>
      <c r="G90" s="2918" t="s">
        <v>2825</v>
      </c>
      <c r="H90" s="2918"/>
      <c r="I90" s="9"/>
      <c r="J90" s="2737" t="s">
        <v>2824</v>
      </c>
      <c r="K90" s="1278"/>
      <c r="L90" s="1278"/>
      <c r="M90" s="1278"/>
      <c r="N90" s="1278"/>
      <c r="O90" s="1278"/>
      <c r="P90" s="1278"/>
      <c r="Q90" s="1278"/>
      <c r="R90" s="1278"/>
      <c r="S90" s="1278"/>
      <c r="T90" s="1278"/>
      <c r="U90" s="1278"/>
      <c r="V90" s="1278"/>
      <c r="W90" s="1278"/>
      <c r="X90" s="1278"/>
      <c r="Y90" s="1278"/>
      <c r="Z90" s="1278"/>
      <c r="AA90" s="2266"/>
      <c r="AB90" s="2266"/>
      <c r="AC90" s="2266"/>
      <c r="AD90" s="2266"/>
      <c r="AE90" s="2266"/>
      <c r="AF90" s="2266"/>
      <c r="AG90" s="2266"/>
      <c r="AH90" s="2266"/>
      <c r="AI90" s="2266"/>
    </row>
    <row r="91" spans="1:35" s="2265" customFormat="1" ht="30.75" customHeight="1">
      <c r="A91" s="136" t="s">
        <v>78</v>
      </c>
      <c r="B91" s="115" t="s">
        <v>1916</v>
      </c>
      <c r="C91" s="144">
        <f>IF(H91="——",成本法!C33,I91)</f>
        <v>0</v>
      </c>
      <c r="D91" s="145"/>
      <c r="E91" s="2878" t="s">
        <v>1917</v>
      </c>
      <c r="F91" s="2879"/>
      <c r="G91" s="2879"/>
      <c r="H91" s="2272" t="s">
        <v>1918</v>
      </c>
      <c r="I91" s="2273"/>
      <c r="J91" s="1278"/>
      <c r="K91" s="1278"/>
      <c r="L91" s="1278"/>
      <c r="M91" s="1278"/>
      <c r="N91" s="1278"/>
      <c r="O91" s="1278"/>
      <c r="P91" s="1278"/>
      <c r="Q91" s="1278"/>
      <c r="R91" s="1278"/>
      <c r="S91" s="1278"/>
      <c r="T91" s="1278"/>
      <c r="U91" s="1278"/>
      <c r="V91" s="1278"/>
      <c r="W91" s="1278"/>
      <c r="X91" s="1278"/>
      <c r="Y91" s="1278"/>
      <c r="Z91" s="1278"/>
      <c r="AA91" s="2266"/>
      <c r="AB91" s="2266"/>
      <c r="AC91" s="2266"/>
      <c r="AD91" s="2266"/>
      <c r="AE91" s="2266"/>
      <c r="AF91" s="2266"/>
      <c r="AG91" s="2266"/>
      <c r="AH91" s="2266"/>
      <c r="AI91" s="2266"/>
    </row>
    <row r="92" spans="1:35" s="2265" customFormat="1" ht="25.5" customHeight="1">
      <c r="A92" s="136" t="s">
        <v>79</v>
      </c>
      <c r="B92" s="115" t="s">
        <v>1919</v>
      </c>
      <c r="C92" s="144">
        <f>ROUND((C87+C90+C91)*D92,0)</f>
        <v>0</v>
      </c>
      <c r="D92" s="145">
        <v>0.1</v>
      </c>
      <c r="E92" s="2878" t="s">
        <v>1920</v>
      </c>
      <c r="F92" s="2879"/>
      <c r="G92" s="2879"/>
      <c r="H92" s="2899"/>
      <c r="I92" s="9"/>
      <c r="J92" s="1278"/>
      <c r="K92" s="1278"/>
      <c r="L92" s="1278"/>
      <c r="M92" s="1278"/>
      <c r="N92" s="1278"/>
      <c r="O92" s="1278"/>
      <c r="P92" s="1278"/>
      <c r="Q92" s="1278"/>
      <c r="R92" s="1278"/>
      <c r="S92" s="1278"/>
      <c r="T92" s="1278"/>
      <c r="U92" s="1278"/>
      <c r="V92" s="1278"/>
      <c r="W92" s="1278"/>
      <c r="X92" s="1278"/>
      <c r="Y92" s="1278"/>
      <c r="Z92" s="1278"/>
      <c r="AA92" s="2266"/>
      <c r="AB92" s="2266"/>
      <c r="AC92" s="2266"/>
      <c r="AD92" s="2266"/>
      <c r="AE92" s="2266"/>
      <c r="AF92" s="2266"/>
      <c r="AG92" s="2266"/>
      <c r="AH92" s="2266"/>
      <c r="AI92" s="2266"/>
    </row>
    <row r="93" spans="1:35" s="2265" customFormat="1" ht="25.5" customHeight="1">
      <c r="A93" s="136" t="s">
        <v>80</v>
      </c>
      <c r="B93" s="115" t="s">
        <v>1904</v>
      </c>
      <c r="C93" s="144">
        <f ca="1">ROUND(D45*D93/(1+'数据-取费表'!F30),0)</f>
        <v>0</v>
      </c>
      <c r="D93" s="145">
        <f>'数据-取费表'!E31</f>
        <v>6.000000000000001E-3</v>
      </c>
      <c r="E93" s="2878" t="s">
        <v>1905</v>
      </c>
      <c r="F93" s="2879"/>
      <c r="G93" s="2879"/>
      <c r="H93" s="2899"/>
      <c r="I93" s="9"/>
      <c r="J93" s="1278"/>
      <c r="K93" s="1278"/>
      <c r="L93" s="1278"/>
      <c r="M93" s="1278"/>
      <c r="N93" s="1278"/>
      <c r="O93" s="1278"/>
      <c r="P93" s="1278"/>
      <c r="Q93" s="1278"/>
      <c r="R93" s="1278"/>
      <c r="S93" s="1278"/>
      <c r="T93" s="1278"/>
      <c r="U93" s="1278"/>
      <c r="V93" s="1278"/>
      <c r="W93" s="1278"/>
      <c r="X93" s="1278"/>
      <c r="Y93" s="1278"/>
      <c r="Z93" s="1278"/>
      <c r="AA93" s="2266"/>
      <c r="AB93" s="2266"/>
      <c r="AC93" s="2266"/>
      <c r="AD93" s="2266"/>
      <c r="AE93" s="2266"/>
      <c r="AF93" s="2266"/>
      <c r="AG93" s="2266"/>
      <c r="AH93" s="2266"/>
      <c r="AI93" s="2266"/>
    </row>
    <row r="94" spans="1:35" s="2265" customFormat="1" ht="25.5" customHeight="1">
      <c r="A94" s="136" t="s">
        <v>81</v>
      </c>
      <c r="B94" s="115" t="s">
        <v>1921</v>
      </c>
      <c r="C94" s="144">
        <f>ROUND((C87+C90+C91)*D94,0)</f>
        <v>0</v>
      </c>
      <c r="D94" s="145">
        <v>0.2</v>
      </c>
      <c r="E94" s="2878" t="s">
        <v>1922</v>
      </c>
      <c r="F94" s="2879"/>
      <c r="G94" s="2879"/>
      <c r="H94" s="2899"/>
      <c r="I94" s="9"/>
      <c r="J94" s="1278"/>
      <c r="K94" s="1278"/>
      <c r="L94" s="1278"/>
      <c r="M94" s="1278"/>
      <c r="N94" s="1278"/>
      <c r="O94" s="1278"/>
      <c r="P94" s="1278"/>
      <c r="Q94" s="1278"/>
      <c r="R94" s="1278"/>
      <c r="S94" s="1278"/>
      <c r="T94" s="1278"/>
      <c r="U94" s="1278"/>
      <c r="V94" s="1278"/>
      <c r="W94" s="1278"/>
      <c r="X94" s="1278"/>
      <c r="Y94" s="1278"/>
      <c r="Z94" s="1278"/>
      <c r="AA94" s="2266"/>
      <c r="AB94" s="2266"/>
      <c r="AC94" s="2266"/>
      <c r="AD94" s="2266"/>
      <c r="AE94" s="2266"/>
      <c r="AF94" s="2266"/>
      <c r="AG94" s="2266"/>
      <c r="AH94" s="2266"/>
      <c r="AI94" s="2266"/>
    </row>
    <row r="95" spans="1:35" s="2265" customFormat="1" ht="14.25">
      <c r="A95" s="146" t="s">
        <v>42</v>
      </c>
      <c r="B95" s="121" t="s">
        <v>1906</v>
      </c>
      <c r="C95" s="124">
        <f ca="1">ROUND(C85-C86,0)</f>
        <v>0</v>
      </c>
      <c r="D95" s="117" t="s">
        <v>41</v>
      </c>
      <c r="E95" s="1871"/>
      <c r="F95" s="1872"/>
      <c r="G95" s="1872"/>
      <c r="H95" s="155"/>
      <c r="I95" s="9"/>
      <c r="J95" s="1278"/>
      <c r="K95" s="1278"/>
      <c r="L95" s="1278"/>
      <c r="M95" s="1278"/>
      <c r="N95" s="1278"/>
      <c r="O95" s="1278"/>
      <c r="P95" s="1278"/>
      <c r="Q95" s="1278"/>
      <c r="R95" s="1278"/>
      <c r="S95" s="1278"/>
      <c r="T95" s="1278"/>
      <c r="U95" s="1278"/>
      <c r="V95" s="1278"/>
      <c r="W95" s="1278"/>
      <c r="X95" s="1278"/>
      <c r="Y95" s="1278"/>
      <c r="Z95" s="1278"/>
      <c r="AA95" s="2266"/>
      <c r="AB95" s="2266"/>
      <c r="AC95" s="2266"/>
      <c r="AD95" s="2266"/>
      <c r="AE95" s="2266"/>
      <c r="AF95" s="2266"/>
      <c r="AG95" s="2266"/>
      <c r="AH95" s="2266"/>
      <c r="AI95" s="2266"/>
    </row>
    <row r="96" spans="1:35" s="2265" customFormat="1" ht="24">
      <c r="A96" s="146" t="s">
        <v>43</v>
      </c>
      <c r="B96" s="121" t="s">
        <v>1907</v>
      </c>
      <c r="C96" s="147">
        <f ca="1">IF(C95&lt;=0,0,C95/C86)</f>
        <v>0</v>
      </c>
      <c r="D96" s="117" t="s">
        <v>41</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872"/>
      <c r="G96" s="1872"/>
      <c r="H96" s="155"/>
      <c r="I96" s="9"/>
      <c r="J96" s="1278"/>
      <c r="K96" s="1278"/>
      <c r="L96" s="1278"/>
      <c r="M96" s="1278"/>
      <c r="N96" s="1278"/>
      <c r="O96" s="1278"/>
      <c r="P96" s="1278"/>
      <c r="Q96" s="1278"/>
      <c r="R96" s="1278"/>
      <c r="S96" s="1278"/>
      <c r="T96" s="1278"/>
      <c r="U96" s="1278"/>
      <c r="V96" s="1278"/>
      <c r="W96" s="1278"/>
      <c r="X96" s="1278"/>
      <c r="Y96" s="1278"/>
      <c r="Z96" s="1278"/>
      <c r="AA96" s="2266"/>
      <c r="AB96" s="2266"/>
      <c r="AC96" s="2266"/>
      <c r="AD96" s="2266"/>
      <c r="AE96" s="2266"/>
      <c r="AF96" s="2266"/>
      <c r="AG96" s="2266"/>
      <c r="AH96" s="2266"/>
      <c r="AI96" s="2266"/>
    </row>
    <row r="97" spans="1:35" s="2265" customFormat="1" ht="24.75" thickBot="1">
      <c r="A97" s="148" t="s">
        <v>44</v>
      </c>
      <c r="B97" s="126" t="s">
        <v>1908</v>
      </c>
      <c r="C97" s="149">
        <f ca="1">ROUND(IF(C95&lt;=0,0,IF(C96&gt;=200%,C95*60%-C86*35%,IF(C96&gt;=100%,C95*50%-C86*15%,IF(C96&gt;=50%,C95*40%-C86*5%,IF(C96&lt;50%,C95*30%,0))))),0)</f>
        <v>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66"/>
      <c r="AB97" s="2266"/>
      <c r="AC97" s="2266"/>
      <c r="AD97" s="2266"/>
      <c r="AE97" s="2266"/>
      <c r="AF97" s="2266"/>
      <c r="AG97" s="2266"/>
      <c r="AH97" s="2266"/>
      <c r="AI97" s="2266"/>
    </row>
    <row r="98" spans="1:35" ht="21.75" customHeight="1" thickBot="1">
      <c r="A98" s="2235" t="s">
        <v>1923</v>
      </c>
      <c r="B98" s="2179"/>
      <c r="C98" s="2179"/>
      <c r="D98" s="2179"/>
      <c r="E98" s="1016"/>
      <c r="F98" s="1016"/>
      <c r="G98" s="1016"/>
      <c r="H98" s="2232"/>
      <c r="I98" s="2179"/>
    </row>
    <row r="99" spans="1:35" ht="15.75">
      <c r="A99" s="2896" t="s">
        <v>1924</v>
      </c>
      <c r="B99" s="2897"/>
      <c r="C99" s="2897"/>
      <c r="D99" s="2898"/>
      <c r="E99" s="2179"/>
      <c r="F99" s="2906" t="s">
        <v>1925</v>
      </c>
      <c r="G99" s="2907"/>
      <c r="H99" s="2907"/>
      <c r="I99" s="2908"/>
    </row>
    <row r="100" spans="1:35" ht="15.75">
      <c r="A100" s="2913" t="s">
        <v>1926</v>
      </c>
      <c r="B100" s="2914"/>
      <c r="C100" s="719" t="str">
        <f>C4</f>
        <v>比较法-住宅</v>
      </c>
      <c r="D100" s="720" t="str">
        <f>D4</f>
        <v>收益法</v>
      </c>
      <c r="E100" s="2179"/>
      <c r="F100" s="2915" t="s">
        <v>1927</v>
      </c>
      <c r="G100" s="2917"/>
      <c r="H100" s="2915" t="s">
        <v>1928</v>
      </c>
      <c r="I100" s="2916"/>
    </row>
    <row r="101" spans="1:35" ht="15.75">
      <c r="A101" s="2936" t="s">
        <v>1929</v>
      </c>
      <c r="B101" s="2274" t="str">
        <f>IF(H19="元","总价（元）","总价（万元）")</f>
        <v>总价（万元）</v>
      </c>
      <c r="C101" s="719">
        <f ca="1">C19</f>
        <v>116</v>
      </c>
      <c r="D101" s="720">
        <f ca="1">D19</f>
        <v>20</v>
      </c>
      <c r="E101" s="2179"/>
      <c r="F101" s="2915" t="str">
        <f>项目基本情况!I1</f>
        <v>辽宁省大连市房地产</v>
      </c>
      <c r="G101" s="2917"/>
      <c r="H101" s="2977">
        <f>项目基本情况!C12</f>
        <v>0</v>
      </c>
      <c r="I101" s="2916"/>
    </row>
    <row r="102" spans="1:35" ht="15.75">
      <c r="A102" s="2936"/>
      <c r="B102" s="2274" t="s">
        <v>1930</v>
      </c>
      <c r="C102" s="721">
        <f ca="1">C20</f>
        <v>11702</v>
      </c>
      <c r="D102" s="722">
        <f ca="1">D20</f>
        <v>2038</v>
      </c>
      <c r="E102" s="2179"/>
      <c r="F102" s="2991" t="s">
        <v>1931</v>
      </c>
      <c r="G102" s="2992"/>
      <c r="H102" s="2275" t="str">
        <f>C106</f>
        <v>总价（万元）</v>
      </c>
      <c r="I102" s="1846">
        <f ca="1">H121</f>
        <v>0</v>
      </c>
    </row>
    <row r="103" spans="1:35" ht="15">
      <c r="A103" s="2936" t="s">
        <v>1932</v>
      </c>
      <c r="B103" s="2276" t="str">
        <f>B101</f>
        <v>总价（万元）</v>
      </c>
      <c r="C103" s="723">
        <f ca="1">H121</f>
        <v>0</v>
      </c>
      <c r="D103" s="724"/>
      <c r="E103" s="2179"/>
      <c r="F103" s="2991"/>
      <c r="G103" s="2992"/>
      <c r="H103" s="2275" t="s">
        <v>1930</v>
      </c>
      <c r="I103" s="1044">
        <f ca="1">I121</f>
        <v>10736</v>
      </c>
    </row>
    <row r="104" spans="1:35" ht="16.5" thickBot="1">
      <c r="A104" s="2937"/>
      <c r="B104" s="2277" t="s">
        <v>1930</v>
      </c>
      <c r="C104" s="725">
        <f ca="1">I121</f>
        <v>10736</v>
      </c>
      <c r="D104" s="726"/>
      <c r="E104" s="2179"/>
      <c r="F104" s="2902"/>
      <c r="G104" s="2903"/>
      <c r="H104" s="2938"/>
      <c r="I104" s="2939"/>
    </row>
    <row r="105" spans="1:35" ht="15.75">
      <c r="A105" s="2896" t="s">
        <v>1933</v>
      </c>
      <c r="B105" s="2897"/>
      <c r="C105" s="2897"/>
      <c r="D105" s="2898"/>
      <c r="E105" s="2179"/>
      <c r="F105" s="2942" t="s">
        <v>1934</v>
      </c>
      <c r="G105" s="2943"/>
      <c r="H105" s="2278" t="str">
        <f>C108</f>
        <v>总额（万元）</v>
      </c>
      <c r="I105" s="1846">
        <f>SUMIF(I106:I108,"&lt;9E307")</f>
        <v>0</v>
      </c>
    </row>
    <row r="106" spans="1:35" ht="15">
      <c r="A106" s="2944" t="s">
        <v>1935</v>
      </c>
      <c r="B106" s="2945"/>
      <c r="C106" s="2275" t="str">
        <f>B101</f>
        <v>总价（万元）</v>
      </c>
      <c r="D106" s="1045">
        <f ca="1">H121</f>
        <v>0</v>
      </c>
      <c r="E106" s="2179"/>
      <c r="F106" s="2904" t="s">
        <v>1936</v>
      </c>
      <c r="G106" s="2905"/>
      <c r="H106" s="2278" t="str">
        <f>C109</f>
        <v>总额（万元）</v>
      </c>
      <c r="I106" s="1044">
        <f>IF(D36="同一抵押权人同一抵押物续贷",C36&amp;"（未扣减，详见特别提示）",C36)</f>
        <v>0</v>
      </c>
      <c r="K106" s="2189" t="str">
        <f>IF(D123=0,"本次评估不存在"&amp;A123&amp;"。","本次评估"&amp;A123&amp;"为"&amp;D123&amp;"元人民币。")</f>
        <v>本次评估不存在——。</v>
      </c>
    </row>
    <row r="107" spans="1:35" ht="15">
      <c r="A107" s="2944"/>
      <c r="B107" s="2945"/>
      <c r="C107" s="2275" t="s">
        <v>1930</v>
      </c>
      <c r="D107" s="1046">
        <f ca="1">I121</f>
        <v>10736</v>
      </c>
      <c r="E107" s="2179"/>
      <c r="F107" s="2904" t="s">
        <v>1937</v>
      </c>
      <c r="G107" s="2905"/>
      <c r="H107" s="2278" t="str">
        <f>C110</f>
        <v>总额（万元）</v>
      </c>
      <c r="I107" s="1044">
        <f>C37</f>
        <v>0</v>
      </c>
      <c r="K107" s="2279"/>
    </row>
    <row r="108" spans="1:35" ht="15">
      <c r="A108" s="2987" t="s">
        <v>1938</v>
      </c>
      <c r="B108" s="2988"/>
      <c r="C108" s="2278" t="str">
        <f>IF(H19="元","总额（元）","总额（万元）")</f>
        <v>总额（万元）</v>
      </c>
      <c r="D108" s="1045">
        <f>IF(D36="正常操作",I106+I107+I108,I107+I108)</f>
        <v>0</v>
      </c>
      <c r="E108" s="2179"/>
      <c r="F108" s="2904" t="s">
        <v>1939</v>
      </c>
      <c r="G108" s="2905"/>
      <c r="H108" s="2278" t="str">
        <f>C111</f>
        <v>总额（万元）</v>
      </c>
      <c r="I108" s="1044">
        <f>C38</f>
        <v>0</v>
      </c>
    </row>
    <row r="109" spans="1:35" ht="15.75">
      <c r="A109" s="2904" t="s">
        <v>1936</v>
      </c>
      <c r="B109" s="2905"/>
      <c r="C109" s="2278" t="str">
        <f>C108</f>
        <v>总额（万元）</v>
      </c>
      <c r="D109" s="637">
        <f>IF(D36="同一抵押权人同一抵押物续贷",C36&amp;"（未扣减，详见特别提示）",C36)</f>
        <v>0</v>
      </c>
      <c r="E109" s="2179"/>
      <c r="F109" s="2902"/>
      <c r="G109" s="2903"/>
      <c r="H109" s="2940"/>
      <c r="I109" s="2941"/>
    </row>
    <row r="110" spans="1:35" ht="28.5" customHeight="1">
      <c r="A110" s="2904" t="s">
        <v>1937</v>
      </c>
      <c r="B110" s="2905"/>
      <c r="C110" s="2278" t="str">
        <f>C108</f>
        <v>总额（万元）</v>
      </c>
      <c r="D110" s="637">
        <f>C37</f>
        <v>0</v>
      </c>
      <c r="E110" s="2179"/>
      <c r="F110" s="2884" t="str">
        <f>IF(项目基本情况!F5="已注销","——","3.房地产抵押价值")</f>
        <v>3.房地产抵押价值</v>
      </c>
      <c r="G110" s="2885"/>
      <c r="H110" s="2280" t="str">
        <f>C112</f>
        <v>总价（万元）</v>
      </c>
      <c r="I110" s="1847">
        <f ca="1">IF(F110="——","——",I102-I105)</f>
        <v>0</v>
      </c>
    </row>
    <row r="111" spans="1:35" ht="15">
      <c r="A111" s="2904" t="s">
        <v>1939</v>
      </c>
      <c r="B111" s="2905"/>
      <c r="C111" s="2278" t="str">
        <f>C108</f>
        <v>总额（万元）</v>
      </c>
      <c r="D111" s="637">
        <f>C38</f>
        <v>0</v>
      </c>
      <c r="E111" s="2179"/>
      <c r="F111" s="2886"/>
      <c r="G111" s="2887"/>
      <c r="H111" s="2275" t="s">
        <v>1930</v>
      </c>
      <c r="I111" s="2281">
        <f ca="1">D113</f>
        <v>10736</v>
      </c>
    </row>
    <row r="112" spans="1:35" ht="26.25" customHeight="1">
      <c r="A112" s="2944" t="str">
        <f>IF(项目基本情况!F5="已注销","——","3.房地产抵押价值")</f>
        <v>3.房地产抵押价值</v>
      </c>
      <c r="B112" s="2945"/>
      <c r="C112" s="2275" t="str">
        <f>B101</f>
        <v>总价（万元）</v>
      </c>
      <c r="D112" s="1045">
        <f ca="1">IF(A112="——","——",D106-D108)</f>
        <v>0</v>
      </c>
      <c r="E112" s="2179"/>
      <c r="F112" s="2884" t="str">
        <f>IF(项目基本情况!F5="已注销及未注销","4.抵押担保权已注销时的房地产抵押价值",IF(项目基本情况!F5="已注销","3.抵押担保权已注销时的房地产抵押价值","——"))</f>
        <v>——</v>
      </c>
      <c r="G112" s="2885"/>
      <c r="H112" s="2280" t="str">
        <f>C114</f>
        <v>总价（万元）</v>
      </c>
      <c r="I112" s="1847" t="str">
        <f>IF(F112="——","——",I102-I107-I108)</f>
        <v>——</v>
      </c>
    </row>
    <row r="113" spans="1:15" ht="15">
      <c r="A113" s="2944"/>
      <c r="B113" s="2945"/>
      <c r="C113" s="2275" t="s">
        <v>1930</v>
      </c>
      <c r="D113" s="1046">
        <f ca="1">ROUND(IF(D112=D106,D107,IF(H19="元",D112/项目基本情况!C12,D112*10000/项目基本情况!C12)),0)</f>
        <v>10736</v>
      </c>
      <c r="E113" s="2179"/>
      <c r="F113" s="2886"/>
      <c r="G113" s="2887"/>
      <c r="H113" s="2275" t="s">
        <v>1930</v>
      </c>
      <c r="I113" s="2282" t="str">
        <f>D115</f>
        <v>——</v>
      </c>
    </row>
    <row r="114" spans="1:15" ht="15.75">
      <c r="A114" s="2944" t="str">
        <f>IF(项目基本情况!F5="已注销及未注销","4.抵押担保权已注销时的房地产抵押价值",IF(项目基本情况!F5="已注销","3.抵押担保权已注销时的房地产抵押价值","——"))</f>
        <v>——</v>
      </c>
      <c r="B114" s="2945"/>
      <c r="C114" s="2275" t="str">
        <f>B101</f>
        <v>总价（万元）</v>
      </c>
      <c r="D114" s="1045" t="str">
        <f>IF(A114="——","——",D106-D110-D111)</f>
        <v>——</v>
      </c>
      <c r="E114" s="2179"/>
      <c r="F114" s="2884" t="str">
        <f>IF(项目基本情况!G5="抵押净值",IF(OR(项目基本情况!F5="已注销",项目基本情况!F5="房地产抵押价值"),"4.抵押净值","5.抵押净值"),"——")</f>
        <v>——</v>
      </c>
      <c r="G114" s="2885"/>
      <c r="H114" s="2275" t="str">
        <f>C116</f>
        <v>总价（万元）</v>
      </c>
      <c r="I114" s="1846" t="str">
        <f>IF(F114="——","——",N59)</f>
        <v>——</v>
      </c>
    </row>
    <row r="115" spans="1:15" ht="15.75" thickBot="1">
      <c r="A115" s="2944"/>
      <c r="B115" s="2945"/>
      <c r="C115" s="2275" t="s">
        <v>1930</v>
      </c>
      <c r="D115" s="1046" t="str">
        <f>IF(A114="——","——",ROUND(IF(D114=D106,D107,IF(H19="元",D114/项目基本情况!C12,D114*10000/项目基本情况!C12)),0))</f>
        <v>——</v>
      </c>
      <c r="E115" s="2179"/>
      <c r="F115" s="2978"/>
      <c r="G115" s="2979"/>
      <c r="H115" s="2283" t="s">
        <v>1930</v>
      </c>
      <c r="I115" s="1848" t="str">
        <f ca="1">D117</f>
        <v>——</v>
      </c>
    </row>
    <row r="116" spans="1:15" ht="15.75">
      <c r="A116" s="2944" t="str">
        <f>IF(项目基本情况!G5="抵押净值",IF(OR(项目基本情况!F5="已注销",项目基本情况!F5="房地产抵押价值"),"4.抵押净值","5.抵押净值"),"——")</f>
        <v>——</v>
      </c>
      <c r="B116" s="2945"/>
      <c r="C116" s="2275" t="str">
        <f>B101</f>
        <v>总价（万元）</v>
      </c>
      <c r="D116" s="1045" t="str">
        <f>IF(A116="——","——",N59)</f>
        <v>——</v>
      </c>
      <c r="E116" s="2179"/>
      <c r="F116" s="2880"/>
      <c r="G116" s="2880"/>
      <c r="H116" s="2923"/>
      <c r="I116" s="2923"/>
      <c r="N116" s="55"/>
      <c r="O116" s="55"/>
    </row>
    <row r="117" spans="1:15" ht="15.75" thickBot="1">
      <c r="A117" s="2985"/>
      <c r="B117" s="2986"/>
      <c r="C117" s="2283" t="s">
        <v>1930</v>
      </c>
      <c r="D117" s="1047" t="str">
        <f ca="1">IF(D116=D112,D113,IF(A116="——","——",N61))</f>
        <v>——</v>
      </c>
      <c r="E117" s="2179"/>
      <c r="F117" s="2975" t="str">
        <f>IF(B32="总价","（以上估价结果中单价为总价除以建筑面积得出）","（以上估价结果中总价为楼面单价乘以建筑面积得出）")</f>
        <v>（以上估价结果中总价为楼面单价乘以建筑面积得出）</v>
      </c>
      <c r="G117" s="2975"/>
      <c r="H117" s="2975"/>
      <c r="I117" s="2975"/>
      <c r="N117" s="55"/>
      <c r="O117" s="55"/>
    </row>
    <row r="118" spans="1:15" ht="15">
      <c r="A118" s="2924" t="s">
        <v>1940</v>
      </c>
      <c r="B118" s="2925"/>
      <c r="C118" s="2925"/>
      <c r="D118" s="2925"/>
      <c r="E118" s="2925"/>
      <c r="F118" s="2925"/>
      <c r="G118" s="2925"/>
      <c r="H118" s="2925"/>
      <c r="I118" s="2925"/>
    </row>
    <row r="119" spans="1:15" ht="14.25">
      <c r="A119" s="2895" t="s">
        <v>1941</v>
      </c>
      <c r="B119" s="2893" t="s">
        <v>1942</v>
      </c>
      <c r="C119" s="2893" t="s">
        <v>1943</v>
      </c>
      <c r="D119" s="2900" t="s">
        <v>1944</v>
      </c>
      <c r="E119" s="2901"/>
      <c r="F119" s="2891" t="s">
        <v>1802</v>
      </c>
      <c r="G119" s="2891"/>
      <c r="H119" s="2891" t="s">
        <v>1945</v>
      </c>
      <c r="I119" s="2892"/>
    </row>
    <row r="120" spans="1:15" ht="14.25">
      <c r="A120" s="2895"/>
      <c r="B120" s="2894"/>
      <c r="C120" s="2894"/>
      <c r="D120" s="1870" t="s">
        <v>1946</v>
      </c>
      <c r="E120" s="1870" t="s">
        <v>1947</v>
      </c>
      <c r="F120" s="1870" t="s">
        <v>1946</v>
      </c>
      <c r="G120" s="1870" t="s">
        <v>1948</v>
      </c>
      <c r="H120" s="1870" t="s">
        <v>1946</v>
      </c>
      <c r="I120" s="637" t="s">
        <v>1948</v>
      </c>
    </row>
    <row r="121" spans="1:15" ht="28.5">
      <c r="A121" s="2165" t="str">
        <f>项目基本情况!I1</f>
        <v>辽宁省大连市房地产</v>
      </c>
      <c r="B121" s="1870">
        <f>项目基本情况!C12</f>
        <v>0</v>
      </c>
      <c r="C121" s="1870">
        <f>项目基本情况!C13</f>
        <v>0</v>
      </c>
      <c r="D121" s="1870">
        <f ca="1">ROUND(IF(B32="总价",C34,IF('数据-取费表'!B3="万元",E121*B121/10000,E121*B121)),0)</f>
        <v>0</v>
      </c>
      <c r="E121" s="1870">
        <f ca="1">ROUND(IF(B32="楼面单价",C34,IF(H19="元",D121/B121,D121*10000/B121)),0)</f>
        <v>-10350</v>
      </c>
      <c r="F121" s="1870">
        <f ca="1">ROUND(IF(B32="总价",C35,IF('数据-取费表'!B3="万元",G121*B121/10000,G121*B121)),0)</f>
        <v>0</v>
      </c>
      <c r="G121" s="1870">
        <f ca="1">ROUND(IF(B32="楼面单价",C35,IF(H19="元",F121/B121,F121*10000/B121)),0)</f>
        <v>21086</v>
      </c>
      <c r="H121" s="1870">
        <f ca="1">ROUND(IF(B32="总价",C32,IF('数据-取费表'!B3="万元",I121*B121/10000,I121*B121)),0)</f>
        <v>0</v>
      </c>
      <c r="I121" s="637">
        <f ca="1">ROUND(IF(B32="楼面单价",C32,IF(H19="元",H121/B121,H121*10000/B121)),0)</f>
        <v>10736</v>
      </c>
    </row>
    <row r="122" spans="1:15" ht="14.25">
      <c r="A122" s="2895" t="s">
        <v>1949</v>
      </c>
      <c r="B122" s="2891"/>
      <c r="C122" s="2891"/>
      <c r="D122" s="2928" t="str">
        <f ca="1">IF(H19="元",NUMBERSTRING(INT(D121),2)&amp;"元整",NUMBERSTRING(INT(D121*10000),2)&amp;"元整")</f>
        <v>零元整</v>
      </c>
      <c r="E122" s="2929"/>
      <c r="F122" s="2928" t="str">
        <f ca="1">IF(H19="元",NUMBERSTRING(INT(F121),2)&amp;"元整",NUMBERSTRING(INT(F121*10000),2)&amp;"元整")</f>
        <v>零元整</v>
      </c>
      <c r="G122" s="2929"/>
      <c r="H122" s="2928" t="str">
        <f ca="1">IF(H19="元",NUMBERSTRING(INT(H121),2)&amp;"元整",NUMBERSTRING(INT(H121*10000),2)&amp;"元整")</f>
        <v>零元整</v>
      </c>
      <c r="I122" s="2993"/>
    </row>
    <row r="123" spans="1:15" ht="15">
      <c r="A123" s="2930" t="str">
        <f>IF(项目基本情况!D5="房地产市场价值","——",MID(A108,3,LEN(A108)-2))</f>
        <v>——</v>
      </c>
      <c r="B123" s="2931"/>
      <c r="C123" s="2932"/>
      <c r="D123" s="2921">
        <f>I105</f>
        <v>0</v>
      </c>
      <c r="E123" s="2931"/>
      <c r="F123" s="2931"/>
      <c r="G123" s="2931"/>
      <c r="H123" s="2931"/>
      <c r="I123" s="2980"/>
    </row>
    <row r="124" spans="1:15" ht="14.25">
      <c r="A124" s="2933" t="s">
        <v>1949</v>
      </c>
      <c r="B124" s="2934"/>
      <c r="C124" s="2935"/>
      <c r="D124" s="2981">
        <f>H109</f>
        <v>0</v>
      </c>
      <c r="E124" s="2982"/>
      <c r="F124" s="2982"/>
      <c r="G124" s="2982"/>
      <c r="H124" s="2982"/>
      <c r="I124" s="2983"/>
    </row>
    <row r="125" spans="1:15" ht="15">
      <c r="A125" s="2919" t="str">
        <f>IF(项目基本情况!D5="房地产市场价值","——",MID(A112,3,LEN(A112)-2))</f>
        <v>——</v>
      </c>
      <c r="B125" s="2920"/>
      <c r="C125" s="2920"/>
      <c r="D125" s="2921">
        <f ca="1">I110</f>
        <v>0</v>
      </c>
      <c r="E125" s="2931"/>
      <c r="F125" s="2931"/>
      <c r="G125" s="2931"/>
      <c r="H125" s="2931"/>
      <c r="I125" s="2980"/>
    </row>
    <row r="126" spans="1:15" ht="14.25">
      <c r="A126" s="2895" t="s">
        <v>1949</v>
      </c>
      <c r="B126" s="2891"/>
      <c r="C126" s="2891"/>
      <c r="D126" s="2981">
        <f ca="1">I111</f>
        <v>10736</v>
      </c>
      <c r="E126" s="2982"/>
      <c r="F126" s="2982"/>
      <c r="G126" s="2982"/>
      <c r="H126" s="2982"/>
      <c r="I126" s="2983"/>
    </row>
    <row r="127" spans="1:15" ht="15.75" thickBot="1">
      <c r="A127" s="2919" t="str">
        <f>IF(项目基本情况!D5="房地产市场价值","——",MID(A114,3,LEN(A114)-2))</f>
        <v>——</v>
      </c>
      <c r="B127" s="2920"/>
      <c r="C127" s="2920"/>
      <c r="D127" s="2875" t="str">
        <f>I112</f>
        <v>——</v>
      </c>
      <c r="E127" s="2876"/>
      <c r="F127" s="2876"/>
      <c r="G127" s="2876"/>
      <c r="H127" s="2876"/>
      <c r="I127" s="2877"/>
    </row>
    <row r="128" spans="1:15" ht="15.75" thickTop="1" thickBot="1">
      <c r="A128" s="2895" t="s">
        <v>1949</v>
      </c>
      <c r="B128" s="2891"/>
      <c r="C128" s="2976"/>
      <c r="D128" s="2922" t="str">
        <f>I113</f>
        <v>——</v>
      </c>
      <c r="E128" s="2922"/>
      <c r="F128" s="2922"/>
      <c r="G128" s="2922"/>
      <c r="H128" s="2922"/>
      <c r="I128" s="2922"/>
    </row>
    <row r="129" spans="1:9" ht="16.5" thickTop="1" thickBot="1">
      <c r="A129" s="2919" t="str">
        <f>IF(项目基本情况!D5="房地产市场价值","——",MID(F114,3,LEN(F114)-2))</f>
        <v>——</v>
      </c>
      <c r="B129" s="2920"/>
      <c r="C129" s="2921"/>
      <c r="D129" s="2984" t="str">
        <f>I114</f>
        <v>——</v>
      </c>
      <c r="E129" s="2984"/>
      <c r="F129" s="2984"/>
      <c r="G129" s="2984"/>
      <c r="H129" s="2984"/>
      <c r="I129" s="2984"/>
    </row>
    <row r="130" spans="1:9" ht="15.75" thickTop="1" thickBot="1">
      <c r="A130" s="2989" t="s">
        <v>1949</v>
      </c>
      <c r="B130" s="2990"/>
      <c r="C130" s="2990"/>
      <c r="D130" s="2994">
        <f>H116</f>
        <v>0</v>
      </c>
      <c r="E130" s="2995"/>
      <c r="F130" s="2995"/>
      <c r="G130" s="2995"/>
      <c r="H130" s="2995"/>
      <c r="I130" s="2996"/>
    </row>
    <row r="131" spans="1:9" ht="12.75">
      <c r="A131" s="2262" t="str">
        <f>IF(H19="元","单位：平方米、元、元/平方米（币种：人民币）","单位：平方米、万元、元/平方米（币种：人民币）")</f>
        <v>单位：平方米、万元、元/平方米（币种：人民币）</v>
      </c>
      <c r="B131" s="2262"/>
      <c r="C131" s="2262"/>
      <c r="D131" s="2262"/>
      <c r="E131" s="2262"/>
      <c r="F131" s="2262"/>
      <c r="G131" s="2262"/>
      <c r="H131" s="2262"/>
      <c r="I131" s="2262"/>
    </row>
    <row r="132" spans="1:9" ht="13.5" thickBot="1">
      <c r="A132" s="2974" t="str">
        <f>IF(B32="总价","（以上估价结果中楼面单价为总价除以建筑面积得出）","（以上估价结果中总价为楼面单价乘以建筑面积得出）")</f>
        <v>（以上估价结果中总价为楼面单价乘以建筑面积得出）</v>
      </c>
      <c r="B132" s="2974"/>
      <c r="C132" s="2974"/>
      <c r="D132" s="2974"/>
      <c r="E132" s="2974"/>
      <c r="F132" s="2974"/>
      <c r="G132" s="2974"/>
      <c r="H132" s="2974"/>
      <c r="I132" s="2974"/>
    </row>
    <row r="133" spans="1:9" ht="21.75" customHeight="1">
      <c r="A133" s="2284" t="s">
        <v>1950</v>
      </c>
      <c r="B133" s="2285"/>
      <c r="C133" s="2286" t="s">
        <v>1951</v>
      </c>
      <c r="D133" s="2287"/>
      <c r="E133" s="2287"/>
      <c r="F133" s="2287"/>
      <c r="G133" s="2287"/>
      <c r="H133" s="2288"/>
      <c r="I133" s="2289"/>
    </row>
    <row r="134" spans="1:9" ht="21.75" customHeight="1">
      <c r="A134" s="2290">
        <v>1</v>
      </c>
      <c r="B134" s="2291"/>
      <c r="C134" s="2291"/>
      <c r="D134" s="2287"/>
      <c r="E134" s="2287"/>
      <c r="F134" s="2287"/>
      <c r="G134" s="2287"/>
      <c r="H134" s="2288"/>
      <c r="I134" s="2289"/>
    </row>
    <row r="135" spans="1:9" ht="21.75" customHeight="1">
      <c r="A135" s="2290">
        <v>2</v>
      </c>
      <c r="B135" s="2291"/>
      <c r="C135" s="2291"/>
      <c r="D135" s="2287"/>
      <c r="E135" s="2287"/>
      <c r="F135" s="2287"/>
      <c r="G135" s="2287"/>
      <c r="H135" s="2288"/>
      <c r="I135" s="2289"/>
    </row>
    <row r="136" spans="1:9" ht="21.75" customHeight="1">
      <c r="A136" s="2290">
        <v>3</v>
      </c>
      <c r="B136" s="2291"/>
      <c r="C136" s="2291"/>
      <c r="D136" s="2287"/>
      <c r="E136" s="2287"/>
      <c r="F136" s="55"/>
      <c r="G136" s="55"/>
      <c r="H136" s="55"/>
      <c r="I136" s="55"/>
    </row>
    <row r="137" spans="1:9" ht="21.75" customHeight="1">
      <c r="A137" s="2292"/>
      <c r="B137" s="2293"/>
      <c r="C137" s="2293"/>
      <c r="D137" s="2294"/>
      <c r="E137" s="2294"/>
      <c r="F137" s="2294"/>
      <c r="G137" s="2294"/>
      <c r="H137" s="2295"/>
      <c r="I137" s="2296"/>
    </row>
    <row r="138" spans="1:9" ht="21.75" customHeight="1">
      <c r="A138" s="2291"/>
      <c r="B138" s="2291"/>
      <c r="C138" s="2291"/>
      <c r="D138" s="2287"/>
      <c r="E138" s="2287"/>
      <c r="F138" s="2287"/>
      <c r="G138" s="2287"/>
      <c r="H138" s="2288"/>
      <c r="I138" s="797"/>
    </row>
    <row r="139" spans="1:9" ht="21.75" customHeight="1">
      <c r="A139" s="797"/>
      <c r="B139" s="797"/>
      <c r="C139" s="797"/>
      <c r="D139" s="797"/>
      <c r="E139" s="797"/>
      <c r="F139" s="2297" t="s">
        <v>1952</v>
      </c>
      <c r="G139" s="2298"/>
      <c r="H139" s="2298"/>
      <c r="I139" s="2299" t="s">
        <v>1953</v>
      </c>
    </row>
    <row r="140" spans="1:9" ht="21.75" customHeight="1">
      <c r="A140" s="797"/>
      <c r="B140" s="2300"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298"/>
      <c r="C142" s="2298"/>
      <c r="D142" s="2298"/>
      <c r="E142" s="2298"/>
      <c r="F142" s="2298"/>
      <c r="G142" s="2298"/>
      <c r="H142" s="2298"/>
      <c r="I142" s="2299" t="s">
        <v>1955</v>
      </c>
    </row>
    <row r="143" spans="1:9" ht="21.75" customHeight="1">
      <c r="A143" s="797"/>
      <c r="B143" s="2300" t="s">
        <v>1956</v>
      </c>
      <c r="C143" s="797"/>
      <c r="D143" s="797"/>
      <c r="E143" s="797"/>
      <c r="F143" s="797"/>
      <c r="G143" s="797"/>
      <c r="H143" s="797"/>
      <c r="I143" s="797"/>
    </row>
    <row r="144" spans="1:9" ht="21.75" customHeight="1">
      <c r="A144" s="797"/>
      <c r="B144" s="2300"/>
      <c r="C144" s="797"/>
      <c r="D144" s="797"/>
      <c r="E144" s="797"/>
      <c r="F144" s="797"/>
      <c r="G144" s="797"/>
      <c r="H144" s="797"/>
      <c r="I144" s="797"/>
    </row>
    <row r="145" spans="1:35" ht="21.75" customHeight="1">
      <c r="A145" s="797"/>
      <c r="B145" s="2298"/>
      <c r="C145" s="2298"/>
      <c r="D145" s="2298"/>
      <c r="E145" s="2298"/>
      <c r="F145" s="2298"/>
      <c r="G145" s="2298"/>
      <c r="H145" s="2298"/>
      <c r="I145" s="2299" t="s">
        <v>1955</v>
      </c>
    </row>
    <row r="146" spans="1:35" ht="21.75" customHeight="1">
      <c r="A146" s="797"/>
      <c r="B146" s="2300"/>
      <c r="C146" s="2301"/>
      <c r="D146" s="2302"/>
      <c r="E146" s="2302"/>
      <c r="F146" s="2303"/>
      <c r="G146" s="797"/>
      <c r="H146" s="797"/>
      <c r="I146" s="797"/>
    </row>
    <row r="147" spans="1:35" s="55" customFormat="1" ht="21.75" customHeight="1">
      <c r="A147" s="797"/>
      <c r="B147" s="2300"/>
      <c r="C147" s="2301"/>
      <c r="D147" s="2302"/>
      <c r="E147" s="230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2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9" customFormat="1" ht="21.75" customHeight="1">
      <c r="F516" s="2180"/>
      <c r="G516" s="2180"/>
      <c r="H516" s="2180"/>
      <c r="I516" s="218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7">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7" sqref="C17"/>
    </sheetView>
  </sheetViews>
  <sheetFormatPr defaultColWidth="12.625" defaultRowHeight="21.75" customHeight="1"/>
  <cols>
    <col min="1" max="1" width="12.625" style="2180"/>
    <col min="2" max="2" width="17.625" style="2180" customWidth="1"/>
    <col min="3" max="4" width="12.625" style="2180" customWidth="1"/>
    <col min="5" max="9" width="12.625" style="2180"/>
    <col min="10" max="11" width="12.625" style="797" customWidth="1"/>
    <col min="12" max="12" width="12.625" style="797"/>
    <col min="13" max="13" width="14.125" style="797" bestFit="1" customWidth="1"/>
    <col min="14" max="26" width="12.625" style="797"/>
    <col min="27" max="35" width="12.625" style="1829"/>
    <col min="36" max="16384" width="12.625" style="2180"/>
  </cols>
  <sheetData>
    <row r="1" spans="1:12" ht="21.75" customHeight="1">
      <c r="A1" s="2178" t="s">
        <v>1957</v>
      </c>
      <c r="B1" s="2179"/>
      <c r="C1" s="2179"/>
      <c r="D1" s="2179"/>
      <c r="E1" s="2179"/>
      <c r="F1" s="2179"/>
      <c r="G1" s="2179"/>
      <c r="H1" s="2179"/>
      <c r="I1" s="2179"/>
    </row>
    <row r="2" spans="1:12" ht="21.75" customHeight="1">
      <c r="A2" s="2998" t="s">
        <v>1958</v>
      </c>
      <c r="B2" s="2998"/>
      <c r="C2" s="2998"/>
      <c r="D2" s="2998"/>
      <c r="E2" s="2998"/>
      <c r="F2" s="2998"/>
      <c r="G2" s="2998"/>
      <c r="H2" s="2998"/>
      <c r="I2" s="2998"/>
    </row>
    <row r="3" spans="1:12" ht="12.75">
      <c r="A3" s="2952" t="s">
        <v>1762</v>
      </c>
      <c r="B3" s="2953"/>
      <c r="C3" s="2953"/>
      <c r="D3" s="2953"/>
      <c r="E3" s="2953"/>
      <c r="F3" s="2953"/>
      <c r="G3" s="2953"/>
      <c r="H3" s="2953"/>
      <c r="I3" s="2953"/>
    </row>
    <row r="4" spans="1:12" ht="14.25">
      <c r="A4" s="2181" t="s">
        <v>1763</v>
      </c>
      <c r="B4" s="2182" t="s">
        <v>1764</v>
      </c>
      <c r="C4" s="2183" t="s">
        <v>2902</v>
      </c>
      <c r="D4" s="2183" t="s">
        <v>2884</v>
      </c>
      <c r="E4" s="2957" t="s">
        <v>1959</v>
      </c>
      <c r="F4" s="2958"/>
      <c r="G4" s="2958"/>
      <c r="H4" s="2958"/>
      <c r="I4" s="2959"/>
      <c r="K4" s="18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9"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947" t="s">
        <v>1766</v>
      </c>
      <c r="B5" s="2891">
        <v>25</v>
      </c>
      <c r="C5" s="2954"/>
      <c r="D5" s="2951"/>
      <c r="E5" s="56" t="s">
        <v>1767</v>
      </c>
      <c r="F5" s="2184"/>
      <c r="G5" s="2184"/>
      <c r="H5" s="2184"/>
      <c r="I5" s="2185"/>
    </row>
    <row r="6" spans="1:12" ht="12.75">
      <c r="A6" s="2947"/>
      <c r="B6" s="2891"/>
      <c r="C6" s="2955"/>
      <c r="D6" s="2951"/>
      <c r="E6" s="56" t="s">
        <v>1768</v>
      </c>
      <c r="F6" s="2184"/>
      <c r="G6" s="2184"/>
      <c r="H6" s="2184"/>
      <c r="I6" s="2185"/>
    </row>
    <row r="7" spans="1:12" ht="12.75">
      <c r="A7" s="2947"/>
      <c r="B7" s="2891"/>
      <c r="C7" s="2956"/>
      <c r="D7" s="2951"/>
      <c r="E7" s="56" t="s">
        <v>1769</v>
      </c>
      <c r="F7" s="2184"/>
      <c r="G7" s="2184"/>
      <c r="H7" s="2184"/>
      <c r="I7" s="2185"/>
    </row>
    <row r="8" spans="1:12" ht="12.75">
      <c r="A8" s="2947" t="s">
        <v>1770</v>
      </c>
      <c r="B8" s="2891">
        <v>15</v>
      </c>
      <c r="C8" s="2954"/>
      <c r="D8" s="2951"/>
      <c r="E8" s="56" t="s">
        <v>1771</v>
      </c>
      <c r="F8" s="2184"/>
      <c r="G8" s="2184"/>
      <c r="H8" s="2184"/>
      <c r="I8" s="2185"/>
    </row>
    <row r="9" spans="1:12" ht="12.75">
      <c r="A9" s="2947"/>
      <c r="B9" s="2891"/>
      <c r="C9" s="2956"/>
      <c r="D9" s="2951"/>
      <c r="E9" s="56" t="s">
        <v>1772</v>
      </c>
      <c r="F9" s="2184"/>
      <c r="G9" s="2184"/>
      <c r="H9" s="2184"/>
      <c r="I9" s="2185"/>
    </row>
    <row r="10" spans="1:12" ht="12.75">
      <c r="A10" s="2947" t="s">
        <v>1773</v>
      </c>
      <c r="B10" s="2891">
        <v>15</v>
      </c>
      <c r="C10" s="2954"/>
      <c r="D10" s="2951"/>
      <c r="E10" s="56" t="s">
        <v>1774</v>
      </c>
      <c r="F10" s="2184"/>
      <c r="G10" s="2184"/>
      <c r="H10" s="2184"/>
      <c r="I10" s="2185"/>
    </row>
    <row r="11" spans="1:12" ht="12.75">
      <c r="A11" s="2947"/>
      <c r="B11" s="2891"/>
      <c r="C11" s="2956"/>
      <c r="D11" s="2951"/>
      <c r="E11" s="56" t="s">
        <v>1775</v>
      </c>
      <c r="F11" s="2184"/>
      <c r="G11" s="2184"/>
      <c r="H11" s="2184"/>
      <c r="I11" s="2185"/>
    </row>
    <row r="12" spans="1:12" ht="12.75">
      <c r="A12" s="2947" t="s">
        <v>1776</v>
      </c>
      <c r="B12" s="2891">
        <v>15</v>
      </c>
      <c r="C12" s="2954"/>
      <c r="D12" s="2951"/>
      <c r="E12" s="56" t="s">
        <v>1777</v>
      </c>
      <c r="F12" s="2184"/>
      <c r="G12" s="2184"/>
      <c r="H12" s="2184"/>
      <c r="I12" s="2185"/>
    </row>
    <row r="13" spans="1:12" ht="12.75">
      <c r="A13" s="2947"/>
      <c r="B13" s="2891"/>
      <c r="C13" s="2956"/>
      <c r="D13" s="2951"/>
      <c r="E13" s="56" t="s">
        <v>1778</v>
      </c>
      <c r="F13" s="2184"/>
      <c r="G13" s="2184"/>
      <c r="H13" s="2184"/>
      <c r="I13" s="2185"/>
    </row>
    <row r="14" spans="1:12" ht="12.75">
      <c r="A14" s="2947" t="s">
        <v>1779</v>
      </c>
      <c r="B14" s="2891">
        <v>30</v>
      </c>
      <c r="C14" s="2954">
        <v>1</v>
      </c>
      <c r="D14" s="2951"/>
      <c r="E14" s="56" t="s">
        <v>1780</v>
      </c>
      <c r="F14" s="2184"/>
      <c r="G14" s="2184"/>
      <c r="H14" s="2184"/>
      <c r="I14" s="2185"/>
    </row>
    <row r="15" spans="1:12" ht="12.75">
      <c r="A15" s="2947"/>
      <c r="B15" s="2891"/>
      <c r="C15" s="2955"/>
      <c r="D15" s="2951"/>
      <c r="E15" s="56" t="s">
        <v>1781</v>
      </c>
      <c r="F15" s="2184"/>
      <c r="G15" s="2184"/>
      <c r="H15" s="2184"/>
      <c r="I15" s="2185"/>
    </row>
    <row r="16" spans="1:12" ht="12.75">
      <c r="A16" s="2947"/>
      <c r="B16" s="2891"/>
      <c r="C16" s="2956"/>
      <c r="D16" s="2951"/>
      <c r="E16" s="56" t="s">
        <v>1782</v>
      </c>
      <c r="F16" s="2184"/>
      <c r="G16" s="2184"/>
      <c r="H16" s="2184"/>
      <c r="I16" s="2185"/>
    </row>
    <row r="17" spans="1:35" ht="15">
      <c r="A17" s="2186" t="s">
        <v>1783</v>
      </c>
      <c r="B17" s="2187"/>
      <c r="C17" s="57">
        <f>SUM(C5:C16)</f>
        <v>1</v>
      </c>
      <c r="D17" s="57">
        <f>SUM(D5:D16)</f>
        <v>0</v>
      </c>
      <c r="E17" s="2179"/>
      <c r="F17" s="2179"/>
      <c r="G17" s="2179"/>
      <c r="H17" s="2179"/>
      <c r="I17" s="2179"/>
    </row>
    <row r="18" spans="1:35" ht="15.75" thickBot="1">
      <c r="A18" s="2188" t="s">
        <v>1784</v>
      </c>
      <c r="B18" s="2189"/>
      <c r="C18" s="58">
        <f>ROUND(C17/SUM(C17:D17),2)</f>
        <v>1</v>
      </c>
      <c r="D18" s="58">
        <f>1-C18</f>
        <v>0</v>
      </c>
      <c r="E18" s="2179"/>
      <c r="F18" s="2179"/>
      <c r="G18" s="2179"/>
      <c r="H18" s="2179"/>
      <c r="I18" s="2179"/>
    </row>
    <row r="19" spans="1:35" ht="15">
      <c r="A19" s="2190" t="s">
        <v>1785</v>
      </c>
      <c r="B19" s="2191" t="s">
        <v>1786</v>
      </c>
      <c r="C19" s="59">
        <f ca="1">SUMIF(INDIRECT("'"&amp;C4&amp;"'"&amp;"!A:A"),'结果表 (1修多)'!B19,INDIRECT("'"&amp;C4&amp;"'"&amp;"!B:B"))</f>
        <v>420</v>
      </c>
      <c r="D19" s="60">
        <f ca="1">SUMIF(INDIRECT("'"&amp;D4&amp;"'"&amp;"!A:A"),'结果表 (1修多)'!B19,INDIRECT("'"&amp;D4&amp;"'"&amp;"!B:B"))</f>
        <v>116</v>
      </c>
      <c r="E19" s="2190" t="s">
        <v>1787</v>
      </c>
      <c r="F19" s="2191" t="s">
        <v>1786</v>
      </c>
      <c r="G19" s="61">
        <f ca="1">ROUND(C19*$C$18+D19*$D$18,0)</f>
        <v>420</v>
      </c>
      <c r="H19" s="2192" t="str">
        <f>'数据-取费表'!B3</f>
        <v>万元</v>
      </c>
      <c r="I19" s="2179"/>
    </row>
    <row r="20" spans="1:35" ht="15">
      <c r="A20" s="2193"/>
      <c r="B20" s="2194" t="s">
        <v>1788</v>
      </c>
      <c r="C20" s="62">
        <f ca="1">SUMIF(INDIRECT("'"&amp;C4&amp;"'"&amp;"!A:A"),'结果表 (1修多)'!B20,INDIRECT("'"&amp;C4&amp;"'"&amp;"!B:B"))</f>
        <v>11092</v>
      </c>
      <c r="D20" s="63">
        <f ca="1">SUMIF(INDIRECT("'"&amp;D4&amp;"'"&amp;"!A:A"),'结果表 (1修多)'!B20,INDIRECT("'"&amp;D4&amp;"'"&amp;"!B:B"))</f>
        <v>11702</v>
      </c>
      <c r="E20" s="2193"/>
      <c r="F20" s="2194" t="s">
        <v>1788</v>
      </c>
      <c r="G20" s="64">
        <f ca="1">ROUND(C20*$C$18+D20*$D$18,0)</f>
        <v>11092</v>
      </c>
      <c r="H20" s="2195" t="s">
        <v>1789</v>
      </c>
      <c r="I20" s="2179"/>
    </row>
    <row r="21" spans="1:35" ht="15" customHeight="1" thickBot="1">
      <c r="A21" s="2196"/>
      <c r="B21" s="2197"/>
      <c r="C21" s="769"/>
      <c r="D21" s="770"/>
      <c r="E21" s="2196"/>
      <c r="F21" s="2197"/>
      <c r="G21" s="65"/>
      <c r="H21" s="2198"/>
      <c r="I21" s="2179"/>
    </row>
    <row r="22" spans="1:35" ht="15" thickBot="1">
      <c r="A22" s="2199" t="s">
        <v>1790</v>
      </c>
      <c r="B22" s="2200"/>
      <c r="C22" s="2201"/>
      <c r="D22" s="771">
        <f ca="1">IF(C19&lt;D19,D19/C19-1,C19/D19-1)</f>
        <v>2.6206896551724137</v>
      </c>
      <c r="E22" s="2179"/>
      <c r="F22" s="2179"/>
      <c r="G22" s="2179"/>
      <c r="H22" s="2179"/>
      <c r="I22" s="2179"/>
    </row>
    <row r="23" spans="1:35" ht="13.5" thickBot="1">
      <c r="A23" s="2179"/>
      <c r="B23" s="2179"/>
      <c r="C23" s="2179"/>
      <c r="D23" s="2179"/>
      <c r="E23" s="2179"/>
      <c r="F23" s="2179"/>
      <c r="G23" s="2179"/>
      <c r="H23" s="2179"/>
      <c r="I23" s="2179"/>
    </row>
    <row r="24" spans="1:35" ht="21.75" customHeight="1">
      <c r="A24" s="2960" t="s">
        <v>1791</v>
      </c>
      <c r="B24" s="2191" t="s">
        <v>1786</v>
      </c>
      <c r="C24" s="61">
        <f>D30</f>
        <v>0</v>
      </c>
      <c r="D24" s="988"/>
      <c r="E24" s="2179"/>
      <c r="F24" s="2179"/>
      <c r="G24" s="2179"/>
      <c r="H24" s="2179"/>
      <c r="I24" s="2179"/>
    </row>
    <row r="25" spans="1:35" ht="21.75" customHeight="1">
      <c r="A25" s="2961"/>
      <c r="B25" s="2194" t="s">
        <v>1788</v>
      </c>
      <c r="C25" s="66">
        <f>IF(B30=0,0,C30)</f>
        <v>0</v>
      </c>
      <c r="D25" s="2202"/>
      <c r="E25" s="2179"/>
      <c r="F25" s="2179"/>
      <c r="G25" s="2179"/>
      <c r="H25" s="2179"/>
      <c r="I25" s="2179"/>
    </row>
    <row r="26" spans="1:35" ht="13.5" customHeight="1">
      <c r="A26" s="2203" t="s">
        <v>1792</v>
      </c>
      <c r="B26" s="67" t="s">
        <v>1793</v>
      </c>
      <c r="C26" s="67" t="s">
        <v>1794</v>
      </c>
      <c r="D26" s="68" t="s">
        <v>1795</v>
      </c>
      <c r="E26" s="2179"/>
      <c r="F26" s="2179"/>
      <c r="G26" s="2179"/>
      <c r="H26" s="2179"/>
      <c r="I26" s="2179"/>
    </row>
    <row r="27" spans="1:35" ht="14.25">
      <c r="A27" s="2204" t="s">
        <v>1960</v>
      </c>
      <c r="B27" s="67">
        <v>0</v>
      </c>
      <c r="C27" s="67">
        <v>0</v>
      </c>
      <c r="D27" s="68">
        <f>ROUND(C27*B27/10000,0)</f>
        <v>0</v>
      </c>
      <c r="E27" s="2179"/>
      <c r="F27" s="2179"/>
      <c r="G27" s="2179"/>
      <c r="H27" s="2179"/>
      <c r="I27" s="2179"/>
    </row>
    <row r="28" spans="1:35" ht="14.25">
      <c r="A28" s="2203"/>
      <c r="B28" s="67"/>
      <c r="C28" s="67"/>
      <c r="D28" s="68">
        <f>ROUND(C28*B28/10000,0)</f>
        <v>0</v>
      </c>
      <c r="E28" s="2179"/>
      <c r="F28" s="2179"/>
      <c r="G28" s="2179"/>
      <c r="H28" s="2179"/>
      <c r="I28" s="2179"/>
    </row>
    <row r="29" spans="1:35" ht="14.25">
      <c r="A29" s="2203"/>
      <c r="B29" s="67"/>
      <c r="C29" s="67"/>
      <c r="D29" s="68">
        <f t="shared" ref="D29" si="0">ROUND(C29*B29/10000,0)</f>
        <v>0</v>
      </c>
      <c r="E29" s="2179"/>
      <c r="F29" s="2179"/>
      <c r="G29" s="2179"/>
      <c r="H29" s="2179"/>
      <c r="I29" s="2179"/>
    </row>
    <row r="30" spans="1:35" ht="15" thickBot="1">
      <c r="A30" s="2687" t="s">
        <v>1961</v>
      </c>
      <c r="B30" s="2688"/>
      <c r="C30" s="2688"/>
      <c r="D30" s="2688"/>
      <c r="E30" s="2686" t="s">
        <v>2790</v>
      </c>
      <c r="F30" s="2179"/>
      <c r="G30" s="2179"/>
      <c r="H30" s="2179"/>
      <c r="I30" s="2179"/>
    </row>
    <row r="31" spans="1:35" s="2206" customFormat="1" ht="15.75" thickBot="1">
      <c r="A31" s="3009" t="s">
        <v>1962</v>
      </c>
      <c r="B31" s="3009"/>
      <c r="C31" s="3009"/>
      <c r="D31" s="3009"/>
      <c r="E31" s="3009"/>
      <c r="F31" s="3009"/>
      <c r="G31" s="3009"/>
      <c r="H31" s="3009"/>
      <c r="I31" s="3009"/>
      <c r="J31" s="797"/>
      <c r="K31" s="797"/>
      <c r="L31" s="797"/>
      <c r="M31" s="797"/>
      <c r="N31" s="797"/>
      <c r="O31" s="797"/>
      <c r="P31" s="797"/>
      <c r="Q31" s="797"/>
      <c r="R31" s="797"/>
      <c r="S31" s="797"/>
      <c r="T31" s="797"/>
      <c r="U31" s="797"/>
      <c r="V31" s="797"/>
      <c r="W31" s="797"/>
      <c r="X31" s="797"/>
      <c r="Y31" s="797"/>
      <c r="Z31" s="797"/>
      <c r="AA31" s="1829"/>
      <c r="AB31" s="1829"/>
      <c r="AC31" s="1829"/>
      <c r="AD31" s="1829"/>
      <c r="AE31" s="1829"/>
      <c r="AF31" s="1829"/>
      <c r="AG31" s="1829"/>
      <c r="AH31" s="1829"/>
      <c r="AI31" s="1829"/>
    </row>
    <row r="32" spans="1:35" ht="15">
      <c r="A32" s="2304"/>
      <c r="B32" s="2305" t="s">
        <v>1963</v>
      </c>
      <c r="C32" s="1300">
        <f ca="1">典型户型修正!R27</f>
        <v>10736</v>
      </c>
      <c r="D32" s="2179" t="s">
        <v>1964</v>
      </c>
      <c r="E32" s="2179"/>
      <c r="F32" s="2179"/>
      <c r="G32" s="2179"/>
      <c r="H32" s="2179"/>
      <c r="I32" s="2179"/>
    </row>
    <row r="33" spans="1:16" ht="15">
      <c r="A33" s="2306" t="s">
        <v>1965</v>
      </c>
      <c r="B33" s="2307" t="s">
        <v>1966</v>
      </c>
      <c r="C33" s="1301">
        <f ca="1">典型户型修正!B2</f>
        <v>420</v>
      </c>
      <c r="D33" s="2308" t="str">
        <f>IF('数据-取费表'!B3="万元","万元","元")</f>
        <v>万元</v>
      </c>
      <c r="E33" s="2179"/>
      <c r="F33" s="2179"/>
      <c r="G33" s="2179"/>
      <c r="H33" s="2179"/>
      <c r="I33" s="2179"/>
    </row>
    <row r="34" spans="1:16" ht="15.75" thickBot="1">
      <c r="A34" s="2309"/>
      <c r="B34" s="2310" t="s">
        <v>1967</v>
      </c>
      <c r="C34" s="770">
        <f ca="1">典型户型修正!B3</f>
        <v>11092</v>
      </c>
      <c r="D34" s="2179" t="s">
        <v>1968</v>
      </c>
      <c r="E34" s="2179"/>
      <c r="F34" s="2179"/>
      <c r="G34" s="2179"/>
      <c r="H34" s="2179"/>
      <c r="I34" s="2179"/>
    </row>
    <row r="35" spans="1:16" ht="15">
      <c r="A35" s="2311"/>
      <c r="B35" s="2312" t="s">
        <v>1969</v>
      </c>
      <c r="C35" s="1308">
        <f>IF('数据-取费表'!B3="万元",典型户型修正!V25,典型户型修正!U25)</f>
        <v>0</v>
      </c>
      <c r="D35" s="2179" t="str">
        <f>D33</f>
        <v>万元</v>
      </c>
      <c r="E35" s="2179"/>
      <c r="F35" s="2179"/>
      <c r="G35" s="2179"/>
      <c r="H35" s="2179"/>
      <c r="I35" s="2179"/>
    </row>
    <row r="36" spans="1:16" ht="15.75" thickBot="1">
      <c r="A36" s="2218"/>
      <c r="B36" s="2313" t="s">
        <v>1970</v>
      </c>
      <c r="C36" s="1309">
        <f>IF('数据-取费表'!B3="万元",典型户型修正!Y25,典型户型修正!X25)</f>
        <v>0</v>
      </c>
      <c r="D36" s="2179" t="str">
        <f>D33</f>
        <v>万元</v>
      </c>
      <c r="E36" s="2179"/>
      <c r="F36" s="2179"/>
      <c r="G36" s="2179"/>
      <c r="H36" s="2179"/>
      <c r="I36" s="2179"/>
    </row>
    <row r="37" spans="1:16" ht="15.75" thickBot="1">
      <c r="A37" s="2965" t="s">
        <v>1971</v>
      </c>
      <c r="B37" s="2221" t="s">
        <v>1972</v>
      </c>
      <c r="C37" s="69"/>
      <c r="D37" s="2222"/>
      <c r="E37" s="2223"/>
      <c r="F37" s="2223"/>
      <c r="G37" s="2179"/>
      <c r="H37" s="2179"/>
      <c r="I37" s="2179"/>
    </row>
    <row r="38" spans="1:16" ht="15.75" thickBot="1">
      <c r="A38" s="2966"/>
      <c r="B38" s="2224" t="s">
        <v>1973</v>
      </c>
      <c r="C38" s="71"/>
      <c r="D38" s="2189"/>
      <c r="E38" s="2189"/>
      <c r="F38" s="2223"/>
      <c r="G38" s="2189"/>
      <c r="H38" s="2189"/>
      <c r="I38" s="2189"/>
    </row>
    <row r="39" spans="1:16" ht="15.75" thickBot="1">
      <c r="A39" s="2967"/>
      <c r="B39" s="2225" t="s">
        <v>1974</v>
      </c>
      <c r="C39" s="711"/>
      <c r="D39" s="2226" t="s">
        <v>1975</v>
      </c>
      <c r="E39" s="2189"/>
      <c r="F39" s="2223"/>
      <c r="G39" s="2189"/>
      <c r="H39" s="2189"/>
      <c r="I39" s="2189"/>
    </row>
    <row r="40" spans="1:16" ht="15">
      <c r="A40" s="2193" t="s">
        <v>1976</v>
      </c>
      <c r="B40" s="2227" t="s">
        <v>1977</v>
      </c>
      <c r="C40" s="2228" t="s">
        <v>1978</v>
      </c>
      <c r="D40" s="2228" t="s">
        <v>1979</v>
      </c>
      <c r="E40" s="2229" t="s">
        <v>1980</v>
      </c>
      <c r="F40" s="2223"/>
      <c r="G40" s="2189"/>
      <c r="H40" s="2189"/>
      <c r="I40" s="2189"/>
    </row>
    <row r="41" spans="1:16" ht="14.25">
      <c r="A41" s="2230" t="s">
        <v>1981</v>
      </c>
      <c r="B41" s="74"/>
      <c r="C41" s="75"/>
      <c r="D41" s="75"/>
      <c r="E41" s="76"/>
      <c r="F41" s="2223"/>
      <c r="G41" s="2189"/>
      <c r="H41" s="2189"/>
      <c r="I41" s="2189"/>
    </row>
    <row r="42" spans="1:16" ht="14.25">
      <c r="A42" s="2230" t="s">
        <v>1982</v>
      </c>
      <c r="B42" s="74"/>
      <c r="C42" s="75"/>
      <c r="D42" s="75"/>
      <c r="E42" s="76"/>
      <c r="F42" s="2223"/>
      <c r="G42" s="2189"/>
      <c r="H42" s="2189"/>
      <c r="I42" s="2189"/>
    </row>
    <row r="43" spans="1:16" ht="15" thickBot="1">
      <c r="A43" s="2231"/>
      <c r="B43" s="77"/>
      <c r="C43" s="78"/>
      <c r="D43" s="78"/>
      <c r="E43" s="79"/>
      <c r="F43" s="2223"/>
      <c r="G43" s="2189"/>
      <c r="H43" s="2189"/>
      <c r="I43" s="2189"/>
    </row>
    <row r="44" spans="1:16" ht="12.75">
      <c r="A44" s="2232"/>
      <c r="B44" s="2232"/>
      <c r="C44" s="2232"/>
      <c r="D44" s="2232"/>
      <c r="E44" s="2232"/>
      <c r="F44" s="2233"/>
      <c r="G44" s="2233"/>
      <c r="H44" s="2233"/>
      <c r="I44" s="2234"/>
    </row>
    <row r="45" spans="1:16" ht="18.75">
      <c r="A45" s="2235" t="s">
        <v>1983</v>
      </c>
      <c r="B45" s="2236"/>
      <c r="C45" s="2236"/>
      <c r="D45" s="2237"/>
      <c r="E45" s="2237"/>
      <c r="F45" s="2238"/>
      <c r="G45" s="2238"/>
      <c r="H45" s="2238"/>
      <c r="I45" s="2238"/>
      <c r="J45" s="2239" t="s">
        <v>1814</v>
      </c>
      <c r="K45" s="2240"/>
      <c r="L45" s="2240"/>
      <c r="M45" s="2240"/>
      <c r="N45" s="2240"/>
      <c r="O45" s="2240"/>
      <c r="P45" s="1829"/>
    </row>
    <row r="46" spans="1:16" ht="14.25" customHeight="1" thickBot="1">
      <c r="A46" s="2970" t="s">
        <v>1984</v>
      </c>
      <c r="B46" s="2971"/>
      <c r="C46" s="2972"/>
      <c r="D46" s="80">
        <f ca="1">ROUND(I103*F46,0)</f>
        <v>420</v>
      </c>
      <c r="E46" s="81" t="s">
        <v>1985</v>
      </c>
      <c r="F46" s="82">
        <v>1</v>
      </c>
      <c r="G46" s="83" t="s">
        <v>1986</v>
      </c>
      <c r="H46" s="2179"/>
      <c r="I46" s="2179"/>
      <c r="J46" s="2881" t="s">
        <v>1818</v>
      </c>
      <c r="K46" s="2881"/>
      <c r="L46" s="2881"/>
      <c r="M46" s="2881"/>
      <c r="N46" s="2881"/>
      <c r="O46" s="2881"/>
      <c r="P46" s="1829"/>
    </row>
    <row r="47" spans="1:16" ht="14.25" customHeight="1">
      <c r="A47" s="2962" t="s">
        <v>1819</v>
      </c>
      <c r="B47" s="2963"/>
      <c r="C47" s="2963"/>
      <c r="D47" s="2963"/>
      <c r="E47" s="2963"/>
      <c r="F47" s="2963"/>
      <c r="G47" s="2964"/>
      <c r="H47" s="2241"/>
      <c r="I47" s="1138"/>
      <c r="J47" s="1866">
        <v>1</v>
      </c>
      <c r="K47" s="2881" t="s">
        <v>1820</v>
      </c>
      <c r="L47" s="2881"/>
      <c r="M47" s="2997"/>
      <c r="N47" s="2997"/>
      <c r="O47" s="2997"/>
      <c r="P47" s="1829"/>
    </row>
    <row r="48" spans="1:16" ht="12" customHeight="1">
      <c r="A48" s="85" t="s">
        <v>1821</v>
      </c>
      <c r="B48" s="86"/>
      <c r="C48" s="87"/>
      <c r="D48" s="88" t="s">
        <v>1822</v>
      </c>
      <c r="E48" s="14" t="s">
        <v>1823</v>
      </c>
      <c r="F48" s="89" t="s">
        <v>1824</v>
      </c>
      <c r="G48" s="90" t="s">
        <v>1825</v>
      </c>
      <c r="H48" s="2241"/>
      <c r="I48" s="1138"/>
      <c r="J48" s="1866">
        <v>2</v>
      </c>
      <c r="K48" s="2881" t="s">
        <v>1826</v>
      </c>
      <c r="L48" s="2881"/>
      <c r="M48" s="2883">
        <f>'数据-取费表'!B2</f>
        <v>43999</v>
      </c>
      <c r="N48" s="2883"/>
      <c r="O48" s="2883"/>
      <c r="P48" s="1829"/>
    </row>
    <row r="49" spans="1:16" ht="25.5">
      <c r="A49" s="2968" t="s">
        <v>1827</v>
      </c>
      <c r="B49" s="2969"/>
      <c r="C49" s="2969"/>
      <c r="D49" s="56">
        <f ca="1">IF(H49="情况1",0,IF(H49="情况2",D53,IF(H49="情况3",D54,IF(H49="情况4",D55))))</f>
        <v>22</v>
      </c>
      <c r="E49" s="1876" t="str">
        <f>IF(H49="情况4","(销售额-原购置价)×税（费）率","销售额×税（费）率")</f>
        <v>销售额×税（费）率</v>
      </c>
      <c r="F49" s="91">
        <f>IF(H49="情况1","免征",'数据-取费表'!E29)</f>
        <v>5.6000000000000001E-2</v>
      </c>
      <c r="G49" s="2242" t="s">
        <v>1828</v>
      </c>
      <c r="H49" s="2243" t="s">
        <v>1829</v>
      </c>
      <c r="I49" s="2241"/>
      <c r="J49" s="1866">
        <v>3</v>
      </c>
      <c r="K49" s="2881" t="s">
        <v>1830</v>
      </c>
      <c r="L49" s="2881"/>
      <c r="M49" s="2882">
        <f ca="1">I103</f>
        <v>420</v>
      </c>
      <c r="N49" s="2882"/>
      <c r="O49" s="2882"/>
      <c r="P49" s="1829"/>
    </row>
    <row r="50" spans="1:16" ht="25.5" customHeight="1">
      <c r="A50" s="92" t="s">
        <v>1831</v>
      </c>
      <c r="B50" s="2949" t="s">
        <v>1832</v>
      </c>
      <c r="C50" s="2949"/>
      <c r="D50" s="93">
        <v>0</v>
      </c>
      <c r="E50" s="13" t="s">
        <v>1833</v>
      </c>
      <c r="F50" s="18" t="s">
        <v>48</v>
      </c>
      <c r="G50" s="2872"/>
      <c r="H50" s="2179"/>
      <c r="I50" s="2244"/>
      <c r="J50" s="1866">
        <v>4</v>
      </c>
      <c r="K50" s="2881" t="str">
        <f>IF(项目基本情况!F5="房地产抵押价值","房地产抵押价值","抵押担保权已注销时的房地产抵押价值")</f>
        <v>房地产抵押价值</v>
      </c>
      <c r="L50" s="2881"/>
      <c r="M50" s="2882">
        <f ca="1">IF(项目基本情况!F5="房地产抵押价值",I111,I113)</f>
        <v>420</v>
      </c>
      <c r="N50" s="2882"/>
      <c r="O50" s="2882"/>
      <c r="P50" s="1829"/>
    </row>
    <row r="51" spans="1:16" ht="25.5" customHeight="1">
      <c r="A51" s="94"/>
      <c r="B51" s="2949" t="s">
        <v>1834</v>
      </c>
      <c r="C51" s="2949"/>
      <c r="D51" s="95"/>
      <c r="E51" s="21"/>
      <c r="F51" s="96"/>
      <c r="G51" s="2873"/>
      <c r="H51" s="2179"/>
      <c r="I51" s="2244"/>
      <c r="J51" s="2881" t="s">
        <v>1835</v>
      </c>
      <c r="K51" s="2881"/>
      <c r="L51" s="2881"/>
      <c r="M51" s="2881"/>
      <c r="N51" s="2881"/>
      <c r="O51" s="2881"/>
      <c r="P51" s="1829"/>
    </row>
    <row r="52" spans="1:16" ht="12" customHeight="1">
      <c r="A52" s="97"/>
      <c r="B52" s="2949" t="s">
        <v>1836</v>
      </c>
      <c r="C52" s="2949"/>
      <c r="D52" s="98"/>
      <c r="E52" s="20"/>
      <c r="F52" s="96"/>
      <c r="G52" s="2874"/>
      <c r="H52" s="2179"/>
      <c r="I52" s="2244"/>
      <c r="J52" s="2245" t="s">
        <v>1837</v>
      </c>
      <c r="K52" s="2881" t="s">
        <v>1838</v>
      </c>
      <c r="L52" s="2881"/>
      <c r="M52" s="2245" t="s">
        <v>1839</v>
      </c>
      <c r="N52" s="2245" t="s">
        <v>1840</v>
      </c>
      <c r="O52" s="2245" t="s">
        <v>1841</v>
      </c>
      <c r="P52" s="1829"/>
    </row>
    <row r="53" spans="1:16" ht="24" customHeight="1">
      <c r="A53" s="99" t="s">
        <v>1842</v>
      </c>
      <c r="B53" s="2949" t="s">
        <v>1843</v>
      </c>
      <c r="C53" s="2949"/>
      <c r="D53" s="98">
        <f ca="1">ROUND(D46*'数据-取费表'!E29/(1+'数据-取费表'!F30),0)</f>
        <v>22</v>
      </c>
      <c r="E53" s="10" t="s">
        <v>1844</v>
      </c>
      <c r="F53" s="100">
        <f>'数据-取费表'!E29</f>
        <v>5.6000000000000001E-2</v>
      </c>
      <c r="G53" s="2246"/>
      <c r="H53" s="2179"/>
      <c r="I53" s="2244"/>
      <c r="J53" s="1866">
        <v>1</v>
      </c>
      <c r="K53" s="2871" t="s">
        <v>1845</v>
      </c>
      <c r="L53" s="2871"/>
      <c r="M53" s="777">
        <f ca="1">D49</f>
        <v>22</v>
      </c>
      <c r="N53" s="1866" t="str">
        <f>E49</f>
        <v>销售额×税（费）率</v>
      </c>
      <c r="O53" s="778">
        <f>F49</f>
        <v>5.6000000000000001E-2</v>
      </c>
      <c r="P53" s="1829"/>
    </row>
    <row r="54" spans="1:16" ht="12" customHeight="1">
      <c r="A54" s="99" t="s">
        <v>1846</v>
      </c>
      <c r="B54" s="2948" t="s">
        <v>1847</v>
      </c>
      <c r="C54" s="2841"/>
      <c r="D54" s="98">
        <f ca="1">ROUND(D46*'数据-取费表'!E29/(1+'数据-取费表'!F30),0)</f>
        <v>22</v>
      </c>
      <c r="E54" s="10" t="s">
        <v>1844</v>
      </c>
      <c r="F54" s="100">
        <f>'数据-取费表'!E29</f>
        <v>5.6000000000000001E-2</v>
      </c>
      <c r="G54" s="2246"/>
      <c r="H54" s="2179"/>
      <c r="I54" s="2244"/>
      <c r="J54" s="1866">
        <v>2</v>
      </c>
      <c r="K54" s="2871" t="s">
        <v>1848</v>
      </c>
      <c r="L54" s="2871"/>
      <c r="M54" s="777">
        <f t="shared" ref="M54:O55" ca="1" si="1">D56</f>
        <v>0</v>
      </c>
      <c r="N54" s="1866" t="str">
        <f t="shared" si="1"/>
        <v>销售额×税（费）率</v>
      </c>
      <c r="O54" s="778">
        <f t="shared" si="1"/>
        <v>5.0000000000000001E-4</v>
      </c>
      <c r="P54" s="1829"/>
    </row>
    <row r="55" spans="1:16" ht="12" customHeight="1">
      <c r="A55" s="99" t="s">
        <v>1849</v>
      </c>
      <c r="B55" s="2948" t="s">
        <v>1850</v>
      </c>
      <c r="C55" s="2841"/>
      <c r="D55" s="98">
        <f ca="1">C69</f>
        <v>22</v>
      </c>
      <c r="E55" s="20" t="s">
        <v>1851</v>
      </c>
      <c r="F55" s="100">
        <f>'数据-取费表'!E29</f>
        <v>5.6000000000000001E-2</v>
      </c>
      <c r="G55" s="2246"/>
      <c r="H55" s="2247"/>
      <c r="I55" s="2244"/>
      <c r="J55" s="1866">
        <v>3</v>
      </c>
      <c r="K55" s="2871" t="s">
        <v>1852</v>
      </c>
      <c r="L55" s="2871"/>
      <c r="M55" s="777">
        <f t="shared" ca="1" si="1"/>
        <v>238</v>
      </c>
      <c r="N55" s="1866" t="str">
        <f t="shared" si="1"/>
        <v>增值额×税（费）率</v>
      </c>
      <c r="O55" s="779" t="str">
        <f t="shared" si="1"/>
        <v>——</v>
      </c>
      <c r="P55" s="1829"/>
    </row>
    <row r="56" spans="1:16" ht="24" customHeight="1">
      <c r="A56" s="2833" t="s">
        <v>1853</v>
      </c>
      <c r="B56" s="2969"/>
      <c r="C56" s="2969"/>
      <c r="D56" s="101">
        <f ca="1">IF(H56="个人住宅",0,ROUND(D46*I56,0))</f>
        <v>0</v>
      </c>
      <c r="E56" s="10" t="s">
        <v>1854</v>
      </c>
      <c r="F56" s="100">
        <f>IF(H56="正常",I56,"免征")</f>
        <v>5.0000000000000001E-4</v>
      </c>
      <c r="G56" s="2246"/>
      <c r="H56" s="2243" t="s">
        <v>1855</v>
      </c>
      <c r="I56" s="102">
        <f>'数据-取费表'!E37</f>
        <v>5.0000000000000001E-4</v>
      </c>
      <c r="J56" s="1866" t="str">
        <f>IF(H60="非个人房产","",4)</f>
        <v/>
      </c>
      <c r="K56" s="2871" t="str">
        <f>IF(H60="非个人房产","——","个人所得税")</f>
        <v>——</v>
      </c>
      <c r="L56" s="2871"/>
      <c r="M56" s="780" t="str">
        <f>D60</f>
        <v>——</v>
      </c>
      <c r="N56" s="1869" t="str">
        <f>E60</f>
        <v>——</v>
      </c>
      <c r="O56" s="781" t="str">
        <f>F60</f>
        <v>——</v>
      </c>
      <c r="P56" s="1829"/>
    </row>
    <row r="57" spans="1:16" ht="24.75">
      <c r="A57" s="2833" t="s">
        <v>1856</v>
      </c>
      <c r="B57" s="2969"/>
      <c r="C57" s="2969"/>
      <c r="D57" s="101">
        <f ca="1">IF(H57="个人住宅",D58,D59)</f>
        <v>238</v>
      </c>
      <c r="E57" s="10" t="s">
        <v>1857</v>
      </c>
      <c r="F57" s="100" t="str">
        <f>IF(H57="正常",F59,"免征")</f>
        <v>——</v>
      </c>
      <c r="G57" s="2248" t="s">
        <v>1858</v>
      </c>
      <c r="H57" s="2249" t="s">
        <v>1855</v>
      </c>
      <c r="I57" s="1016"/>
      <c r="J57" s="1866" t="str">
        <f>IF(项目基本情况!I6="上海银行",IF(J56="",4,J56+1),"")</f>
        <v/>
      </c>
      <c r="K57" s="2888" t="str">
        <f>IF(项目基本情况!I6="上海银行","其他处置费用","")</f>
        <v/>
      </c>
      <c r="L57" s="2889"/>
      <c r="M57" s="777" t="str">
        <f>IF(项目基本情况!I6="上海银行",M70,"")</f>
        <v/>
      </c>
      <c r="N57" s="2869" t="str">
        <f>IF(项目基本情况!I6="上海银行","包含处置中涉及的律师、诉讼、拍卖、评估等费用","")</f>
        <v/>
      </c>
      <c r="O57" s="2870"/>
      <c r="P57" s="1829"/>
    </row>
    <row r="58" spans="1:16" ht="12.75">
      <c r="A58" s="99" t="s">
        <v>1831</v>
      </c>
      <c r="B58" s="2957" t="s">
        <v>1859</v>
      </c>
      <c r="C58" s="2959"/>
      <c r="D58" s="103">
        <v>0</v>
      </c>
      <c r="E58" s="13" t="s">
        <v>1833</v>
      </c>
      <c r="F58" s="70"/>
      <c r="G58" s="2246"/>
      <c r="H58" s="1016"/>
      <c r="I58" s="1016"/>
      <c r="J58" s="2871">
        <f>IF(AND(J56="",J57=""),4,IF(项目基本情况!I6="上海银行",J57+1,J56+1))</f>
        <v>4</v>
      </c>
      <c r="K58" s="2871" t="s">
        <v>1860</v>
      </c>
      <c r="L58" s="2250" t="s">
        <v>1861</v>
      </c>
      <c r="M58" s="782"/>
      <c r="N58" s="783">
        <f ca="1">SUMIF(M53:M57,"&lt;9e307")</f>
        <v>260</v>
      </c>
      <c r="O58" s="2251"/>
      <c r="P58" s="1825">
        <f ca="1">N58/M50</f>
        <v>0.61904761904761907</v>
      </c>
    </row>
    <row r="59" spans="1:16" ht="24.75">
      <c r="A59" s="99" t="s">
        <v>1842</v>
      </c>
      <c r="B59" s="2957" t="s">
        <v>1862</v>
      </c>
      <c r="C59" s="2958"/>
      <c r="D59" s="101">
        <f ca="1">IF(H59="转让取得",C82,C98)</f>
        <v>238</v>
      </c>
      <c r="E59" s="10" t="s">
        <v>1857</v>
      </c>
      <c r="F59" s="14" t="s">
        <v>48</v>
      </c>
      <c r="G59" s="2246"/>
      <c r="H59" s="2249" t="s">
        <v>1863</v>
      </c>
      <c r="I59" s="1016"/>
      <c r="J59" s="2871"/>
      <c r="K59" s="2871"/>
      <c r="L59" s="2250" t="s">
        <v>1864</v>
      </c>
      <c r="M59" s="784"/>
      <c r="N59" s="2252" t="str">
        <f ca="1">IF(H19="元",NUMBERSTRING(INT(N58),2)&amp;"元整",NUMBERSTRING(INT(N58*10000),2)&amp;"元整")</f>
        <v>贰佰陆拾万元整</v>
      </c>
      <c r="O59" s="2253"/>
      <c r="P59" s="1829"/>
    </row>
    <row r="60" spans="1:16" ht="24.75" thickBot="1">
      <c r="A60" s="2834" t="s">
        <v>1865</v>
      </c>
      <c r="B60" s="2837"/>
      <c r="C60" s="2837"/>
      <c r="D60" s="104" t="str">
        <f>IF(H60="非个人房产","——",IF(H60="个人住宅",0,ROUND(D46*I60,0)))</f>
        <v>——</v>
      </c>
      <c r="E60" s="105" t="str">
        <f>IF(H60="非个人房产","——","销售额×税（费）率")</f>
        <v>——</v>
      </c>
      <c r="F60" s="106" t="str">
        <f>IF(H60="非个人房产","——",IF(H60="个人住宅","免征",I60))</f>
        <v>——</v>
      </c>
      <c r="G60" s="2254" t="s">
        <v>1858</v>
      </c>
      <c r="H60" s="2249" t="s">
        <v>1987</v>
      </c>
      <c r="I60" s="107">
        <v>0.01</v>
      </c>
      <c r="J60" s="2926">
        <f>J58+1</f>
        <v>5</v>
      </c>
      <c r="K60" s="2871" t="s">
        <v>1867</v>
      </c>
      <c r="L60" s="1866" t="s">
        <v>1861</v>
      </c>
      <c r="M60" s="785"/>
      <c r="N60" s="786">
        <f ca="1">M50-N58</f>
        <v>160</v>
      </c>
      <c r="O60" s="2255"/>
      <c r="P60" s="1829"/>
    </row>
    <row r="61" spans="1:16" ht="12" customHeight="1">
      <c r="A61" s="2050"/>
      <c r="B61" s="2179"/>
      <c r="C61" s="2179"/>
      <c r="D61" s="2179"/>
      <c r="E61" s="1016"/>
      <c r="F61" s="1016"/>
      <c r="G61" s="1016"/>
      <c r="H61" s="2232"/>
      <c r="I61" s="2179"/>
      <c r="J61" s="2927"/>
      <c r="K61" s="2871"/>
      <c r="L61" s="2250" t="s">
        <v>1864</v>
      </c>
      <c r="M61" s="784"/>
      <c r="N61" s="2252" t="str">
        <f ca="1">IF(H19="元",NUMBERSTRING(INT(N60),2)&amp;"元整",NUMBERSTRING(INT(N60*10000),2)&amp;"元整")</f>
        <v>壹佰陆拾万元整</v>
      </c>
      <c r="O61" s="2253"/>
      <c r="P61" s="1829"/>
    </row>
    <row r="62" spans="1:16" ht="13.5" thickBot="1">
      <c r="A62" s="2973" t="s">
        <v>1868</v>
      </c>
      <c r="B62" s="2973"/>
      <c r="C62" s="2973"/>
      <c r="D62" s="2973"/>
      <c r="E62" s="2973"/>
      <c r="F62" s="1016"/>
      <c r="G62" s="1016"/>
      <c r="H62" s="2232"/>
      <c r="I62" s="2179"/>
      <c r="J62" s="1866">
        <f>J60+1</f>
        <v>6</v>
      </c>
      <c r="K62" s="2871" t="s">
        <v>1869</v>
      </c>
      <c r="L62" s="2871"/>
      <c r="M62" s="787"/>
      <c r="N62" s="788" t="e">
        <f ca="1">IF(H19="元",ROUND(N60/项目基本情况!C12,0),ROUND(N60*10000/项目基本情况!C12,0))</f>
        <v>#DIV/0!</v>
      </c>
      <c r="O62" s="2256"/>
      <c r="P62" s="1829"/>
    </row>
    <row r="63" spans="1:16" ht="12.75">
      <c r="A63" s="2909" t="s">
        <v>1870</v>
      </c>
      <c r="B63" s="2910"/>
      <c r="C63" s="1868"/>
      <c r="D63" s="1868" t="s">
        <v>1871</v>
      </c>
      <c r="E63" s="108" t="s">
        <v>1872</v>
      </c>
      <c r="F63" s="1016"/>
      <c r="G63" s="1016"/>
      <c r="H63" s="2232"/>
      <c r="I63" s="2179"/>
      <c r="J63" s="1829"/>
      <c r="K63" s="1829"/>
      <c r="L63" s="1829"/>
      <c r="M63" s="1829"/>
      <c r="N63" s="1829"/>
      <c r="O63" s="1829"/>
      <c r="P63" s="1829"/>
    </row>
    <row r="64" spans="1:16" ht="12.75">
      <c r="A64" s="109">
        <v>1</v>
      </c>
      <c r="B64" s="110" t="s">
        <v>1873</v>
      </c>
      <c r="C64" s="111">
        <f ca="1">ROUND((C65+C66)/(1+'数据-取费表'!F30),0)</f>
        <v>400</v>
      </c>
      <c r="D64" s="112"/>
      <c r="E64" s="113"/>
      <c r="F64" s="1016"/>
      <c r="G64" s="1016"/>
      <c r="H64" s="2232"/>
      <c r="I64" s="2179"/>
      <c r="J64" s="2890" t="s">
        <v>1874</v>
      </c>
      <c r="K64" s="2257" t="s">
        <v>1875</v>
      </c>
      <c r="L64" s="1828">
        <f ca="1">IF(M50&gt;10000,M50*0.5%,IF(AND(M50&gt;1000,M50&lt;=10000),M50*1%,IF(AND(M50&gt;100,M50&lt;=1000),M50*3%,IF(AND(M50&gt;10,M50&lt;=100),M50*5%,M50*8%))))</f>
        <v>12.6</v>
      </c>
      <c r="M64" s="14">
        <f ca="1">ROUND(L64,1)</f>
        <v>12.6</v>
      </c>
      <c r="N64" s="1829"/>
      <c r="O64" s="1829"/>
      <c r="P64" s="1829"/>
    </row>
    <row r="65" spans="1:35" ht="12.75">
      <c r="A65" s="114" t="s">
        <v>71</v>
      </c>
      <c r="B65" s="115" t="s">
        <v>1876</v>
      </c>
      <c r="C65" s="116">
        <f ca="1">D46</f>
        <v>420</v>
      </c>
      <c r="D65" s="117" t="s">
        <v>41</v>
      </c>
      <c r="E65" s="118"/>
      <c r="F65" s="1016"/>
      <c r="G65" s="1016"/>
      <c r="H65" s="2232"/>
      <c r="I65" s="2179"/>
      <c r="J65" s="2890"/>
      <c r="K65" s="2257" t="s">
        <v>1877</v>
      </c>
      <c r="L65" s="1828">
        <f ca="1">IF(M50&gt;2000,M50*0.5%,IF(AND(M50&gt;1000,M50&lt;=2000),M50*0.6%,IF(AND(M50&gt;500,M50&lt;=1000),M50*0.7%,IF(AND(M50&gt;200,M50&lt;=500),M50*0.8%,IF(AND(M50&gt;100,M50&lt;=200),M50*0.9%,IF(AND(M50&gt;50,M50&lt;=100),M50*1%,IF(AND(M50&gt;20,M50&lt;=50),M50*1.5%,IF(AND(M50&gt;10,M50&lt;=20),M50*2%,IF(AND(M50&gt;1,M50&lt;=10),M50*2.5%)))))))))</f>
        <v>3.36</v>
      </c>
      <c r="M65" s="14">
        <f t="shared" ref="M65:M66" ca="1" si="2">ROUND(L65,1)</f>
        <v>3.4</v>
      </c>
      <c r="N65" s="1829" t="s">
        <v>1878</v>
      </c>
      <c r="O65" s="1829"/>
      <c r="P65" s="1829"/>
    </row>
    <row r="66" spans="1:35" ht="12.75">
      <c r="A66" s="114" t="s">
        <v>72</v>
      </c>
      <c r="B66" s="115" t="s">
        <v>1879</v>
      </c>
      <c r="C66" s="119"/>
      <c r="D66" s="117"/>
      <c r="E66" s="118"/>
      <c r="F66" s="1016"/>
      <c r="G66" s="1016"/>
      <c r="H66" s="2232"/>
      <c r="I66" s="2179"/>
      <c r="J66" s="2890"/>
      <c r="K66" s="2257" t="s">
        <v>1880</v>
      </c>
      <c r="L66" s="1828">
        <f ca="1">IF(M50&gt;1000,M50*0.1%,IF(AND(M50&gt;500,M50&lt;=1000),M50*0.5%,IF(AND(M50&gt;50,M50&lt;=500),M50*1%,IF(AND(M50&gt;1,M50&lt;=50),M50*1.5%))))</f>
        <v>4.2</v>
      </c>
      <c r="M66" s="14">
        <f t="shared" ca="1" si="2"/>
        <v>4.2</v>
      </c>
      <c r="N66" s="1829" t="s">
        <v>1878</v>
      </c>
      <c r="O66" s="1829"/>
      <c r="P66" s="1829"/>
    </row>
    <row r="67" spans="1:35" ht="12.75">
      <c r="A67" s="120" t="s">
        <v>47</v>
      </c>
      <c r="B67" s="121" t="s">
        <v>1881</v>
      </c>
      <c r="C67" s="122"/>
      <c r="D67" s="123" t="s">
        <v>41</v>
      </c>
      <c r="E67" s="1845" t="s">
        <v>1882</v>
      </c>
      <c r="F67" s="1016"/>
      <c r="G67" s="1016"/>
      <c r="H67" s="2232"/>
      <c r="I67" s="2179"/>
      <c r="J67" s="2890"/>
      <c r="K67" s="2257" t="s">
        <v>1883</v>
      </c>
      <c r="L67" s="1828">
        <f ca="1">M50*0.5%</f>
        <v>2.1</v>
      </c>
      <c r="M67" s="14">
        <f ca="1">IF(L67&gt;0.5,0.5,ROUND(L67,0))</f>
        <v>0.5</v>
      </c>
      <c r="N67" s="1829" t="s">
        <v>1884</v>
      </c>
      <c r="O67" s="1829"/>
      <c r="P67" s="1829"/>
    </row>
    <row r="68" spans="1:35" ht="12.75">
      <c r="A68" s="120" t="s">
        <v>42</v>
      </c>
      <c r="B68" s="121" t="s">
        <v>1885</v>
      </c>
      <c r="C68" s="124">
        <f ca="1">C64-C67</f>
        <v>400</v>
      </c>
      <c r="D68" s="117" t="s">
        <v>41</v>
      </c>
      <c r="E68" s="118"/>
      <c r="F68" s="1016"/>
      <c r="G68" s="1016"/>
      <c r="H68" s="2232"/>
      <c r="I68" s="2179"/>
      <c r="J68" s="2890"/>
      <c r="K68" s="2257" t="s">
        <v>1886</v>
      </c>
      <c r="L68" s="1828">
        <f ca="1">IF(M50&gt;=10000,(8.25+(M50-10000)*0.01%),IF(AND(M50&gt;=8000,M50&lt;10000),(7.85+(M50-8000)*0.02%),IF(AND(M50&gt;=5000,M50&lt;8000),(6.65+(M50-5000)*0.04%),IF(AND(M50&gt;=2000,M50&lt;5000),(4.25+(PM50-2000)*0.08%),IF(AND(M50&gt;=1000,M50&lt;2000),(2.75+(M50-1000)*0.15%),IF(AND(M50&gt;=100,M50&lt;1000),(0.5+(M50-100)*0.25%),IF(AND(M50&gt;0,M50&lt;100),M50*0.5%)))))))</f>
        <v>1.3</v>
      </c>
      <c r="M68" s="14">
        <f ca="1">ROUND(L68*0.9,1)</f>
        <v>1.2</v>
      </c>
      <c r="N68" s="1829"/>
      <c r="O68" s="1829"/>
      <c r="P68" s="1829"/>
    </row>
    <row r="69" spans="1:35" ht="13.5" thickBot="1">
      <c r="A69" s="125" t="s">
        <v>46</v>
      </c>
      <c r="B69" s="126" t="s">
        <v>1887</v>
      </c>
      <c r="C69" s="127">
        <f ca="1">IF(C68&lt;=0,0,ROUND(C68*D69,0))</f>
        <v>22</v>
      </c>
      <c r="D69" s="128">
        <f>'数据-取费表'!E29</f>
        <v>5.6000000000000001E-2</v>
      </c>
      <c r="E69" s="129"/>
      <c r="F69" s="1016"/>
      <c r="G69" s="1016"/>
      <c r="H69" s="2232"/>
      <c r="I69" s="2179"/>
      <c r="J69" s="2890"/>
      <c r="K69" s="2257" t="s">
        <v>1888</v>
      </c>
      <c r="L69" s="1828">
        <f ca="1">IF(M50&gt;10000,M50*0.5%,IF(AND(M50&gt;5000,M50&lt;=10000),M50*1%,IF(AND(M50&gt;1000,M50&lt;=5000),M50*2%,IF(AND(M50&gt;200,M50&lt;=1000),M50*3%,M50*5%))))</f>
        <v>12.6</v>
      </c>
      <c r="M69" s="14">
        <f ca="1">ROUND(L69,1)</f>
        <v>12.6</v>
      </c>
      <c r="N69" s="1829"/>
      <c r="O69" s="1829"/>
      <c r="P69" s="1829"/>
    </row>
    <row r="70" spans="1:35" s="2206" customFormat="1" ht="7.5" customHeight="1">
      <c r="A70" s="2258"/>
      <c r="B70" s="2259"/>
      <c r="C70" s="2260"/>
      <c r="D70" s="2261"/>
      <c r="E70" s="2262"/>
      <c r="F70" s="1016"/>
      <c r="G70" s="1016"/>
      <c r="H70" s="2232"/>
      <c r="I70" s="2179"/>
      <c r="J70" s="2890"/>
      <c r="K70" s="2257" t="s">
        <v>1889</v>
      </c>
      <c r="L70" s="2263"/>
      <c r="M70" s="14">
        <f ca="1">ROUND(SUM(M64:M69),0)</f>
        <v>35</v>
      </c>
      <c r="N70" s="1825">
        <f ca="1">M70/M50</f>
        <v>8.3333333333333329E-2</v>
      </c>
      <c r="O70" s="1829"/>
      <c r="P70" s="1829"/>
      <c r="Q70" s="797"/>
      <c r="R70" s="797"/>
      <c r="S70" s="797"/>
      <c r="T70" s="797"/>
      <c r="U70" s="797"/>
      <c r="V70" s="797"/>
      <c r="W70" s="797"/>
      <c r="X70" s="797"/>
      <c r="Y70" s="797"/>
      <c r="Z70" s="797"/>
      <c r="AA70" s="1829"/>
      <c r="AB70" s="1829"/>
      <c r="AC70" s="1829"/>
      <c r="AD70" s="1829"/>
      <c r="AE70" s="1829"/>
      <c r="AF70" s="1829"/>
      <c r="AG70" s="1829"/>
      <c r="AH70" s="1829"/>
      <c r="AI70" s="1829"/>
    </row>
    <row r="71" spans="1:35" s="2265" customFormat="1" ht="15" thickBot="1">
      <c r="A71" s="2911" t="s">
        <v>1890</v>
      </c>
      <c r="B71" s="2912"/>
      <c r="C71" s="2912"/>
      <c r="D71" s="2912"/>
      <c r="E71" s="2912"/>
      <c r="F71" s="2912"/>
      <c r="G71" s="2912"/>
      <c r="H71" s="2912"/>
      <c r="I71" s="2264"/>
      <c r="J71" s="1278"/>
      <c r="K71" s="1278"/>
      <c r="L71" s="1278"/>
      <c r="M71" s="1278"/>
      <c r="N71" s="1278"/>
      <c r="O71" s="1278"/>
      <c r="P71" s="1278"/>
      <c r="Q71" s="1278"/>
      <c r="R71" s="1278"/>
      <c r="S71" s="1278"/>
      <c r="T71" s="1278"/>
      <c r="U71" s="1278"/>
      <c r="V71" s="1278"/>
      <c r="W71" s="1278"/>
      <c r="X71" s="1278"/>
      <c r="Y71" s="1278"/>
      <c r="Z71" s="1278"/>
      <c r="AA71" s="2266"/>
      <c r="AB71" s="2266"/>
      <c r="AC71" s="2266"/>
      <c r="AD71" s="2266"/>
      <c r="AE71" s="2266"/>
      <c r="AF71" s="2266"/>
      <c r="AG71" s="2266"/>
      <c r="AH71" s="2266"/>
      <c r="AI71" s="2266"/>
    </row>
    <row r="72" spans="1:35" s="2265" customFormat="1" ht="14.25">
      <c r="A72" s="2909" t="s">
        <v>1870</v>
      </c>
      <c r="B72" s="2910"/>
      <c r="C72" s="1868"/>
      <c r="D72" s="1868" t="s">
        <v>1871</v>
      </c>
      <c r="E72" s="130" t="s">
        <v>1872</v>
      </c>
      <c r="F72" s="131"/>
      <c r="G72" s="131"/>
      <c r="H72" s="132"/>
      <c r="I72" s="2267"/>
      <c r="J72" s="1278"/>
      <c r="K72" s="1278"/>
      <c r="L72" s="1278"/>
      <c r="M72" s="1278"/>
      <c r="N72" s="1278"/>
      <c r="O72" s="1278"/>
      <c r="P72" s="1278"/>
      <c r="Q72" s="1278"/>
      <c r="R72" s="1278"/>
      <c r="S72" s="1278"/>
      <c r="T72" s="1278"/>
      <c r="U72" s="1278"/>
      <c r="V72" s="1278"/>
      <c r="W72" s="1278"/>
      <c r="X72" s="1278"/>
      <c r="Y72" s="1278"/>
      <c r="Z72" s="1278"/>
      <c r="AA72" s="2266"/>
      <c r="AB72" s="2266"/>
      <c r="AC72" s="2266"/>
      <c r="AD72" s="2266"/>
      <c r="AE72" s="2266"/>
      <c r="AF72" s="2266"/>
      <c r="AG72" s="2266"/>
      <c r="AH72" s="2266"/>
      <c r="AI72" s="2266"/>
    </row>
    <row r="73" spans="1:35" s="2265" customFormat="1" ht="14.25">
      <c r="A73" s="133">
        <v>1</v>
      </c>
      <c r="B73" s="121" t="s">
        <v>1891</v>
      </c>
      <c r="C73" s="124">
        <f ca="1">ROUND(D46/(1+'数据-取费表'!F30),0)</f>
        <v>400</v>
      </c>
      <c r="D73" s="117" t="s">
        <v>41</v>
      </c>
      <c r="E73" s="1871"/>
      <c r="F73" s="1872"/>
      <c r="G73" s="1872"/>
      <c r="H73" s="134"/>
      <c r="I73" s="2267"/>
      <c r="J73" s="1278"/>
      <c r="K73" s="1278"/>
      <c r="L73" s="1278"/>
      <c r="M73" s="1278"/>
      <c r="N73" s="1278"/>
      <c r="O73" s="1278"/>
      <c r="P73" s="1278"/>
      <c r="Q73" s="1278"/>
      <c r="R73" s="1278"/>
      <c r="S73" s="1278"/>
      <c r="T73" s="1278"/>
      <c r="U73" s="1278"/>
      <c r="V73" s="1278"/>
      <c r="W73" s="1278"/>
      <c r="X73" s="1278"/>
      <c r="Y73" s="1278"/>
      <c r="Z73" s="1278"/>
      <c r="AA73" s="2266"/>
      <c r="AB73" s="2266"/>
      <c r="AC73" s="2266"/>
      <c r="AD73" s="2266"/>
      <c r="AE73" s="2266"/>
      <c r="AF73" s="2266"/>
      <c r="AG73" s="2266"/>
      <c r="AH73" s="2266"/>
      <c r="AI73" s="2266"/>
    </row>
    <row r="74" spans="1:35" s="2265" customFormat="1" ht="14.25">
      <c r="A74" s="135">
        <v>2</v>
      </c>
      <c r="B74" s="89" t="s">
        <v>1893</v>
      </c>
      <c r="C74" s="124">
        <f ca="1">C75+C79</f>
        <v>2</v>
      </c>
      <c r="D74" s="117" t="s">
        <v>41</v>
      </c>
      <c r="E74" s="1871"/>
      <c r="F74" s="1872"/>
      <c r="G74" s="1872"/>
      <c r="H74" s="134"/>
      <c r="I74" s="2267"/>
      <c r="J74" s="1278"/>
      <c r="K74" s="1278"/>
      <c r="L74" s="1278"/>
      <c r="M74" s="1278"/>
      <c r="N74" s="1278"/>
      <c r="O74" s="1278"/>
      <c r="P74" s="1278"/>
      <c r="Q74" s="1278"/>
      <c r="R74" s="1278"/>
      <c r="S74" s="1278"/>
      <c r="T74" s="1278"/>
      <c r="U74" s="1278"/>
      <c r="V74" s="1278"/>
      <c r="W74" s="1278"/>
      <c r="X74" s="1278"/>
      <c r="Y74" s="1278"/>
      <c r="Z74" s="1278"/>
      <c r="AA74" s="2266"/>
      <c r="AB74" s="2266"/>
      <c r="AC74" s="2266"/>
      <c r="AD74" s="2266"/>
      <c r="AE74" s="2266"/>
      <c r="AF74" s="2266"/>
      <c r="AG74" s="2266"/>
      <c r="AH74" s="2266"/>
      <c r="AI74" s="2266"/>
    </row>
    <row r="75" spans="1:35" s="2265" customFormat="1" ht="14.25">
      <c r="A75" s="136" t="s">
        <v>73</v>
      </c>
      <c r="B75" s="115" t="s">
        <v>1894</v>
      </c>
      <c r="C75" s="117">
        <f>ROUND(IF(G78="2016年5月1日后购买",C76/(1+'数据-取费表'!F30)+C77+C78,C76+C77+C78),0)</f>
        <v>0</v>
      </c>
      <c r="D75" s="117" t="s">
        <v>41</v>
      </c>
      <c r="E75" s="1871"/>
      <c r="F75" s="1872"/>
      <c r="G75" s="1872"/>
      <c r="H75" s="134"/>
      <c r="I75" s="2267"/>
      <c r="J75" s="1278"/>
      <c r="K75" s="1278"/>
      <c r="L75" s="1278"/>
      <c r="M75" s="1278"/>
      <c r="N75" s="1278"/>
      <c r="O75" s="1278"/>
      <c r="P75" s="1278"/>
      <c r="Q75" s="1278"/>
      <c r="R75" s="1278"/>
      <c r="S75" s="1278"/>
      <c r="T75" s="1278"/>
      <c r="U75" s="1278"/>
      <c r="V75" s="1278"/>
      <c r="W75" s="1278"/>
      <c r="X75" s="1278"/>
      <c r="Y75" s="1278"/>
      <c r="Z75" s="1278"/>
      <c r="AA75" s="2266"/>
      <c r="AB75" s="2266"/>
      <c r="AC75" s="2266"/>
      <c r="AD75" s="2266"/>
      <c r="AE75" s="2266"/>
      <c r="AF75" s="2266"/>
      <c r="AG75" s="2266"/>
      <c r="AH75" s="2266"/>
      <c r="AI75" s="2266"/>
    </row>
    <row r="76" spans="1:35" s="2265" customFormat="1" ht="14.25">
      <c r="A76" s="136" t="s">
        <v>74</v>
      </c>
      <c r="B76" s="115" t="s">
        <v>1895</v>
      </c>
      <c r="C76" s="137"/>
      <c r="D76" s="117" t="s">
        <v>41</v>
      </c>
      <c r="E76" s="138" t="s">
        <v>1896</v>
      </c>
      <c r="F76" s="2268" t="s">
        <v>1897</v>
      </c>
      <c r="G76" s="138" t="s">
        <v>1898</v>
      </c>
      <c r="H76" s="139"/>
      <c r="I76" s="9"/>
      <c r="J76" s="1278"/>
      <c r="K76" s="1278"/>
      <c r="L76" s="1278"/>
      <c r="M76" s="1278"/>
      <c r="N76" s="1278"/>
      <c r="O76" s="1278"/>
      <c r="P76" s="1278"/>
      <c r="Q76" s="1278"/>
      <c r="R76" s="1278"/>
      <c r="S76" s="1278"/>
      <c r="T76" s="1278"/>
      <c r="U76" s="1278"/>
      <c r="V76" s="1278"/>
      <c r="W76" s="1278"/>
      <c r="X76" s="1278"/>
      <c r="Y76" s="1278"/>
      <c r="Z76" s="1278"/>
      <c r="AA76" s="2266"/>
      <c r="AB76" s="2266"/>
      <c r="AC76" s="2266"/>
      <c r="AD76" s="2266"/>
      <c r="AE76" s="2266"/>
      <c r="AF76" s="2266"/>
      <c r="AG76" s="2266"/>
      <c r="AH76" s="2266"/>
      <c r="AI76" s="2266"/>
    </row>
    <row r="77" spans="1:35" s="2265" customFormat="1" ht="24.75" customHeight="1">
      <c r="A77" s="136" t="s">
        <v>75</v>
      </c>
      <c r="B77" s="140" t="s">
        <v>1899</v>
      </c>
      <c r="C77" s="117">
        <f>IF(F76="购房发票",ROUND(C76*H76*D77,0),0)</f>
        <v>0</v>
      </c>
      <c r="D77" s="141">
        <v>0.05</v>
      </c>
      <c r="E77" s="2948" t="s">
        <v>1900</v>
      </c>
      <c r="F77" s="2949"/>
      <c r="G77" s="2949"/>
      <c r="H77" s="2950"/>
      <c r="I77" s="2267"/>
      <c r="J77" s="1278"/>
      <c r="K77" s="1278"/>
      <c r="L77" s="1278"/>
      <c r="M77" s="1278"/>
      <c r="N77" s="1278"/>
      <c r="O77" s="1278"/>
      <c r="P77" s="1278"/>
      <c r="Q77" s="1278"/>
      <c r="R77" s="1278"/>
      <c r="S77" s="1278"/>
      <c r="T77" s="1278"/>
      <c r="U77" s="1278"/>
      <c r="V77" s="1278"/>
      <c r="W77" s="1278"/>
      <c r="X77" s="1278"/>
      <c r="Y77" s="1278"/>
      <c r="Z77" s="1278"/>
      <c r="AA77" s="2266"/>
      <c r="AB77" s="2266"/>
      <c r="AC77" s="2266"/>
      <c r="AD77" s="2266"/>
      <c r="AE77" s="2266"/>
      <c r="AF77" s="2266"/>
      <c r="AG77" s="2266"/>
      <c r="AH77" s="2266"/>
      <c r="AI77" s="2266"/>
    </row>
    <row r="78" spans="1:35" s="2265"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69" t="s">
        <v>1903</v>
      </c>
      <c r="H78" s="1873" t="str">
        <f>IF(G78="个人买卖住房","免征印花税"," ")</f>
        <v xml:space="preserve"> </v>
      </c>
      <c r="I78" s="2267"/>
      <c r="J78" s="1278"/>
      <c r="K78" s="1278"/>
      <c r="L78" s="1278"/>
      <c r="M78" s="1278"/>
      <c r="N78" s="1278"/>
      <c r="O78" s="1278"/>
      <c r="P78" s="1278"/>
      <c r="Q78" s="1278"/>
      <c r="R78" s="1278"/>
      <c r="S78" s="1278"/>
      <c r="T78" s="1278"/>
      <c r="U78" s="1278"/>
      <c r="V78" s="1278"/>
      <c r="W78" s="1278"/>
      <c r="X78" s="1278"/>
      <c r="Y78" s="1278"/>
      <c r="Z78" s="1278"/>
      <c r="AA78" s="2266"/>
      <c r="AB78" s="2266"/>
      <c r="AC78" s="2266"/>
      <c r="AD78" s="2266"/>
      <c r="AE78" s="2266"/>
      <c r="AF78" s="2266"/>
      <c r="AG78" s="2266"/>
      <c r="AH78" s="2266"/>
      <c r="AI78" s="2266"/>
    </row>
    <row r="79" spans="1:35" s="2265" customFormat="1" ht="24.75" customHeight="1">
      <c r="A79" s="136" t="s">
        <v>77</v>
      </c>
      <c r="B79" s="115" t="s">
        <v>1904</v>
      </c>
      <c r="C79" s="144">
        <f ca="1">ROUND(D46*D79/(1+'数据-取费表'!F30),0)</f>
        <v>2</v>
      </c>
      <c r="D79" s="145">
        <f>'数据-取费表'!E31</f>
        <v>6.000000000000001E-3</v>
      </c>
      <c r="E79" s="2878" t="s">
        <v>1905</v>
      </c>
      <c r="F79" s="2879"/>
      <c r="G79" s="2879"/>
      <c r="H79" s="2899"/>
      <c r="I79" s="2270"/>
      <c r="J79" s="1278"/>
      <c r="K79" s="1278"/>
      <c r="L79" s="1278"/>
      <c r="M79" s="1278"/>
      <c r="N79" s="1278"/>
      <c r="O79" s="1278"/>
      <c r="P79" s="1278"/>
      <c r="Q79" s="1278"/>
      <c r="R79" s="1278"/>
      <c r="S79" s="1278"/>
      <c r="T79" s="1278"/>
      <c r="U79" s="1278"/>
      <c r="V79" s="1278"/>
      <c r="W79" s="1278"/>
      <c r="X79" s="1278"/>
      <c r="Y79" s="1278"/>
      <c r="Z79" s="1278"/>
      <c r="AA79" s="2266"/>
      <c r="AB79" s="2266"/>
      <c r="AC79" s="2266"/>
      <c r="AD79" s="2266"/>
      <c r="AE79" s="2266"/>
      <c r="AF79" s="2266"/>
      <c r="AG79" s="2266"/>
      <c r="AH79" s="2266"/>
      <c r="AI79" s="2266"/>
    </row>
    <row r="80" spans="1:35" s="2265" customFormat="1" ht="14.25">
      <c r="A80" s="146" t="s">
        <v>42</v>
      </c>
      <c r="B80" s="121" t="s">
        <v>1906</v>
      </c>
      <c r="C80" s="124">
        <f ca="1">C73-C74</f>
        <v>398</v>
      </c>
      <c r="D80" s="117" t="s">
        <v>41</v>
      </c>
      <c r="E80" s="1871"/>
      <c r="F80" s="1872"/>
      <c r="G80" s="1872"/>
      <c r="H80" s="134"/>
      <c r="I80" s="2267"/>
      <c r="J80" s="1278"/>
      <c r="K80" s="1278"/>
      <c r="L80" s="1278"/>
      <c r="M80" s="1278"/>
      <c r="N80" s="1278"/>
      <c r="O80" s="1278"/>
      <c r="P80" s="1278"/>
      <c r="Q80" s="1278"/>
      <c r="R80" s="1278"/>
      <c r="S80" s="1278"/>
      <c r="T80" s="1278"/>
      <c r="U80" s="1278"/>
      <c r="V80" s="1278"/>
      <c r="W80" s="1278"/>
      <c r="X80" s="1278"/>
      <c r="Y80" s="1278"/>
      <c r="Z80" s="1278"/>
      <c r="AA80" s="2266"/>
      <c r="AB80" s="2266"/>
      <c r="AC80" s="2266"/>
      <c r="AD80" s="2266"/>
      <c r="AE80" s="2266"/>
      <c r="AF80" s="2266"/>
      <c r="AG80" s="2266"/>
      <c r="AH80" s="2266"/>
      <c r="AI80" s="2266"/>
    </row>
    <row r="81" spans="1:35" s="2265" customFormat="1" ht="14.25">
      <c r="A81" s="146" t="s">
        <v>43</v>
      </c>
      <c r="B81" s="121" t="s">
        <v>1907</v>
      </c>
      <c r="C81" s="147">
        <f ca="1">IF(C80&lt;=0,0,C80/C74)</f>
        <v>199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2"/>
      <c r="G81" s="1872"/>
      <c r="H81" s="134"/>
      <c r="I81" s="2267"/>
      <c r="J81" s="1278"/>
      <c r="K81" s="1278"/>
      <c r="L81" s="1278"/>
      <c r="M81" s="1278"/>
      <c r="N81" s="1278"/>
      <c r="O81" s="1278"/>
      <c r="P81" s="1278"/>
      <c r="Q81" s="1278"/>
      <c r="R81" s="1278"/>
      <c r="S81" s="1278"/>
      <c r="T81" s="1278"/>
      <c r="U81" s="1278"/>
      <c r="V81" s="1278"/>
      <c r="W81" s="1278"/>
      <c r="X81" s="1278"/>
      <c r="Y81" s="1278"/>
      <c r="Z81" s="1278"/>
      <c r="AA81" s="2266"/>
      <c r="AB81" s="2266"/>
      <c r="AC81" s="2266"/>
      <c r="AD81" s="2266"/>
      <c r="AE81" s="2266"/>
      <c r="AF81" s="2266"/>
      <c r="AG81" s="2266"/>
      <c r="AH81" s="2266"/>
      <c r="AI81" s="2266"/>
    </row>
    <row r="82" spans="1:35" s="2265" customFormat="1" ht="15" thickBot="1">
      <c r="A82" s="148" t="s">
        <v>44</v>
      </c>
      <c r="B82" s="126" t="s">
        <v>1908</v>
      </c>
      <c r="C82" s="149">
        <f ca="1">ROUND(IF(C80&lt;=0,0,IF(C81&gt;=200%,C80*60%-C74*35%,IF(C81&gt;=100%,C80*50%-C74*15%,IF(C81&gt;=50%,C80*40%-C74*5%,IF(C81&lt;50%,C80*30%,0))))),0)</f>
        <v>238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67"/>
      <c r="J82" s="1278"/>
      <c r="K82" s="1278"/>
      <c r="L82" s="1278"/>
      <c r="M82" s="1278"/>
      <c r="N82" s="1278"/>
      <c r="O82" s="1278"/>
      <c r="P82" s="1278"/>
      <c r="Q82" s="1278"/>
      <c r="R82" s="1278"/>
      <c r="S82" s="1278"/>
      <c r="T82" s="1278"/>
      <c r="U82" s="1278"/>
      <c r="V82" s="1278"/>
      <c r="W82" s="1278"/>
      <c r="X82" s="1278"/>
      <c r="Y82" s="1278"/>
      <c r="Z82" s="1278"/>
      <c r="AA82" s="2266"/>
      <c r="AB82" s="2266"/>
      <c r="AC82" s="2266"/>
      <c r="AD82" s="2266"/>
      <c r="AE82" s="2266"/>
      <c r="AF82" s="2266"/>
      <c r="AG82" s="2266"/>
      <c r="AH82" s="2266"/>
      <c r="AI82" s="2266"/>
    </row>
    <row r="83" spans="1:35" s="2265" customFormat="1" ht="7.5" customHeight="1">
      <c r="A83" s="716"/>
      <c r="B83" s="717"/>
      <c r="C83" s="9"/>
      <c r="D83" s="9"/>
      <c r="E83" s="717"/>
      <c r="F83" s="717"/>
      <c r="G83" s="717"/>
      <c r="H83" s="718"/>
      <c r="I83" s="2270"/>
      <c r="J83" s="1278"/>
      <c r="K83" s="1278"/>
      <c r="L83" s="1278"/>
      <c r="M83" s="1278"/>
      <c r="N83" s="1278"/>
      <c r="O83" s="1278"/>
      <c r="P83" s="1278"/>
      <c r="Q83" s="1278"/>
      <c r="R83" s="1278"/>
      <c r="S83" s="1278"/>
      <c r="T83" s="1278"/>
      <c r="U83" s="1278"/>
      <c r="V83" s="1278"/>
      <c r="W83" s="1278"/>
      <c r="X83" s="1278"/>
      <c r="Y83" s="1278"/>
      <c r="Z83" s="1278"/>
      <c r="AA83" s="2266"/>
      <c r="AB83" s="2266"/>
      <c r="AC83" s="2266"/>
      <c r="AD83" s="2266"/>
      <c r="AE83" s="2266"/>
      <c r="AF83" s="2266"/>
      <c r="AG83" s="2266"/>
      <c r="AH83" s="2266"/>
      <c r="AI83" s="2266"/>
    </row>
    <row r="84" spans="1:35" s="2265" customFormat="1" ht="15" thickBot="1">
      <c r="A84" s="2911" t="s">
        <v>1909</v>
      </c>
      <c r="B84" s="2912"/>
      <c r="C84" s="2912"/>
      <c r="D84" s="2912"/>
      <c r="E84" s="2912"/>
      <c r="F84" s="2912"/>
      <c r="G84" s="2912"/>
      <c r="H84" s="2912"/>
      <c r="I84" s="9"/>
      <c r="J84" s="1278"/>
      <c r="K84" s="1278"/>
      <c r="L84" s="1278"/>
      <c r="M84" s="1278"/>
      <c r="N84" s="1278"/>
      <c r="O84" s="1278"/>
      <c r="P84" s="1278"/>
      <c r="Q84" s="1278"/>
      <c r="R84" s="1278"/>
      <c r="S84" s="1278"/>
      <c r="T84" s="1278"/>
      <c r="U84" s="1278"/>
      <c r="V84" s="1278"/>
      <c r="W84" s="1278"/>
      <c r="X84" s="1278"/>
      <c r="Y84" s="1278"/>
      <c r="Z84" s="1278"/>
      <c r="AA84" s="2266"/>
      <c r="AB84" s="2266"/>
      <c r="AC84" s="2266"/>
      <c r="AD84" s="2266"/>
      <c r="AE84" s="2266"/>
      <c r="AF84" s="2266"/>
      <c r="AG84" s="2266"/>
      <c r="AH84" s="2266"/>
      <c r="AI84" s="2266"/>
    </row>
    <row r="85" spans="1:35" s="2265" customFormat="1" ht="14.25">
      <c r="A85" s="2909" t="s">
        <v>1870</v>
      </c>
      <c r="B85" s="2910"/>
      <c r="C85" s="1868"/>
      <c r="D85" s="1868" t="s">
        <v>1871</v>
      </c>
      <c r="E85" s="130" t="s">
        <v>1872</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66"/>
      <c r="AB85" s="2266"/>
      <c r="AC85" s="2266"/>
      <c r="AD85" s="2266"/>
      <c r="AE85" s="2266"/>
      <c r="AF85" s="2266"/>
      <c r="AG85" s="2266"/>
      <c r="AH85" s="2266"/>
      <c r="AI85" s="2266"/>
    </row>
    <row r="86" spans="1:35" s="2265" customFormat="1" ht="14.25">
      <c r="A86" s="133">
        <v>1</v>
      </c>
      <c r="B86" s="121" t="s">
        <v>1891</v>
      </c>
      <c r="C86" s="124">
        <f ca="1">ROUND(D46/(1+'数据-取费表'!F30),0)</f>
        <v>400</v>
      </c>
      <c r="D86" s="117" t="s">
        <v>41</v>
      </c>
      <c r="E86" s="1871"/>
      <c r="F86" s="1872"/>
      <c r="G86" s="1872"/>
      <c r="H86" s="155"/>
      <c r="I86" s="9"/>
      <c r="J86" s="1278"/>
      <c r="K86" s="1278"/>
      <c r="L86" s="1278"/>
      <c r="M86" s="1278"/>
      <c r="N86" s="1278"/>
      <c r="O86" s="1278"/>
      <c r="P86" s="1278"/>
      <c r="Q86" s="1278"/>
      <c r="R86" s="1278"/>
      <c r="S86" s="1278"/>
      <c r="T86" s="1278"/>
      <c r="U86" s="1278"/>
      <c r="V86" s="1278"/>
      <c r="W86" s="1278"/>
      <c r="X86" s="1278"/>
      <c r="Y86" s="1278"/>
      <c r="Z86" s="1278"/>
      <c r="AA86" s="2266"/>
      <c r="AB86" s="2266"/>
      <c r="AC86" s="2266"/>
      <c r="AD86" s="2266"/>
      <c r="AE86" s="2266"/>
      <c r="AF86" s="2266"/>
      <c r="AG86" s="2266"/>
      <c r="AH86" s="2266"/>
      <c r="AI86" s="2266"/>
    </row>
    <row r="87" spans="1:35" s="2265" customFormat="1" ht="14.25">
      <c r="A87" s="135">
        <v>2</v>
      </c>
      <c r="B87" s="89" t="s">
        <v>1893</v>
      </c>
      <c r="C87" s="124">
        <f ca="1">IF(H89="仅含出让金",C88+C91+C92+C93+C94+C95,C88+C92+C93+C94+C95)</f>
        <v>2</v>
      </c>
      <c r="D87" s="156"/>
      <c r="E87" s="1871"/>
      <c r="F87" s="1872"/>
      <c r="G87" s="1872"/>
      <c r="H87" s="155"/>
      <c r="I87" s="9"/>
      <c r="J87" s="1278"/>
      <c r="K87" s="1278"/>
      <c r="L87" s="1278"/>
      <c r="M87" s="1278"/>
      <c r="N87" s="1278"/>
      <c r="O87" s="1278"/>
      <c r="P87" s="1278"/>
      <c r="Q87" s="1278"/>
      <c r="R87" s="1278"/>
      <c r="S87" s="1278"/>
      <c r="T87" s="1278"/>
      <c r="U87" s="1278"/>
      <c r="V87" s="1278"/>
      <c r="W87" s="1278"/>
      <c r="X87" s="1278"/>
      <c r="Y87" s="1278"/>
      <c r="Z87" s="1278"/>
      <c r="AA87" s="2266"/>
      <c r="AB87" s="2266"/>
      <c r="AC87" s="2266"/>
      <c r="AD87" s="2266"/>
      <c r="AE87" s="2266"/>
      <c r="AF87" s="2266"/>
      <c r="AG87" s="2266"/>
      <c r="AH87" s="2266"/>
      <c r="AI87" s="2266"/>
    </row>
    <row r="88" spans="1:35" s="2265" customFormat="1" ht="14.25">
      <c r="A88" s="136" t="s">
        <v>73</v>
      </c>
      <c r="B88" s="115" t="s">
        <v>1910</v>
      </c>
      <c r="C88" s="144">
        <f>C89+C90</f>
        <v>0</v>
      </c>
      <c r="D88" s="145"/>
      <c r="E88" s="1864"/>
      <c r="F88" s="1865"/>
      <c r="G88" s="1865"/>
      <c r="H88" s="1867"/>
      <c r="I88" s="9"/>
      <c r="J88" s="1278"/>
      <c r="K88" s="1278"/>
      <c r="L88" s="1278"/>
      <c r="M88" s="1278"/>
      <c r="N88" s="1278"/>
      <c r="O88" s="1278"/>
      <c r="P88" s="1278"/>
      <c r="Q88" s="1278"/>
      <c r="R88" s="1278"/>
      <c r="S88" s="1278"/>
      <c r="T88" s="1278"/>
      <c r="U88" s="1278"/>
      <c r="V88" s="1278"/>
      <c r="W88" s="1278"/>
      <c r="X88" s="1278"/>
      <c r="Y88" s="1278"/>
      <c r="Z88" s="1278"/>
      <c r="AA88" s="2266"/>
      <c r="AB88" s="2266"/>
      <c r="AC88" s="2266"/>
      <c r="AD88" s="2266"/>
      <c r="AE88" s="2266"/>
      <c r="AF88" s="2266"/>
      <c r="AG88" s="2266"/>
      <c r="AH88" s="2266"/>
      <c r="AI88" s="2266"/>
    </row>
    <row r="89" spans="1:35" s="2265" customFormat="1" ht="14.25">
      <c r="A89" s="136" t="s">
        <v>74</v>
      </c>
      <c r="B89" s="115" t="s">
        <v>1911</v>
      </c>
      <c r="C89" s="157"/>
      <c r="D89" s="145"/>
      <c r="E89" s="158" t="s">
        <v>1912</v>
      </c>
      <c r="F89" s="1865"/>
      <c r="G89" s="159" t="s">
        <v>1913</v>
      </c>
      <c r="H89" s="2271"/>
      <c r="I89" s="9"/>
      <c r="J89" s="2737" t="s">
        <v>2823</v>
      </c>
      <c r="K89" s="1278"/>
      <c r="L89" s="1278"/>
      <c r="M89" s="1278"/>
      <c r="N89" s="1278"/>
      <c r="O89" s="1278"/>
      <c r="P89" s="1278"/>
      <c r="Q89" s="1278"/>
      <c r="R89" s="1278"/>
      <c r="S89" s="1278"/>
      <c r="T89" s="1278"/>
      <c r="U89" s="1278"/>
      <c r="V89" s="1278"/>
      <c r="W89" s="1278"/>
      <c r="X89" s="1278"/>
      <c r="Y89" s="1278"/>
      <c r="Z89" s="1278"/>
      <c r="AA89" s="2266"/>
      <c r="AB89" s="2266"/>
      <c r="AC89" s="2266"/>
      <c r="AD89" s="2266"/>
      <c r="AE89" s="2266"/>
      <c r="AF89" s="2266"/>
      <c r="AG89" s="2266"/>
      <c r="AH89" s="2266"/>
      <c r="AI89" s="2266"/>
    </row>
    <row r="90" spans="1:35" s="2265" customFormat="1" ht="14.25">
      <c r="A90" s="136" t="s">
        <v>75</v>
      </c>
      <c r="B90" s="115" t="s">
        <v>1901</v>
      </c>
      <c r="C90" s="144">
        <f>ROUND(C89*D90,0)</f>
        <v>0</v>
      </c>
      <c r="D90" s="145">
        <f>'数据-取费表'!E36+'数据-取费表'!E37</f>
        <v>3.0499999999999999E-2</v>
      </c>
      <c r="E90" s="158" t="s">
        <v>1914</v>
      </c>
      <c r="F90" s="1865"/>
      <c r="G90" s="1865"/>
      <c r="H90" s="1867"/>
      <c r="I90" s="9"/>
      <c r="J90" s="1278"/>
      <c r="K90" s="1278"/>
      <c r="L90" s="1278"/>
      <c r="M90" s="1278"/>
      <c r="N90" s="1278"/>
      <c r="O90" s="1278"/>
      <c r="P90" s="1278"/>
      <c r="Q90" s="1278"/>
      <c r="R90" s="1278"/>
      <c r="S90" s="1278"/>
      <c r="T90" s="1278"/>
      <c r="U90" s="1278"/>
      <c r="V90" s="1278"/>
      <c r="W90" s="1278"/>
      <c r="X90" s="1278"/>
      <c r="Y90" s="1278"/>
      <c r="Z90" s="1278"/>
      <c r="AA90" s="2266"/>
      <c r="AB90" s="2266"/>
      <c r="AC90" s="2266"/>
      <c r="AD90" s="2266"/>
      <c r="AE90" s="2266"/>
      <c r="AF90" s="2266"/>
      <c r="AG90" s="2266"/>
      <c r="AH90" s="2266"/>
      <c r="AI90" s="2266"/>
    </row>
    <row r="91" spans="1:35" s="2265" customFormat="1" ht="14.25">
      <c r="A91" s="136" t="s">
        <v>77</v>
      </c>
      <c r="B91" s="115" t="s">
        <v>1915</v>
      </c>
      <c r="C91" s="157"/>
      <c r="D91" s="145"/>
      <c r="E91" s="158" t="str">
        <f>IF(H89="-","土地取得成本中已包含该笔费用"," ")</f>
        <v xml:space="preserve"> </v>
      </c>
      <c r="F91" s="1865"/>
      <c r="G91" s="2918" t="s">
        <v>2826</v>
      </c>
      <c r="H91" s="2999"/>
      <c r="I91" s="9"/>
      <c r="J91" s="2737" t="s">
        <v>2824</v>
      </c>
      <c r="K91" s="1278"/>
      <c r="L91" s="1278"/>
      <c r="M91" s="1278"/>
      <c r="N91" s="1278"/>
      <c r="O91" s="1278"/>
      <c r="P91" s="1278"/>
      <c r="Q91" s="1278"/>
      <c r="R91" s="1278"/>
      <c r="S91" s="1278"/>
      <c r="T91" s="1278"/>
      <c r="U91" s="1278"/>
      <c r="V91" s="1278"/>
      <c r="W91" s="1278"/>
      <c r="X91" s="1278"/>
      <c r="Y91" s="1278"/>
      <c r="Z91" s="1278"/>
      <c r="AA91" s="2266"/>
      <c r="AB91" s="2266"/>
      <c r="AC91" s="2266"/>
      <c r="AD91" s="2266"/>
      <c r="AE91" s="2266"/>
      <c r="AF91" s="2266"/>
      <c r="AG91" s="2266"/>
      <c r="AH91" s="2266"/>
      <c r="AI91" s="2266"/>
    </row>
    <row r="92" spans="1:35" s="2265" customFormat="1" ht="30.75" customHeight="1">
      <c r="A92" s="136" t="s">
        <v>78</v>
      </c>
      <c r="B92" s="115" t="s">
        <v>1916</v>
      </c>
      <c r="C92" s="144">
        <f>IF(H92="——",成本法!C33,I92)</f>
        <v>0</v>
      </c>
      <c r="D92" s="145"/>
      <c r="E92" s="2878" t="s">
        <v>1917</v>
      </c>
      <c r="F92" s="2879"/>
      <c r="G92" s="2879"/>
      <c r="H92" s="2272" t="s">
        <v>1918</v>
      </c>
      <c r="I92" s="2273"/>
      <c r="J92" s="1278"/>
      <c r="K92" s="1278"/>
      <c r="L92" s="1278"/>
      <c r="M92" s="1278"/>
      <c r="N92" s="1278"/>
      <c r="O92" s="1278"/>
      <c r="P92" s="1278"/>
      <c r="Q92" s="1278"/>
      <c r="R92" s="1278"/>
      <c r="S92" s="1278"/>
      <c r="T92" s="1278"/>
      <c r="U92" s="1278"/>
      <c r="V92" s="1278"/>
      <c r="W92" s="1278"/>
      <c r="X92" s="1278"/>
      <c r="Y92" s="1278"/>
      <c r="Z92" s="1278"/>
      <c r="AA92" s="2266"/>
      <c r="AB92" s="2266"/>
      <c r="AC92" s="2266"/>
      <c r="AD92" s="2266"/>
      <c r="AE92" s="2266"/>
      <c r="AF92" s="2266"/>
      <c r="AG92" s="2266"/>
      <c r="AH92" s="2266"/>
      <c r="AI92" s="2266"/>
    </row>
    <row r="93" spans="1:35" s="2265" customFormat="1" ht="25.5" customHeight="1">
      <c r="A93" s="136" t="s">
        <v>79</v>
      </c>
      <c r="B93" s="115" t="s">
        <v>1919</v>
      </c>
      <c r="C93" s="144">
        <f>ROUND((C88+C91+C92)*D93,0)</f>
        <v>0</v>
      </c>
      <c r="D93" s="145">
        <v>0.1</v>
      </c>
      <c r="E93" s="2878" t="s">
        <v>1920</v>
      </c>
      <c r="F93" s="2879"/>
      <c r="G93" s="2879"/>
      <c r="H93" s="2899"/>
      <c r="I93" s="9"/>
      <c r="J93" s="1278"/>
      <c r="K93" s="1278"/>
      <c r="L93" s="1278"/>
      <c r="M93" s="1278"/>
      <c r="N93" s="1278"/>
      <c r="O93" s="1278"/>
      <c r="P93" s="1278"/>
      <c r="Q93" s="1278"/>
      <c r="R93" s="1278"/>
      <c r="S93" s="1278"/>
      <c r="T93" s="1278"/>
      <c r="U93" s="1278"/>
      <c r="V93" s="1278"/>
      <c r="W93" s="1278"/>
      <c r="X93" s="1278"/>
      <c r="Y93" s="1278"/>
      <c r="Z93" s="1278"/>
      <c r="AA93" s="2266"/>
      <c r="AB93" s="2266"/>
      <c r="AC93" s="2266"/>
      <c r="AD93" s="2266"/>
      <c r="AE93" s="2266"/>
      <c r="AF93" s="2266"/>
      <c r="AG93" s="2266"/>
      <c r="AH93" s="2266"/>
      <c r="AI93" s="2266"/>
    </row>
    <row r="94" spans="1:35" s="2265" customFormat="1" ht="25.5" customHeight="1">
      <c r="A94" s="136" t="s">
        <v>80</v>
      </c>
      <c r="B94" s="115" t="s">
        <v>1904</v>
      </c>
      <c r="C94" s="144">
        <f ca="1">ROUND(D46*D94/(1+'数据-取费表'!F30),0)</f>
        <v>2</v>
      </c>
      <c r="D94" s="145">
        <f>'数据-取费表'!E31</f>
        <v>6.000000000000001E-3</v>
      </c>
      <c r="E94" s="2878" t="s">
        <v>1905</v>
      </c>
      <c r="F94" s="2879"/>
      <c r="G94" s="2879"/>
      <c r="H94" s="2899"/>
      <c r="I94" s="9"/>
      <c r="J94" s="1278"/>
      <c r="K94" s="1278"/>
      <c r="L94" s="1278"/>
      <c r="M94" s="1278"/>
      <c r="N94" s="1278"/>
      <c r="O94" s="1278"/>
      <c r="P94" s="1278"/>
      <c r="Q94" s="1278"/>
      <c r="R94" s="1278"/>
      <c r="S94" s="1278"/>
      <c r="T94" s="1278"/>
      <c r="U94" s="1278"/>
      <c r="V94" s="1278"/>
      <c r="W94" s="1278"/>
      <c r="X94" s="1278"/>
      <c r="Y94" s="1278"/>
      <c r="Z94" s="1278"/>
      <c r="AA94" s="2266"/>
      <c r="AB94" s="2266"/>
      <c r="AC94" s="2266"/>
      <c r="AD94" s="2266"/>
      <c r="AE94" s="2266"/>
      <c r="AF94" s="2266"/>
      <c r="AG94" s="2266"/>
      <c r="AH94" s="2266"/>
      <c r="AI94" s="2266"/>
    </row>
    <row r="95" spans="1:35" s="2265" customFormat="1" ht="25.5" customHeight="1">
      <c r="A95" s="136" t="s">
        <v>81</v>
      </c>
      <c r="B95" s="115" t="s">
        <v>1921</v>
      </c>
      <c r="C95" s="144">
        <f>ROUND((C88+C91+C92)*D95,0)</f>
        <v>0</v>
      </c>
      <c r="D95" s="145">
        <v>0.2</v>
      </c>
      <c r="E95" s="2878" t="s">
        <v>1922</v>
      </c>
      <c r="F95" s="2879"/>
      <c r="G95" s="2879"/>
      <c r="H95" s="2899"/>
      <c r="I95" s="9"/>
      <c r="J95" s="1278"/>
      <c r="K95" s="1278"/>
      <c r="L95" s="1278"/>
      <c r="M95" s="1278"/>
      <c r="N95" s="1278"/>
      <c r="O95" s="1278"/>
      <c r="P95" s="1278"/>
      <c r="Q95" s="1278"/>
      <c r="R95" s="1278"/>
      <c r="S95" s="1278"/>
      <c r="T95" s="1278"/>
      <c r="U95" s="1278"/>
      <c r="V95" s="1278"/>
      <c r="W95" s="1278"/>
      <c r="X95" s="1278"/>
      <c r="Y95" s="1278"/>
      <c r="Z95" s="1278"/>
      <c r="AA95" s="2266"/>
      <c r="AB95" s="2266"/>
      <c r="AC95" s="2266"/>
      <c r="AD95" s="2266"/>
      <c r="AE95" s="2266"/>
      <c r="AF95" s="2266"/>
      <c r="AG95" s="2266"/>
      <c r="AH95" s="2266"/>
      <c r="AI95" s="2266"/>
    </row>
    <row r="96" spans="1:35" s="2265" customFormat="1" ht="14.25">
      <c r="A96" s="146" t="s">
        <v>42</v>
      </c>
      <c r="B96" s="121" t="s">
        <v>1906</v>
      </c>
      <c r="C96" s="124">
        <f ca="1">ROUND(C86-C87,0)</f>
        <v>398</v>
      </c>
      <c r="D96" s="117" t="s">
        <v>41</v>
      </c>
      <c r="E96" s="1871"/>
      <c r="F96" s="1872"/>
      <c r="G96" s="1872"/>
      <c r="H96" s="155"/>
      <c r="I96" s="9"/>
      <c r="J96" s="1278"/>
      <c r="K96" s="1278"/>
      <c r="L96" s="1278"/>
      <c r="M96" s="1278"/>
      <c r="N96" s="1278"/>
      <c r="O96" s="1278"/>
      <c r="P96" s="1278"/>
      <c r="Q96" s="1278"/>
      <c r="R96" s="1278"/>
      <c r="S96" s="1278"/>
      <c r="T96" s="1278"/>
      <c r="U96" s="1278"/>
      <c r="V96" s="1278"/>
      <c r="W96" s="1278"/>
      <c r="X96" s="1278"/>
      <c r="Y96" s="1278"/>
      <c r="Z96" s="1278"/>
      <c r="AA96" s="2266"/>
      <c r="AB96" s="2266"/>
      <c r="AC96" s="2266"/>
      <c r="AD96" s="2266"/>
      <c r="AE96" s="2266"/>
      <c r="AF96" s="2266"/>
      <c r="AG96" s="2266"/>
      <c r="AH96" s="2266"/>
      <c r="AI96" s="2266"/>
    </row>
    <row r="97" spans="1:35" s="2265" customFormat="1" ht="14.25">
      <c r="A97" s="146" t="s">
        <v>43</v>
      </c>
      <c r="B97" s="121" t="s">
        <v>1907</v>
      </c>
      <c r="C97" s="147">
        <f ca="1">IF(C96&lt;=0,0,C96/C87)</f>
        <v>199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2"/>
      <c r="G97" s="1872"/>
      <c r="H97" s="155"/>
      <c r="I97" s="9"/>
      <c r="J97" s="1278"/>
      <c r="K97" s="1278"/>
      <c r="L97" s="1278"/>
      <c r="M97" s="1278"/>
      <c r="N97" s="1278"/>
      <c r="O97" s="1278"/>
      <c r="P97" s="1278"/>
      <c r="Q97" s="1278"/>
      <c r="R97" s="1278"/>
      <c r="S97" s="1278"/>
      <c r="T97" s="1278"/>
      <c r="U97" s="1278"/>
      <c r="V97" s="1278"/>
      <c r="W97" s="1278"/>
      <c r="X97" s="1278"/>
      <c r="Y97" s="1278"/>
      <c r="Z97" s="1278"/>
      <c r="AA97" s="2266"/>
      <c r="AB97" s="2266"/>
      <c r="AC97" s="2266"/>
      <c r="AD97" s="2266"/>
      <c r="AE97" s="2266"/>
      <c r="AF97" s="2266"/>
      <c r="AG97" s="2266"/>
      <c r="AH97" s="2266"/>
      <c r="AI97" s="2266"/>
    </row>
    <row r="98" spans="1:35" s="2265" customFormat="1" ht="15" thickBot="1">
      <c r="A98" s="148" t="s">
        <v>44</v>
      </c>
      <c r="B98" s="126" t="s">
        <v>1908</v>
      </c>
      <c r="C98" s="149">
        <f ca="1">ROUND(IF(C96&lt;=0,0,IF(C97&gt;=200%,C96*60%-C87*35%,IF(C97&gt;=100%,C96*50%-C87*15%,IF(C97&gt;=50%,C96*40%-C87*5%,IF(C97&lt;50%,C96*30%,0))))),0)</f>
        <v>238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66"/>
      <c r="AB98" s="2266"/>
      <c r="AC98" s="2266"/>
      <c r="AD98" s="2266"/>
      <c r="AE98" s="2266"/>
      <c r="AF98" s="2266"/>
      <c r="AG98" s="2266"/>
      <c r="AH98" s="2266"/>
      <c r="AI98" s="2266"/>
    </row>
    <row r="99" spans="1:35" ht="21.75" customHeight="1" thickBot="1">
      <c r="A99" s="2235" t="s">
        <v>1923</v>
      </c>
      <c r="B99" s="2179"/>
      <c r="C99" s="2179"/>
      <c r="D99" s="2179"/>
      <c r="E99" s="1016"/>
      <c r="F99" s="1016"/>
      <c r="G99" s="1016"/>
      <c r="H99" s="2232"/>
      <c r="I99" s="2179"/>
    </row>
    <row r="100" spans="1:35" ht="15.75">
      <c r="A100" s="2896" t="s">
        <v>1924</v>
      </c>
      <c r="B100" s="2897"/>
      <c r="C100" s="2897"/>
      <c r="D100" s="2898"/>
      <c r="E100" s="2179"/>
      <c r="F100" s="2906" t="s">
        <v>1925</v>
      </c>
      <c r="G100" s="2907"/>
      <c r="H100" s="2907"/>
      <c r="I100" s="2908"/>
    </row>
    <row r="101" spans="1:35" ht="30">
      <c r="A101" s="2913" t="s">
        <v>1926</v>
      </c>
      <c r="B101" s="2914"/>
      <c r="C101" s="719" t="str">
        <f>C4</f>
        <v>典型户型修正</v>
      </c>
      <c r="D101" s="720" t="str">
        <f>D4</f>
        <v>比较法-住宅</v>
      </c>
      <c r="E101" s="2179"/>
      <c r="F101" s="2915" t="s">
        <v>1927</v>
      </c>
      <c r="G101" s="2917"/>
      <c r="H101" s="3000" t="s">
        <v>1928</v>
      </c>
      <c r="I101" s="2916"/>
    </row>
    <row r="102" spans="1:35" ht="15.75">
      <c r="A102" s="3001" t="s">
        <v>1988</v>
      </c>
      <c r="B102" s="2274" t="str">
        <f>IF(H19="元","总价（元）","总价（万元）")</f>
        <v>总价（万元）</v>
      </c>
      <c r="C102" s="719">
        <f ca="1">C19</f>
        <v>420</v>
      </c>
      <c r="D102" s="720">
        <f ca="1">D19</f>
        <v>116</v>
      </c>
      <c r="E102" s="2179"/>
      <c r="F102" s="3002"/>
      <c r="G102" s="3003"/>
      <c r="H102" s="2977">
        <f>典型户型修正!B25</f>
        <v>378.66</v>
      </c>
      <c r="I102" s="2916"/>
    </row>
    <row r="103" spans="1:35" ht="15.75">
      <c r="A103" s="3001"/>
      <c r="B103" s="2274" t="s">
        <v>1930</v>
      </c>
      <c r="C103" s="721">
        <f ca="1">C20</f>
        <v>11092</v>
      </c>
      <c r="D103" s="722">
        <f ca="1">D20</f>
        <v>11702</v>
      </c>
      <c r="E103" s="2179"/>
      <c r="F103" s="2991" t="s">
        <v>1931</v>
      </c>
      <c r="G103" s="2992"/>
      <c r="H103" s="2275" t="str">
        <f>C109</f>
        <v>总价（万元）</v>
      </c>
      <c r="I103" s="1846">
        <f ca="1">H124</f>
        <v>420</v>
      </c>
    </row>
    <row r="104" spans="1:35" ht="15">
      <c r="A104" s="3001" t="s">
        <v>1989</v>
      </c>
      <c r="B104" s="2276" t="str">
        <f>B102</f>
        <v>总价（万元）</v>
      </c>
      <c r="C104" s="1182">
        <f ca="1">ROUND(IF('数据-取费表'!B4="总价",G19,IF(H19="元",G20*'数据-取费表'!E5,G20*'数据-取费表'!E5/10000)),0)</f>
        <v>110</v>
      </c>
      <c r="D104" s="724"/>
      <c r="E104" s="2179"/>
      <c r="F104" s="2991"/>
      <c r="G104" s="2992"/>
      <c r="H104" s="2275" t="s">
        <v>1930</v>
      </c>
      <c r="I104" s="1044">
        <f ca="1">I124</f>
        <v>11092</v>
      </c>
    </row>
    <row r="105" spans="1:35" ht="15.75">
      <c r="A105" s="3001"/>
      <c r="B105" s="2274" t="s">
        <v>1930</v>
      </c>
      <c r="C105" s="1183">
        <f ca="1">ROUND(IF('数据-取费表'!B4="楼面单价",G20,IF(H19="元",G19/'数据-取费表'!E5,G19*10000/'数据-取费表'!E5)),0)</f>
        <v>11092</v>
      </c>
      <c r="D105" s="724"/>
      <c r="E105" s="2179"/>
      <c r="F105" s="2902"/>
      <c r="G105" s="2903"/>
      <c r="H105" s="2938"/>
      <c r="I105" s="2939"/>
    </row>
    <row r="106" spans="1:35" ht="15.75">
      <c r="A106" s="3008" t="s">
        <v>1990</v>
      </c>
      <c r="B106" s="2314" t="str">
        <f>B102</f>
        <v>总价（万元）</v>
      </c>
      <c r="C106" s="723">
        <f ca="1">H124</f>
        <v>420</v>
      </c>
      <c r="D106" s="1181"/>
      <c r="E106" s="2179"/>
      <c r="F106" s="2942" t="s">
        <v>1934</v>
      </c>
      <c r="G106" s="2943"/>
      <c r="H106" s="2278" t="str">
        <f>C111</f>
        <v>总额（万元）</v>
      </c>
      <c r="I106" s="1846">
        <f>SUMIF(I107:I109,"&lt;9E307")</f>
        <v>0</v>
      </c>
    </row>
    <row r="107" spans="1:35" ht="15.75" thickBot="1">
      <c r="A107" s="2937"/>
      <c r="B107" s="2277" t="s">
        <v>1930</v>
      </c>
      <c r="C107" s="725">
        <f ca="1">I124</f>
        <v>11092</v>
      </c>
      <c r="D107" s="726"/>
      <c r="E107" s="2179"/>
      <c r="F107" s="2904" t="s">
        <v>1936</v>
      </c>
      <c r="G107" s="2905"/>
      <c r="H107" s="2278" t="str">
        <f>C112</f>
        <v>总额（万元）</v>
      </c>
      <c r="I107" s="1044">
        <f>IF(D37="同一抵押权人同一抵押物续贷",C37&amp;"（未扣减，详见特别提示）",C37)</f>
        <v>0</v>
      </c>
      <c r="K107" s="2189" t="str">
        <f>IF(D126=0,"本次评估不存在"&amp;A126,"本次评估"&amp;A126&amp;"为"&amp;D126&amp;"元人民币。")</f>
        <v>本次评估不存在——</v>
      </c>
    </row>
    <row r="108" spans="1:35" ht="15">
      <c r="A108" s="3004" t="s">
        <v>1933</v>
      </c>
      <c r="B108" s="3005"/>
      <c r="C108" s="3005"/>
      <c r="D108" s="3006"/>
      <c r="E108" s="2179"/>
      <c r="F108" s="2904" t="s">
        <v>1937</v>
      </c>
      <c r="G108" s="2905"/>
      <c r="H108" s="2278" t="str">
        <f>C113</f>
        <v>总额（万元）</v>
      </c>
      <c r="I108" s="1044">
        <f>C38</f>
        <v>0</v>
      </c>
      <c r="K108" s="2279"/>
    </row>
    <row r="109" spans="1:35" ht="15">
      <c r="A109" s="2944" t="s">
        <v>1991</v>
      </c>
      <c r="B109" s="2945"/>
      <c r="C109" s="2275" t="str">
        <f>B102</f>
        <v>总价（万元）</v>
      </c>
      <c r="D109" s="1045">
        <f ca="1">H124</f>
        <v>420</v>
      </c>
      <c r="E109" s="2179"/>
      <c r="F109" s="2904" t="s">
        <v>1939</v>
      </c>
      <c r="G109" s="2905"/>
      <c r="H109" s="2278" t="str">
        <f>C114</f>
        <v>总额（万元）</v>
      </c>
      <c r="I109" s="1044">
        <f>C39</f>
        <v>0</v>
      </c>
    </row>
    <row r="110" spans="1:35" ht="15.75">
      <c r="A110" s="2944"/>
      <c r="B110" s="2945"/>
      <c r="C110" s="2275" t="s">
        <v>1930</v>
      </c>
      <c r="D110" s="1046">
        <f ca="1">I124</f>
        <v>11092</v>
      </c>
      <c r="E110" s="2179"/>
      <c r="F110" s="2902"/>
      <c r="G110" s="2903"/>
      <c r="H110" s="2940"/>
      <c r="I110" s="2941"/>
    </row>
    <row r="111" spans="1:35" ht="28.5" customHeight="1">
      <c r="A111" s="2987" t="s">
        <v>1938</v>
      </c>
      <c r="B111" s="2988"/>
      <c r="C111" s="2278" t="str">
        <f>IF(H19="元","总额（元）","总额（万元）")</f>
        <v>总额（万元）</v>
      </c>
      <c r="D111" s="1045">
        <f>IF(D37="正常操作",I107+I108+I109,I108+I109)</f>
        <v>0</v>
      </c>
      <c r="E111" s="2179"/>
      <c r="F111" s="2884" t="str">
        <f>IF(项目基本情况!F5="已注销","——","3.房地产抵押价值")</f>
        <v>3.房地产抵押价值</v>
      </c>
      <c r="G111" s="2885"/>
      <c r="H111" s="2315" t="str">
        <f>C115</f>
        <v>总价（万元）</v>
      </c>
      <c r="I111" s="1846">
        <f ca="1">IF(F111="——","——",I103-I106)</f>
        <v>420</v>
      </c>
    </row>
    <row r="112" spans="1:35" ht="15">
      <c r="A112" s="2904" t="s">
        <v>1936</v>
      </c>
      <c r="B112" s="2905"/>
      <c r="C112" s="2278" t="str">
        <f>C111</f>
        <v>总额（万元）</v>
      </c>
      <c r="D112" s="637">
        <f>IF(D37="同一抵押权人同一抵押物续贷",C37&amp;"（未扣减，详见特别提示）",C37)</f>
        <v>0</v>
      </c>
      <c r="E112" s="2179"/>
      <c r="F112" s="2886"/>
      <c r="G112" s="2887"/>
      <c r="H112" s="2275" t="s">
        <v>1930</v>
      </c>
      <c r="I112" s="2281">
        <f ca="1">D116</f>
        <v>11092</v>
      </c>
    </row>
    <row r="113" spans="1:26" ht="15.75">
      <c r="A113" s="2904" t="s">
        <v>1937</v>
      </c>
      <c r="B113" s="2905"/>
      <c r="C113" s="2278" t="str">
        <f>C111</f>
        <v>总额（万元）</v>
      </c>
      <c r="D113" s="637">
        <f>C38</f>
        <v>0</v>
      </c>
      <c r="E113" s="2179"/>
      <c r="F113" s="2884" t="str">
        <f>IF(项目基本情况!F5="已注销及未注销","4.抵押担保权已注销时的房地产抵押价值",IF(项目基本情况!F5="已注销","3.抵押担保权已注销时的房地产抵押价值","——"))</f>
        <v>——</v>
      </c>
      <c r="G113" s="2885"/>
      <c r="H113" s="2315" t="str">
        <f>C117</f>
        <v>总价（万元）</v>
      </c>
      <c r="I113" s="1846" t="str">
        <f>IF(F113="——","——",I103-I108-I109)</f>
        <v>——</v>
      </c>
    </row>
    <row r="114" spans="1:26" ht="15">
      <c r="A114" s="2904" t="s">
        <v>1939</v>
      </c>
      <c r="B114" s="2905"/>
      <c r="C114" s="2278" t="str">
        <f>C111</f>
        <v>总额（万元）</v>
      </c>
      <c r="D114" s="637">
        <f>C39</f>
        <v>0</v>
      </c>
      <c r="E114" s="2179"/>
      <c r="F114" s="2886"/>
      <c r="G114" s="2887"/>
      <c r="H114" s="2275" t="s">
        <v>1930</v>
      </c>
      <c r="I114" s="1044" t="str">
        <f>D118</f>
        <v>——</v>
      </c>
    </row>
    <row r="115" spans="1:26" ht="15.75">
      <c r="A115" s="2944" t="str">
        <f>IF(项目基本情况!F5="已注销","——","3.房地产抵押价值")</f>
        <v>3.房地产抵押价值</v>
      </c>
      <c r="B115" s="2945"/>
      <c r="C115" s="2275" t="str">
        <f>B102</f>
        <v>总价（万元）</v>
      </c>
      <c r="D115" s="1045">
        <f ca="1">IF(A115="——","——",D109-D111)</f>
        <v>420</v>
      </c>
      <c r="E115" s="2179"/>
      <c r="F115" s="2884" t="str">
        <f>IF(项目基本情况!G5="抵押净值",IF(OR(项目基本情况!F5="已注销",项目基本情况!F5="房地产抵押价值"),"4.抵押净值","5.抵押净值"),"——")</f>
        <v>——</v>
      </c>
      <c r="G115" s="2885"/>
      <c r="H115" s="2275" t="str">
        <f>C119</f>
        <v>总价（万元）</v>
      </c>
      <c r="I115" s="1846" t="str">
        <f>IF(F115="——","——",N60)</f>
        <v>——</v>
      </c>
    </row>
    <row r="116" spans="1:26" ht="15.75" thickBot="1">
      <c r="A116" s="2944"/>
      <c r="B116" s="2945"/>
      <c r="C116" s="2275" t="s">
        <v>1992</v>
      </c>
      <c r="D116" s="1046">
        <f ca="1">ROUND(IF(D115=D109,D110,IF(H19="元",D115/B124,D115*10000/B124)),0)</f>
        <v>11092</v>
      </c>
      <c r="E116" s="2179"/>
      <c r="F116" s="2978"/>
      <c r="G116" s="2979"/>
      <c r="H116" s="2283" t="s">
        <v>1992</v>
      </c>
      <c r="I116" s="1848" t="str">
        <f ca="1">D120</f>
        <v>——</v>
      </c>
    </row>
    <row r="117" spans="1:26" ht="15.75">
      <c r="A117" s="2944" t="str">
        <f>IF(项目基本情况!F5="已注销及未注销","4.抵押担保权已注销时的房地产抵押价值",IF(项目基本情况!F5="已注销","3.抵押担保权已注销时的房地产抵押价值","——"))</f>
        <v>——</v>
      </c>
      <c r="B117" s="2945"/>
      <c r="C117" s="2275" t="str">
        <f>B102</f>
        <v>总价（万元）</v>
      </c>
      <c r="D117" s="1045" t="str">
        <f>IF(A117="——","——",D109-D113-D114)</f>
        <v>——</v>
      </c>
      <c r="E117" s="2179"/>
      <c r="F117" s="2880"/>
      <c r="G117" s="2880"/>
      <c r="H117" s="2923"/>
      <c r="I117" s="2923"/>
      <c r="N117" s="55"/>
      <c r="O117" s="55"/>
    </row>
    <row r="118" spans="1:26" s="1829" customFormat="1" ht="15">
      <c r="A118" s="2944"/>
      <c r="B118" s="2945"/>
      <c r="C118" s="2275" t="s">
        <v>1992</v>
      </c>
      <c r="D118" s="1046" t="str">
        <f>IF(A117="——","——",IF(H19="元",ROUND(D117/B124,0),ROUND(D117*10000/B124,0)))</f>
        <v>——</v>
      </c>
      <c r="E118" s="2179"/>
      <c r="F118" s="3007" t="str">
        <f>IF(B32="总价","（以上估价结果中楼面单价为总价除以建筑面积得出）","（以上估价结果中总价为楼面单价乘以建筑面积得出）")</f>
        <v>（以上估价结果中总价为楼面单价乘以建筑面积得出）</v>
      </c>
      <c r="G118" s="3007"/>
      <c r="H118" s="3007"/>
      <c r="I118" s="3007"/>
      <c r="J118" s="797"/>
      <c r="K118" s="797"/>
      <c r="L118" s="797"/>
      <c r="M118" s="797"/>
      <c r="N118" s="55"/>
      <c r="O118" s="55"/>
      <c r="P118" s="797"/>
      <c r="Q118" s="797"/>
      <c r="R118" s="797"/>
      <c r="S118" s="797"/>
      <c r="T118" s="797"/>
      <c r="U118" s="797"/>
      <c r="V118" s="797"/>
      <c r="W118" s="797"/>
      <c r="X118" s="797"/>
      <c r="Y118" s="797"/>
      <c r="Z118" s="797"/>
    </row>
    <row r="119" spans="1:26" s="1829" customFormat="1" ht="15">
      <c r="A119" s="2944" t="str">
        <f>IF(项目基本情况!G5="抵押净值",IF(OR(项目基本情况!F5="已注销",项目基本情况!F5="房地产抵押价值"),"4.抵押净值","5.抵押净值"),"——")</f>
        <v>——</v>
      </c>
      <c r="B119" s="2945"/>
      <c r="C119" s="2275" t="str">
        <f>B102</f>
        <v>总价（万元）</v>
      </c>
      <c r="D119" s="1045" t="str">
        <f>IF(A119="——","——",N60)</f>
        <v>——</v>
      </c>
      <c r="E119" s="2179"/>
      <c r="F119" s="2316"/>
      <c r="G119" s="2316"/>
      <c r="H119" s="2316"/>
      <c r="I119" s="2316"/>
      <c r="J119" s="797"/>
      <c r="K119" s="797"/>
      <c r="L119" s="797"/>
      <c r="M119" s="797"/>
      <c r="N119" s="55"/>
      <c r="O119" s="55"/>
      <c r="P119" s="797"/>
      <c r="Q119" s="797"/>
      <c r="R119" s="797"/>
      <c r="S119" s="797"/>
      <c r="T119" s="797"/>
      <c r="U119" s="797"/>
      <c r="V119" s="797"/>
      <c r="W119" s="797"/>
      <c r="X119" s="797"/>
      <c r="Y119" s="797"/>
      <c r="Z119" s="797"/>
    </row>
    <row r="120" spans="1:26" s="1829" customFormat="1" ht="15.75" thickBot="1">
      <c r="A120" s="2985"/>
      <c r="B120" s="2986"/>
      <c r="C120" s="2283" t="s">
        <v>1992</v>
      </c>
      <c r="D120" s="1047" t="str">
        <f ca="1">IF(D119=D109,D110,IF(A119="——","——",N62))</f>
        <v>——</v>
      </c>
      <c r="E120" s="2179"/>
      <c r="F120" s="2316"/>
      <c r="G120" s="2316"/>
      <c r="H120" s="2316"/>
      <c r="I120" s="2316"/>
      <c r="J120" s="797"/>
      <c r="K120" s="797"/>
      <c r="L120" s="797"/>
      <c r="M120" s="797"/>
      <c r="N120" s="55"/>
      <c r="O120" s="55"/>
      <c r="P120" s="797"/>
      <c r="Q120" s="797"/>
      <c r="R120" s="797"/>
      <c r="S120" s="797"/>
      <c r="T120" s="797"/>
      <c r="U120" s="797"/>
      <c r="V120" s="797"/>
      <c r="W120" s="797"/>
      <c r="X120" s="797"/>
      <c r="Y120" s="797"/>
      <c r="Z120" s="797"/>
    </row>
    <row r="121" spans="1:26" s="1829" customFormat="1" ht="15">
      <c r="A121" s="2924" t="s">
        <v>1993</v>
      </c>
      <c r="B121" s="2925"/>
      <c r="C121" s="2925"/>
      <c r="D121" s="2925"/>
      <c r="E121" s="2925"/>
      <c r="F121" s="2925"/>
      <c r="G121" s="2925"/>
      <c r="H121" s="2925"/>
      <c r="I121" s="2925"/>
      <c r="J121" s="797"/>
      <c r="K121" s="797"/>
      <c r="L121" s="797"/>
      <c r="M121" s="797"/>
      <c r="N121" s="797"/>
      <c r="O121" s="797"/>
      <c r="P121" s="797"/>
      <c r="Q121" s="797"/>
      <c r="R121" s="797"/>
      <c r="S121" s="797"/>
      <c r="T121" s="797"/>
      <c r="U121" s="797"/>
      <c r="V121" s="797"/>
      <c r="W121" s="797"/>
      <c r="X121" s="797"/>
      <c r="Y121" s="797"/>
      <c r="Z121" s="797"/>
    </row>
    <row r="122" spans="1:26" s="1829" customFormat="1" ht="14.25">
      <c r="A122" s="2895" t="s">
        <v>1941</v>
      </c>
      <c r="B122" s="2893" t="s">
        <v>1994</v>
      </c>
      <c r="C122" s="2893" t="s">
        <v>1995</v>
      </c>
      <c r="D122" s="2900" t="s">
        <v>1944</v>
      </c>
      <c r="E122" s="2901"/>
      <c r="F122" s="2891" t="s">
        <v>1996</v>
      </c>
      <c r="G122" s="2891"/>
      <c r="H122" s="2891" t="s">
        <v>1945</v>
      </c>
      <c r="I122" s="2892"/>
      <c r="J122" s="797"/>
      <c r="K122" s="797"/>
      <c r="L122" s="797"/>
      <c r="M122" s="797"/>
      <c r="N122" s="797"/>
      <c r="O122" s="797"/>
      <c r="P122" s="797"/>
      <c r="Q122" s="797"/>
      <c r="R122" s="797"/>
      <c r="S122" s="797"/>
      <c r="T122" s="797"/>
      <c r="U122" s="797"/>
      <c r="V122" s="797"/>
      <c r="W122" s="797"/>
      <c r="X122" s="797"/>
      <c r="Y122" s="797"/>
      <c r="Z122" s="797"/>
    </row>
    <row r="123" spans="1:26" s="1829" customFormat="1" ht="14.25">
      <c r="A123" s="2895"/>
      <c r="B123" s="2894"/>
      <c r="C123" s="2894"/>
      <c r="D123" s="1870" t="s">
        <v>1946</v>
      </c>
      <c r="E123" s="1870" t="s">
        <v>1947</v>
      </c>
      <c r="F123" s="1870" t="s">
        <v>1946</v>
      </c>
      <c r="G123" s="1870" t="s">
        <v>1948</v>
      </c>
      <c r="H123" s="1870" t="s">
        <v>1946</v>
      </c>
      <c r="I123" s="637" t="s">
        <v>1948</v>
      </c>
      <c r="J123" s="797"/>
      <c r="K123" s="797"/>
      <c r="L123" s="797"/>
      <c r="M123" s="797"/>
      <c r="N123" s="797"/>
      <c r="O123" s="797"/>
      <c r="P123" s="797"/>
      <c r="Q123" s="797"/>
      <c r="R123" s="797"/>
      <c r="S123" s="797"/>
      <c r="T123" s="797"/>
      <c r="U123" s="797"/>
      <c r="V123" s="797"/>
      <c r="W123" s="797"/>
      <c r="X123" s="797"/>
      <c r="Y123" s="797"/>
      <c r="Z123" s="797"/>
    </row>
    <row r="124" spans="1:26" s="1829" customFormat="1" ht="28.5">
      <c r="A124" s="2165" t="str">
        <f>项目基本情况!I1</f>
        <v>辽宁省大连市房地产</v>
      </c>
      <c r="B124" s="1870">
        <f>典型户型修正!B25</f>
        <v>378.66</v>
      </c>
      <c r="C124" s="400"/>
      <c r="D124" s="1870">
        <f>C35</f>
        <v>0</v>
      </c>
      <c r="E124" s="1870">
        <f>ROUND(IF(H19="元",D124/B124,D124*10000/B124),0)</f>
        <v>0</v>
      </c>
      <c r="F124" s="1870">
        <f>C36</f>
        <v>0</v>
      </c>
      <c r="G124" s="1870">
        <f>ROUND(IF(H19="元",F124/B124,F124*10000/B124),0)</f>
        <v>0</v>
      </c>
      <c r="H124" s="1870">
        <f ca="1">C33</f>
        <v>420</v>
      </c>
      <c r="I124" s="637">
        <f ca="1">C34</f>
        <v>11092</v>
      </c>
      <c r="J124" s="797"/>
      <c r="K124" s="797"/>
      <c r="L124" s="797"/>
      <c r="M124" s="797"/>
      <c r="N124" s="797"/>
      <c r="O124" s="797"/>
      <c r="P124" s="797"/>
      <c r="Q124" s="797"/>
      <c r="R124" s="797"/>
      <c r="S124" s="797"/>
      <c r="T124" s="797"/>
      <c r="U124" s="797"/>
      <c r="V124" s="797"/>
      <c r="W124" s="797"/>
      <c r="X124" s="797"/>
      <c r="Y124" s="797"/>
      <c r="Z124" s="797"/>
    </row>
    <row r="125" spans="1:26" s="1829" customFormat="1" ht="14.25">
      <c r="A125" s="2895" t="s">
        <v>1949</v>
      </c>
      <c r="B125" s="2891"/>
      <c r="C125" s="2891"/>
      <c r="D125" s="2928" t="str">
        <f>IF(H19="元",NUMBERSTRING(INT(D124),2)&amp;"元整",NUMBERSTRING(INT(D124*10000),2)&amp;"元整")</f>
        <v>零元整</v>
      </c>
      <c r="E125" s="2929"/>
      <c r="F125" s="2928" t="str">
        <f>IF(H19="元",NUMBERSTRING(INT(F124),2)&amp;"元整",NUMBERSTRING(INT(F124*10000),2)&amp;"元整")</f>
        <v>零元整</v>
      </c>
      <c r="G125" s="2929"/>
      <c r="H125" s="2928" t="str">
        <f ca="1">IF(H19="元",NUMBERSTRING(INT(H124),2)&amp;"元整",NUMBERSTRING(INT(H124*10000),2)&amp;"元整")</f>
        <v>肆佰贰拾万元整</v>
      </c>
      <c r="I125" s="2993"/>
      <c r="J125" s="797"/>
      <c r="K125" s="797"/>
      <c r="L125" s="797"/>
      <c r="M125" s="797"/>
      <c r="N125" s="797"/>
      <c r="O125" s="797"/>
      <c r="P125" s="797"/>
      <c r="Q125" s="797"/>
      <c r="R125" s="797"/>
      <c r="S125" s="797"/>
      <c r="T125" s="797"/>
      <c r="U125" s="797"/>
      <c r="V125" s="797"/>
      <c r="W125" s="797"/>
      <c r="X125" s="797"/>
      <c r="Y125" s="797"/>
      <c r="Z125" s="797"/>
    </row>
    <row r="126" spans="1:26" s="1829" customFormat="1" ht="15">
      <c r="A126" s="2930" t="str">
        <f>IF(项目基本情况!D5="房地产市场价值","——",MID(A111,3,LEN(A111)-2))</f>
        <v>——</v>
      </c>
      <c r="B126" s="2931"/>
      <c r="C126" s="2932"/>
      <c r="D126" s="2921">
        <f>I106</f>
        <v>0</v>
      </c>
      <c r="E126" s="2931"/>
      <c r="F126" s="2931"/>
      <c r="G126" s="2931"/>
      <c r="H126" s="2931"/>
      <c r="I126" s="2980"/>
      <c r="J126" s="797"/>
      <c r="K126" s="797"/>
      <c r="L126" s="797"/>
      <c r="M126" s="797"/>
      <c r="N126" s="797"/>
      <c r="O126" s="797"/>
      <c r="P126" s="797"/>
      <c r="Q126" s="797"/>
      <c r="R126" s="797"/>
      <c r="S126" s="797"/>
      <c r="T126" s="797"/>
      <c r="U126" s="797"/>
      <c r="V126" s="797"/>
      <c r="W126" s="797"/>
      <c r="X126" s="797"/>
      <c r="Y126" s="797"/>
      <c r="Z126" s="797"/>
    </row>
    <row r="127" spans="1:26" s="1829" customFormat="1" ht="14.25">
      <c r="A127" s="2933" t="s">
        <v>1949</v>
      </c>
      <c r="B127" s="2934"/>
      <c r="C127" s="2935"/>
      <c r="D127" s="2981">
        <f>H110</f>
        <v>0</v>
      </c>
      <c r="E127" s="2982"/>
      <c r="F127" s="2982"/>
      <c r="G127" s="2982"/>
      <c r="H127" s="2982"/>
      <c r="I127" s="2983"/>
      <c r="J127" s="797"/>
      <c r="K127" s="797"/>
      <c r="L127" s="797"/>
      <c r="M127" s="797"/>
      <c r="N127" s="797"/>
      <c r="O127" s="797"/>
      <c r="P127" s="797"/>
      <c r="Q127" s="797"/>
      <c r="R127" s="797"/>
      <c r="S127" s="797"/>
      <c r="T127" s="797"/>
      <c r="U127" s="797"/>
      <c r="V127" s="797"/>
      <c r="W127" s="797"/>
      <c r="X127" s="797"/>
      <c r="Y127" s="797"/>
      <c r="Z127" s="797"/>
    </row>
    <row r="128" spans="1:26" s="1829" customFormat="1" ht="15">
      <c r="A128" s="2919" t="str">
        <f>IF(项目基本情况!D5="房地产市场价值","——",MID(A115,3,LEN(A115)-2))</f>
        <v>——</v>
      </c>
      <c r="B128" s="2920"/>
      <c r="C128" s="2920"/>
      <c r="D128" s="2921">
        <f ca="1">I111</f>
        <v>420</v>
      </c>
      <c r="E128" s="2931"/>
      <c r="F128" s="2931"/>
      <c r="G128" s="2931"/>
      <c r="H128" s="2931"/>
      <c r="I128" s="2980"/>
      <c r="J128" s="797"/>
      <c r="K128" s="797"/>
      <c r="L128" s="797"/>
      <c r="M128" s="797"/>
      <c r="N128" s="797"/>
      <c r="O128" s="797"/>
      <c r="P128" s="797"/>
      <c r="Q128" s="797"/>
      <c r="R128" s="797"/>
      <c r="S128" s="797"/>
      <c r="T128" s="797"/>
      <c r="U128" s="797"/>
      <c r="V128" s="797"/>
      <c r="W128" s="797"/>
      <c r="X128" s="797"/>
      <c r="Y128" s="797"/>
      <c r="Z128" s="797"/>
    </row>
    <row r="129" spans="1:26" s="1829" customFormat="1" ht="14.25">
      <c r="A129" s="2895" t="s">
        <v>1949</v>
      </c>
      <c r="B129" s="2891"/>
      <c r="C129" s="2891"/>
      <c r="D129" s="2981">
        <f ca="1">I112</f>
        <v>11092</v>
      </c>
      <c r="E129" s="2982"/>
      <c r="F129" s="2982"/>
      <c r="G129" s="2982"/>
      <c r="H129" s="2982"/>
      <c r="I129" s="2983"/>
      <c r="J129" s="797"/>
      <c r="K129" s="797"/>
      <c r="L129" s="797"/>
      <c r="M129" s="797"/>
      <c r="N129" s="797"/>
      <c r="O129" s="797"/>
      <c r="P129" s="797"/>
      <c r="Q129" s="797"/>
      <c r="R129" s="797"/>
      <c r="S129" s="797"/>
      <c r="T129" s="797"/>
      <c r="U129" s="797"/>
      <c r="V129" s="797"/>
      <c r="W129" s="797"/>
      <c r="X129" s="797"/>
      <c r="Y129" s="797"/>
      <c r="Z129" s="797"/>
    </row>
    <row r="130" spans="1:26" s="1829" customFormat="1" ht="15.75" thickBot="1">
      <c r="A130" s="2919" t="str">
        <f>IF(项目基本情况!D5="房地产市场价值","——",MID(A117,3,LEN(A117)-2))</f>
        <v>——</v>
      </c>
      <c r="B130" s="2920"/>
      <c r="C130" s="2920"/>
      <c r="D130" s="2875" t="str">
        <f>I113</f>
        <v>——</v>
      </c>
      <c r="E130" s="2876"/>
      <c r="F130" s="2876"/>
      <c r="G130" s="2876"/>
      <c r="H130" s="2876"/>
      <c r="I130" s="2877"/>
      <c r="J130" s="797"/>
      <c r="K130" s="797"/>
      <c r="L130" s="797"/>
      <c r="M130" s="797"/>
      <c r="N130" s="797"/>
      <c r="O130" s="797"/>
      <c r="P130" s="797"/>
      <c r="Q130" s="797"/>
      <c r="R130" s="797"/>
      <c r="S130" s="797"/>
      <c r="T130" s="797"/>
      <c r="U130" s="797"/>
      <c r="V130" s="797"/>
      <c r="W130" s="797"/>
      <c r="X130" s="797"/>
      <c r="Y130" s="797"/>
      <c r="Z130" s="797"/>
    </row>
    <row r="131" spans="1:26" s="1829" customFormat="1" ht="15.75" thickTop="1" thickBot="1">
      <c r="A131" s="2895" t="s">
        <v>1949</v>
      </c>
      <c r="B131" s="2891"/>
      <c r="C131" s="2976"/>
      <c r="D131" s="2922" t="str">
        <f>I114</f>
        <v>——</v>
      </c>
      <c r="E131" s="2922"/>
      <c r="F131" s="2922"/>
      <c r="G131" s="2922"/>
      <c r="H131" s="2922"/>
      <c r="I131" s="2922"/>
      <c r="J131" s="797"/>
      <c r="K131" s="797"/>
      <c r="L131" s="797"/>
      <c r="M131" s="797"/>
      <c r="N131" s="797"/>
      <c r="O131" s="797"/>
      <c r="P131" s="797"/>
      <c r="Q131" s="797"/>
      <c r="R131" s="797"/>
      <c r="S131" s="797"/>
      <c r="T131" s="797"/>
      <c r="U131" s="797"/>
      <c r="V131" s="797"/>
      <c r="W131" s="797"/>
      <c r="X131" s="797"/>
      <c r="Y131" s="797"/>
      <c r="Z131" s="797"/>
    </row>
    <row r="132" spans="1:26" s="1829" customFormat="1" ht="16.5" thickTop="1" thickBot="1">
      <c r="A132" s="2919" t="str">
        <f>IF(项目基本情况!D5="房地产市场价值","——",MID(F115,3,LEN(F115)-2))</f>
        <v>——</v>
      </c>
      <c r="B132" s="2920"/>
      <c r="C132" s="2921"/>
      <c r="D132" s="2984" t="str">
        <f>I115</f>
        <v>——</v>
      </c>
      <c r="E132" s="2984"/>
      <c r="F132" s="2984"/>
      <c r="G132" s="2984"/>
      <c r="H132" s="2984"/>
      <c r="I132" s="2984"/>
      <c r="J132" s="797"/>
      <c r="K132" s="797"/>
      <c r="L132" s="797"/>
      <c r="M132" s="797"/>
      <c r="N132" s="797"/>
      <c r="O132" s="797"/>
      <c r="P132" s="797"/>
      <c r="Q132" s="797"/>
      <c r="R132" s="797"/>
      <c r="S132" s="797"/>
      <c r="T132" s="797"/>
      <c r="U132" s="797"/>
      <c r="V132" s="797"/>
      <c r="W132" s="797"/>
      <c r="X132" s="797"/>
      <c r="Y132" s="797"/>
      <c r="Z132" s="797"/>
    </row>
    <row r="133" spans="1:26" s="1829" customFormat="1" ht="15.75" thickTop="1" thickBot="1">
      <c r="A133" s="2989" t="s">
        <v>1949</v>
      </c>
      <c r="B133" s="2990"/>
      <c r="C133" s="2990"/>
      <c r="D133" s="2994">
        <f>H117</f>
        <v>0</v>
      </c>
      <c r="E133" s="2995"/>
      <c r="F133" s="2995"/>
      <c r="G133" s="2995"/>
      <c r="H133" s="2995"/>
      <c r="I133" s="2996"/>
      <c r="J133" s="797"/>
      <c r="K133" s="797"/>
      <c r="L133" s="797"/>
      <c r="M133" s="797"/>
      <c r="N133" s="797"/>
      <c r="O133" s="797"/>
      <c r="P133" s="797"/>
      <c r="Q133" s="797"/>
      <c r="R133" s="797"/>
      <c r="S133" s="797"/>
      <c r="T133" s="797"/>
      <c r="U133" s="797"/>
      <c r="V133" s="797"/>
      <c r="W133" s="797"/>
      <c r="X133" s="797"/>
      <c r="Y133" s="797"/>
      <c r="Z133" s="797"/>
    </row>
    <row r="134" spans="1:26" s="1829" customFormat="1" ht="12.75">
      <c r="A134" s="2262" t="str">
        <f>IF(H19="元","单位：平方米、元、元/平方米（币种：人民币）","单位：平方米、万元、元/平方米（币种：人民币）")</f>
        <v>单位：平方米、万元、元/平方米（币种：人民币）</v>
      </c>
      <c r="B134" s="2262"/>
      <c r="C134" s="2262"/>
      <c r="D134" s="2262"/>
      <c r="E134" s="2262"/>
      <c r="F134" s="2262"/>
      <c r="G134" s="2262"/>
      <c r="H134" s="2262"/>
      <c r="I134" s="2262"/>
      <c r="J134" s="797"/>
      <c r="K134" s="797"/>
      <c r="L134" s="797"/>
      <c r="M134" s="797"/>
      <c r="N134" s="797"/>
      <c r="O134" s="797"/>
      <c r="P134" s="797"/>
      <c r="Q134" s="797"/>
      <c r="R134" s="797"/>
      <c r="S134" s="797"/>
      <c r="T134" s="797"/>
      <c r="U134" s="797"/>
      <c r="V134" s="797"/>
      <c r="W134" s="797"/>
      <c r="X134" s="797"/>
      <c r="Y134" s="797"/>
      <c r="Z134" s="797"/>
    </row>
    <row r="135" spans="1:26" s="1829" customFormat="1" ht="13.5" thickBot="1">
      <c r="A135" s="2974" t="str">
        <f>IF(B32="总价","（以上估价结果中楼面单价为总价除以建筑面积得出）","（以上估价结果中总价为楼面单价乘以建筑面积得出）")</f>
        <v>（以上估价结果中总价为楼面单价乘以建筑面积得出）</v>
      </c>
      <c r="B135" s="2974"/>
      <c r="C135" s="2974"/>
      <c r="D135" s="2974"/>
      <c r="E135" s="2974"/>
      <c r="F135" s="2974"/>
      <c r="G135" s="2974"/>
      <c r="H135" s="2974"/>
      <c r="I135" s="2974"/>
      <c r="J135" s="797"/>
      <c r="K135" s="797"/>
      <c r="L135" s="797"/>
      <c r="M135" s="797"/>
      <c r="N135" s="797"/>
      <c r="O135" s="797"/>
      <c r="P135" s="797"/>
      <c r="Q135" s="797"/>
      <c r="R135" s="797"/>
      <c r="S135" s="797"/>
      <c r="T135" s="797"/>
      <c r="U135" s="797"/>
      <c r="V135" s="797"/>
      <c r="W135" s="797"/>
      <c r="X135" s="797"/>
      <c r="Y135" s="797"/>
      <c r="Z135" s="797"/>
    </row>
    <row r="136" spans="1:26" s="1829" customFormat="1" ht="21.75" customHeight="1">
      <c r="A136" s="2284" t="s">
        <v>1950</v>
      </c>
      <c r="B136" s="2285"/>
      <c r="C136" s="2286" t="s">
        <v>1951</v>
      </c>
      <c r="D136" s="2287"/>
      <c r="E136" s="2287"/>
      <c r="F136" s="2287"/>
      <c r="G136" s="2287"/>
      <c r="H136" s="2288"/>
      <c r="I136" s="2289"/>
      <c r="J136" s="797"/>
      <c r="K136" s="797"/>
      <c r="L136" s="797"/>
      <c r="M136" s="797"/>
      <c r="N136" s="797"/>
      <c r="O136" s="797"/>
      <c r="P136" s="797"/>
      <c r="Q136" s="797"/>
      <c r="R136" s="797"/>
      <c r="S136" s="797"/>
      <c r="T136" s="797"/>
      <c r="U136" s="797"/>
      <c r="V136" s="797"/>
      <c r="W136" s="797"/>
      <c r="X136" s="797"/>
      <c r="Y136" s="797"/>
      <c r="Z136" s="797"/>
    </row>
    <row r="137" spans="1:26" s="1829" customFormat="1" ht="21.75" customHeight="1">
      <c r="A137" s="2290">
        <v>1</v>
      </c>
      <c r="B137" s="2291"/>
      <c r="C137" s="2291"/>
      <c r="D137" s="2287"/>
      <c r="E137" s="2287"/>
      <c r="F137" s="2287"/>
      <c r="G137" s="2287"/>
      <c r="H137" s="2288"/>
      <c r="I137" s="2289"/>
      <c r="J137" s="797"/>
      <c r="K137" s="797"/>
      <c r="L137" s="797"/>
      <c r="M137" s="797"/>
      <c r="N137" s="797"/>
      <c r="O137" s="797"/>
      <c r="P137" s="797"/>
      <c r="Q137" s="797"/>
      <c r="R137" s="797"/>
      <c r="S137" s="797"/>
      <c r="T137" s="797"/>
      <c r="U137" s="797"/>
      <c r="V137" s="797"/>
      <c r="W137" s="797"/>
      <c r="X137" s="797"/>
      <c r="Y137" s="797"/>
      <c r="Z137" s="797"/>
    </row>
    <row r="138" spans="1:26" s="1829" customFormat="1" ht="21.75" customHeight="1">
      <c r="A138" s="2290">
        <v>2</v>
      </c>
      <c r="B138" s="2291"/>
      <c r="C138" s="2291"/>
      <c r="D138" s="2287"/>
      <c r="E138" s="2287"/>
      <c r="F138" s="2287"/>
      <c r="G138" s="2287"/>
      <c r="H138" s="2288"/>
      <c r="I138" s="2289"/>
      <c r="J138" s="797"/>
      <c r="K138" s="797"/>
      <c r="L138" s="797"/>
      <c r="M138" s="797"/>
      <c r="N138" s="797"/>
      <c r="O138" s="797"/>
      <c r="P138" s="797"/>
      <c r="Q138" s="797"/>
      <c r="R138" s="797"/>
      <c r="S138" s="797"/>
      <c r="T138" s="797"/>
      <c r="U138" s="797"/>
      <c r="V138" s="797"/>
      <c r="W138" s="797"/>
      <c r="X138" s="797"/>
      <c r="Y138" s="797"/>
      <c r="Z138" s="797"/>
    </row>
    <row r="139" spans="1:26" s="1829" customFormat="1" ht="21.75" customHeight="1">
      <c r="A139" s="2290">
        <v>3</v>
      </c>
      <c r="B139" s="2291"/>
      <c r="C139" s="2291"/>
      <c r="D139" s="2287"/>
      <c r="E139" s="2287"/>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29" customFormat="1" ht="21.75" customHeight="1">
      <c r="A140" s="2292"/>
      <c r="B140" s="2293"/>
      <c r="C140" s="2293"/>
      <c r="D140" s="2294"/>
      <c r="E140" s="2294"/>
      <c r="F140" s="2294"/>
      <c r="G140" s="2294"/>
      <c r="H140" s="2295"/>
      <c r="I140" s="2296"/>
      <c r="J140" s="797"/>
      <c r="K140" s="797"/>
      <c r="L140" s="797"/>
      <c r="M140" s="797"/>
      <c r="N140" s="797"/>
      <c r="O140" s="797"/>
      <c r="P140" s="797"/>
      <c r="Q140" s="797"/>
      <c r="R140" s="797"/>
      <c r="S140" s="797"/>
      <c r="T140" s="797"/>
      <c r="U140" s="797"/>
      <c r="V140" s="797"/>
      <c r="W140" s="797"/>
      <c r="X140" s="797"/>
      <c r="Y140" s="797"/>
      <c r="Z140" s="797"/>
    </row>
    <row r="141" spans="1:26" s="1829" customFormat="1" ht="21.75" customHeight="1">
      <c r="A141" s="2291"/>
      <c r="B141" s="2291"/>
      <c r="C141" s="2291"/>
      <c r="D141" s="2287"/>
      <c r="E141" s="2287"/>
      <c r="F141" s="2287"/>
      <c r="G141" s="2287"/>
      <c r="H141" s="2288"/>
      <c r="I141" s="797"/>
      <c r="J141" s="797"/>
      <c r="K141" s="797"/>
      <c r="L141" s="797"/>
      <c r="M141" s="797"/>
      <c r="N141" s="797"/>
      <c r="O141" s="797"/>
      <c r="P141" s="797"/>
      <c r="Q141" s="797"/>
      <c r="R141" s="797"/>
      <c r="S141" s="797"/>
      <c r="T141" s="797"/>
      <c r="U141" s="797"/>
      <c r="V141" s="797"/>
      <c r="W141" s="797"/>
      <c r="X141" s="797"/>
      <c r="Y141" s="797"/>
      <c r="Z141" s="797"/>
    </row>
    <row r="142" spans="1:26" s="1829" customFormat="1" ht="21.75" customHeight="1">
      <c r="A142" s="797"/>
      <c r="B142" s="797"/>
      <c r="C142" s="797"/>
      <c r="D142" s="797"/>
      <c r="E142" s="797"/>
      <c r="F142" s="2297" t="s">
        <v>1952</v>
      </c>
      <c r="G142" s="2298"/>
      <c r="H142" s="2298"/>
      <c r="I142" s="2299" t="s">
        <v>1953</v>
      </c>
      <c r="J142" s="797"/>
      <c r="K142" s="797"/>
      <c r="L142" s="797"/>
      <c r="M142" s="797"/>
      <c r="N142" s="797"/>
      <c r="O142" s="797"/>
      <c r="P142" s="797"/>
      <c r="Q142" s="797"/>
      <c r="R142" s="797"/>
      <c r="S142" s="797"/>
      <c r="T142" s="797"/>
      <c r="U142" s="797"/>
      <c r="V142" s="797"/>
      <c r="W142" s="797"/>
      <c r="X142" s="797"/>
      <c r="Y142" s="797"/>
      <c r="Z142" s="797"/>
    </row>
    <row r="143" spans="1:26" s="1829" customFormat="1" ht="21.75" customHeight="1">
      <c r="A143" s="797"/>
      <c r="B143" s="2300"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2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29" customFormat="1" ht="21.75" customHeight="1">
      <c r="A145" s="797"/>
      <c r="B145" s="2298"/>
      <c r="C145" s="2298"/>
      <c r="D145" s="2298"/>
      <c r="E145" s="2298"/>
      <c r="F145" s="2298"/>
      <c r="G145" s="2298"/>
      <c r="H145" s="2298"/>
      <c r="I145" s="2299" t="s">
        <v>1955</v>
      </c>
      <c r="J145" s="797"/>
      <c r="K145" s="797"/>
      <c r="L145" s="797"/>
      <c r="M145" s="797"/>
      <c r="N145" s="797"/>
      <c r="O145" s="797"/>
      <c r="P145" s="797"/>
      <c r="Q145" s="797"/>
      <c r="R145" s="797"/>
      <c r="S145" s="797"/>
      <c r="T145" s="797"/>
      <c r="U145" s="797"/>
      <c r="V145" s="797"/>
      <c r="W145" s="797"/>
      <c r="X145" s="797"/>
      <c r="Y145" s="797"/>
      <c r="Z145" s="797"/>
    </row>
    <row r="146" spans="1:26" s="1829" customFormat="1" ht="21.75" customHeight="1">
      <c r="A146" s="797"/>
      <c r="B146" s="2300"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29" customFormat="1" ht="21.75" customHeight="1">
      <c r="A147" s="797"/>
      <c r="B147" s="230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29" customFormat="1" ht="21.75" customHeight="1">
      <c r="A148" s="797"/>
      <c r="B148" s="2298"/>
      <c r="C148" s="2298"/>
      <c r="D148" s="2298"/>
      <c r="E148" s="2298"/>
      <c r="F148" s="2298"/>
      <c r="G148" s="2298"/>
      <c r="H148" s="2298"/>
      <c r="I148" s="2299" t="s">
        <v>1955</v>
      </c>
      <c r="J148" s="797"/>
      <c r="K148" s="797"/>
      <c r="L148" s="797"/>
      <c r="M148" s="797"/>
      <c r="N148" s="797"/>
      <c r="O148" s="797"/>
      <c r="P148" s="797"/>
      <c r="Q148" s="797"/>
      <c r="R148" s="797"/>
      <c r="S148" s="797"/>
      <c r="T148" s="797"/>
      <c r="U148" s="797"/>
      <c r="V148" s="797"/>
      <c r="W148" s="797"/>
      <c r="X148" s="797"/>
      <c r="Y148" s="797"/>
      <c r="Z148" s="797"/>
    </row>
    <row r="149" spans="1:26" s="1829" customFormat="1" ht="21.75" customHeight="1">
      <c r="A149" s="797"/>
      <c r="B149" s="2300"/>
      <c r="C149" s="2301"/>
      <c r="D149" s="2302"/>
      <c r="E149" s="2302"/>
      <c r="F149" s="230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0"/>
      <c r="C150" s="2301"/>
      <c r="D150" s="2302"/>
      <c r="E150" s="230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2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2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2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2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2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2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2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2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2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2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2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2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2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2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2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2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2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2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2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2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2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2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2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2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29" customFormat="1" ht="21.75" customHeight="1">
      <c r="F519" s="2180"/>
      <c r="G519" s="2180"/>
      <c r="H519" s="2180"/>
      <c r="I519" s="218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9">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13"/>
      <c r="C1" s="162"/>
      <c r="D1" s="162"/>
      <c r="E1" s="162"/>
      <c r="F1" s="162"/>
      <c r="G1" s="163"/>
    </row>
    <row r="2" spans="1:7" s="164" customFormat="1" ht="18" customHeight="1">
      <c r="A2" s="165" t="s">
        <v>1998</v>
      </c>
      <c r="B2" s="166">
        <f ca="1">IF(D2="——",IF(C2="元",C52,ROUND(C52/10000,0)),IF(C2="元",C52,ROUND(C52/10000,0))-E2)</f>
        <v>142</v>
      </c>
      <c r="C2" s="163" t="str">
        <f>'数据-取费表'!B3</f>
        <v>万元</v>
      </c>
      <c r="D2" s="2317" t="s">
        <v>1248</v>
      </c>
      <c r="E2" s="1538" t="e">
        <f ca="1">SUMIF(INDIRECT("'"&amp;G2&amp;"'"&amp;"!A:A"),"承租人权益价值",INDIRECT("'"&amp;G2&amp;"'"&amp;"!c:c"))</f>
        <v>#REF!</v>
      </c>
      <c r="F2" s="2318" t="str">
        <f>C2</f>
        <v>万元</v>
      </c>
      <c r="G2" s="1889"/>
    </row>
    <row r="3" spans="1:7" s="164" customFormat="1" ht="18" customHeight="1" thickBot="1">
      <c r="A3" s="167" t="s">
        <v>1999</v>
      </c>
      <c r="B3" s="168" t="e">
        <f ca="1">ROUND(C52/IF(B1="仅计算典型户型",'数据-取费表'!E5,'数据-取费表'!B5),0)</f>
        <v>#DIV/0!</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C6+C7+C8</f>
        <v>1030500</v>
      </c>
      <c r="D5" s="195" t="s">
        <v>2004</v>
      </c>
      <c r="E5" s="1524" t="s">
        <v>2005</v>
      </c>
      <c r="F5" s="1524" t="s">
        <v>2006</v>
      </c>
      <c r="G5" s="174"/>
    </row>
    <row r="6" spans="1:7" s="175" customFormat="1" ht="13.5" customHeight="1">
      <c r="A6" s="176" t="s">
        <v>2007</v>
      </c>
      <c r="B6" s="177" t="s">
        <v>2008</v>
      </c>
      <c r="C6" s="1523">
        <v>1000000</v>
      </c>
      <c r="D6" s="1525"/>
      <c r="E6" s="1526"/>
      <c r="F6" s="1526"/>
      <c r="G6" s="179"/>
    </row>
    <row r="7" spans="1:7" s="175" customFormat="1" ht="13.5" customHeight="1">
      <c r="A7" s="176" t="s">
        <v>2009</v>
      </c>
      <c r="B7" s="177" t="s">
        <v>2010</v>
      </c>
      <c r="C7" s="199">
        <f>ROUND(C6*F7,0)</f>
        <v>30500</v>
      </c>
      <c r="D7" s="199"/>
      <c r="E7" s="1526"/>
      <c r="F7" s="1527">
        <f>'数据-取费表'!E36+'数据-取费表'!E37</f>
        <v>3.0499999999999999E-2</v>
      </c>
      <c r="G7" s="179"/>
    </row>
    <row r="8" spans="1:7" s="180" customFormat="1">
      <c r="A8" s="176" t="s">
        <v>2011</v>
      </c>
      <c r="B8" s="177" t="s">
        <v>2012</v>
      </c>
      <c r="C8" s="199">
        <f>IF(G8="已包含在土地购买价格中","0",'数据-取费表'!E13)</f>
        <v>0</v>
      </c>
      <c r="D8" s="1528"/>
      <c r="E8" s="199"/>
      <c r="F8" s="1527"/>
      <c r="G8" s="2319"/>
    </row>
    <row r="9" spans="1:7" s="175" customFormat="1" ht="13.5" customHeight="1">
      <c r="A9" s="1296" t="s">
        <v>949</v>
      </c>
      <c r="B9" s="181" t="s">
        <v>2013</v>
      </c>
      <c r="C9" s="1529">
        <f>ROUND(D9*E9,0)</f>
        <v>0</v>
      </c>
      <c r="D9" s="1530">
        <f>IF('数据-取费表'!B10="住宅",IF(B1="仅计算典型户型",'数据-取费表'!E5,'数据-取费表'!B5),0)</f>
        <v>0</v>
      </c>
      <c r="E9" s="1529">
        <f>'数据-取费表'!E11</f>
        <v>160</v>
      </c>
      <c r="F9" s="1527"/>
      <c r="G9" s="182"/>
    </row>
    <row r="10" spans="1:7" s="175" customFormat="1" ht="13.5" customHeight="1">
      <c r="A10" s="1296" t="s">
        <v>950</v>
      </c>
      <c r="B10" s="181" t="s">
        <v>2014</v>
      </c>
      <c r="C10" s="1529">
        <f>ROUND(D10*E10,0)</f>
        <v>0</v>
      </c>
      <c r="D10" s="1530">
        <f>IF('数据-取费表'!B10&lt;&gt;"住宅",IF(B1="仅计算典型户型",'数据-取费表'!E5,'数据-取费表'!B5),0)</f>
        <v>0</v>
      </c>
      <c r="E10" s="1529">
        <f>'数据-取费表'!E12</f>
        <v>200</v>
      </c>
      <c r="F10" s="1527"/>
      <c r="G10" s="182"/>
    </row>
    <row r="11" spans="1:7" s="175" customFormat="1" ht="13.5" hidden="1" customHeight="1">
      <c r="A11" s="176" t="s">
        <v>4</v>
      </c>
      <c r="B11" s="177" t="s">
        <v>2015</v>
      </c>
      <c r="C11" s="195"/>
      <c r="D11" s="199"/>
      <c r="E11" s="1526"/>
      <c r="F11" s="1526"/>
      <c r="G11" s="179"/>
    </row>
    <row r="12" spans="1:7" s="175" customFormat="1" ht="13.5" hidden="1" customHeight="1">
      <c r="A12" s="176" t="s">
        <v>5</v>
      </c>
      <c r="B12" s="177" t="s">
        <v>2016</v>
      </c>
      <c r="C12" s="195">
        <v>0</v>
      </c>
      <c r="D12" s="199"/>
      <c r="E12" s="1531"/>
      <c r="F12" s="1527">
        <v>3.0499999999999999E-2</v>
      </c>
      <c r="G12" s="179"/>
    </row>
    <row r="13" spans="1:7" s="175" customFormat="1" ht="13.5" hidden="1" customHeight="1">
      <c r="A13" s="176" t="s">
        <v>6</v>
      </c>
      <c r="B13" s="177" t="s">
        <v>2017</v>
      </c>
      <c r="C13" s="195"/>
      <c r="D13" s="199"/>
      <c r="E13" s="1526"/>
      <c r="F13" s="1526"/>
      <c r="G13" s="179"/>
    </row>
    <row r="14" spans="1:7" s="175" customFormat="1" ht="13.5" hidden="1" customHeight="1">
      <c r="A14" s="176" t="s">
        <v>7</v>
      </c>
      <c r="B14" s="177" t="s">
        <v>2012</v>
      </c>
      <c r="C14" s="195"/>
      <c r="D14" s="199"/>
      <c r="E14" s="1526"/>
      <c r="F14" s="1526"/>
      <c r="G14" s="179" t="s">
        <v>2018</v>
      </c>
    </row>
    <row r="15" spans="1:7" s="175" customFormat="1" ht="13.5" hidden="1" customHeight="1">
      <c r="A15" s="176" t="s">
        <v>8</v>
      </c>
      <c r="B15" s="177" t="s">
        <v>2019</v>
      </c>
      <c r="C15" s="199"/>
      <c r="D15" s="199"/>
      <c r="E15" s="1526"/>
      <c r="F15" s="1526"/>
      <c r="G15" s="179" t="s">
        <v>2020</v>
      </c>
    </row>
    <row r="16" spans="1:7" s="175" customFormat="1" ht="13.5" hidden="1" customHeight="1">
      <c r="A16" s="176" t="s">
        <v>9</v>
      </c>
      <c r="B16" s="177" t="s">
        <v>2012</v>
      </c>
      <c r="C16" s="199"/>
      <c r="D16" s="199"/>
      <c r="E16" s="1526"/>
      <c r="F16" s="1526"/>
      <c r="G16" s="179"/>
    </row>
    <row r="17" spans="1:7" s="175" customFormat="1" ht="13.5" hidden="1" customHeight="1">
      <c r="A17" s="176" t="s">
        <v>10</v>
      </c>
      <c r="B17" s="177" t="s">
        <v>2021</v>
      </c>
      <c r="C17" s="1532"/>
      <c r="D17" s="1532"/>
      <c r="E17" s="1532"/>
      <c r="F17" s="1532"/>
      <c r="G17" s="179" t="s">
        <v>2020</v>
      </c>
    </row>
    <row r="18" spans="1:7" s="175" customFormat="1" ht="13.5" hidden="1" customHeight="1">
      <c r="A18" s="176" t="s">
        <v>11</v>
      </c>
      <c r="B18" s="177" t="s">
        <v>2022</v>
      </c>
      <c r="C18" s="199">
        <v>0</v>
      </c>
      <c r="D18" s="199"/>
      <c r="E18" s="1526"/>
      <c r="F18" s="1527">
        <v>3.0499999999999999E-2</v>
      </c>
      <c r="G18" s="179" t="s">
        <v>2023</v>
      </c>
    </row>
    <row r="19" spans="1:7" s="180" customFormat="1" ht="13.5" customHeight="1">
      <c r="A19" s="204" t="s">
        <v>2024</v>
      </c>
      <c r="B19" s="173" t="s">
        <v>2025</v>
      </c>
      <c r="C19" s="195">
        <f>IF(G19="已包含在土地取得成本中","0",ROUND(D19*E19,0))</f>
        <v>0</v>
      </c>
      <c r="D19" s="1533">
        <f>IF(B1="仅计算典型户型",'数据-取费表'!E5,'数据-取费表'!B5)</f>
        <v>0</v>
      </c>
      <c r="E19" s="195">
        <f>'数据-取费表'!E15</f>
        <v>200</v>
      </c>
      <c r="F19" s="196"/>
      <c r="G19" s="2319"/>
    </row>
    <row r="20" spans="1:7" s="175" customFormat="1" ht="13.5" customHeight="1">
      <c r="A20" s="204" t="s">
        <v>2026</v>
      </c>
      <c r="B20" s="173" t="s">
        <v>2027</v>
      </c>
      <c r="C20" s="183">
        <f>ROUND((C5+C19)*F20,0)</f>
        <v>20610</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101202</v>
      </c>
      <c r="D22" s="185">
        <f ca="1">C26</f>
        <v>1E-3</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47">
        <f ca="1">ROUND(IF('数据-取费表'!B23&lt;=1,C5*F22*'数据-取费表'!B24,C5*(POWER((1+F22),'数据-取费表'!B24)-1)),0)</f>
        <v>100223</v>
      </c>
      <c r="D23" s="188"/>
      <c r="E23" s="188"/>
      <c r="F23" s="189"/>
      <c r="G23" s="190" t="s">
        <v>2037</v>
      </c>
    </row>
    <row r="24" spans="1:7" s="175" customFormat="1" ht="13.5" customHeight="1">
      <c r="A24" s="176" t="s">
        <v>2009</v>
      </c>
      <c r="B24" s="177" t="s">
        <v>2038</v>
      </c>
      <c r="C24" s="1447">
        <f ca="1">ROUND(IF('数据-取费表'!B23&lt;=1,C19*F22*('数据-取费表'!B20/2+'数据-取费表'!B22),C19*(POWER((1+F22),('数据-取费表'!B20/2+'数据-取费表'!B22))-1)),0)</f>
        <v>0</v>
      </c>
      <c r="D24" s="188"/>
      <c r="E24" s="188"/>
      <c r="F24" s="189"/>
      <c r="G24" s="190" t="s">
        <v>2039</v>
      </c>
    </row>
    <row r="25" spans="1:7" s="175" customFormat="1" ht="24">
      <c r="A25" s="176" t="s">
        <v>2011</v>
      </c>
      <c r="B25" s="177" t="s">
        <v>2040</v>
      </c>
      <c r="C25" s="1447">
        <f ca="1">ROUND(IF('数据-取费表'!B23&lt;=1,C20*F22*'数据-取费表'!B24/2,C20*(POWER((1+F22),'数据-取费表'!B24/2)-1)),0)</f>
        <v>979</v>
      </c>
      <c r="D25" s="188"/>
      <c r="E25" s="191"/>
      <c r="F25" s="189"/>
      <c r="G25" s="192" t="s">
        <v>2041</v>
      </c>
    </row>
    <row r="26" spans="1:7" s="175" customFormat="1">
      <c r="A26" s="176" t="s">
        <v>2042</v>
      </c>
      <c r="B26" s="177" t="s">
        <v>2043</v>
      </c>
      <c r="C26" s="188">
        <f ca="1">ROUND(IF('数据-取费表'!B23&lt;=1,F21*F22*'数据-取费表'!B24/2,F21*(POWER((1+F22),'数据-取费表'!B24/2)-1)),4)</f>
        <v>1E-3</v>
      </c>
      <c r="D26" s="188"/>
      <c r="E26" s="191"/>
      <c r="F26" s="189"/>
      <c r="G26" s="193"/>
    </row>
    <row r="27" spans="1:7" s="175" customFormat="1" ht="25.5">
      <c r="A27" s="1297" t="s">
        <v>2044</v>
      </c>
      <c r="B27" s="194" t="s">
        <v>2045</v>
      </c>
      <c r="C27" s="195">
        <f>C28</f>
        <v>157667</v>
      </c>
      <c r="D27" s="185">
        <f>C29</f>
        <v>3.0000000000000001E-3</v>
      </c>
      <c r="E27" s="186" t="s">
        <v>2031</v>
      </c>
      <c r="F27" s="196">
        <f>'数据-取费表'!E28</f>
        <v>0.15</v>
      </c>
      <c r="G27" s="197" t="s">
        <v>2046</v>
      </c>
    </row>
    <row r="28" spans="1:7" s="175" customFormat="1" ht="13.5" customHeight="1">
      <c r="A28" s="176" t="s">
        <v>2035</v>
      </c>
      <c r="B28" s="198" t="s">
        <v>2047</v>
      </c>
      <c r="C28" s="199">
        <f>ROUND((C5+C19+C20)*F27*'数据-取费表'!B22/'数据-取费表'!B21,0)</f>
        <v>157667</v>
      </c>
      <c r="D28" s="185"/>
      <c r="E28" s="186"/>
      <c r="F28" s="196"/>
      <c r="G28" s="197"/>
    </row>
    <row r="29" spans="1:7" s="175" customFormat="1" ht="13.5" customHeight="1">
      <c r="A29" s="176" t="s">
        <v>2009</v>
      </c>
      <c r="B29" s="198" t="s">
        <v>2048</v>
      </c>
      <c r="C29" s="188">
        <f>ROUND(C21*F27*'数据-取费表'!B22/'数据-取费表'!B21,4)</f>
        <v>3.0000000000000001E-3</v>
      </c>
      <c r="D29" s="185"/>
      <c r="E29" s="186"/>
      <c r="F29" s="196"/>
      <c r="G29" s="197"/>
    </row>
    <row r="30" spans="1:7" s="175" customFormat="1" ht="13.5" customHeight="1">
      <c r="A30" s="1297"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1419724</v>
      </c>
      <c r="D31" s="1533"/>
      <c r="E31" s="195"/>
      <c r="F31" s="1534"/>
      <c r="G31" s="184" t="s">
        <v>2053</v>
      </c>
    </row>
    <row r="32" spans="1:7" s="172" customFormat="1" ht="15.75">
      <c r="A32" s="201" t="s">
        <v>2054</v>
      </c>
      <c r="B32" s="202"/>
      <c r="C32" s="1535"/>
      <c r="D32" s="1535"/>
      <c r="E32" s="1535"/>
      <c r="F32" s="1535"/>
      <c r="G32" s="203"/>
    </row>
    <row r="33" spans="1:7" s="175" customFormat="1" ht="13.5" customHeight="1">
      <c r="A33" s="204" t="s">
        <v>2055</v>
      </c>
      <c r="B33" s="173" t="s">
        <v>2056</v>
      </c>
      <c r="C33" s="205">
        <f>SUM(C34:C38)</f>
        <v>0</v>
      </c>
      <c r="D33" s="183"/>
      <c r="E33" s="1524"/>
      <c r="F33" s="191"/>
      <c r="G33" s="184"/>
    </row>
    <row r="34" spans="1:7" s="206" customFormat="1" ht="13.5" customHeight="1">
      <c r="A34" s="176" t="s">
        <v>2035</v>
      </c>
      <c r="B34" s="177" t="s">
        <v>2057</v>
      </c>
      <c r="C34" s="199">
        <f>IF(B1="仅计算典型户型",'数据-取费表'!F18,'数据-取费表'!E18)</f>
        <v>0</v>
      </c>
      <c r="D34" s="1525"/>
      <c r="E34" s="199"/>
      <c r="F34" s="1536" t="str">
        <f>IF('数据-取费表'!B25=0,"",'数据-取费表'!E20)</f>
        <v/>
      </c>
      <c r="G34" s="179"/>
    </row>
    <row r="35" spans="1:7" ht="13.5" customHeight="1">
      <c r="A35" s="176" t="s">
        <v>2009</v>
      </c>
      <c r="B35" s="177" t="s">
        <v>2058</v>
      </c>
      <c r="C35" s="199">
        <f>ROUND(C34*F35,0)</f>
        <v>0</v>
      </c>
      <c r="D35" s="199"/>
      <c r="E35" s="199"/>
      <c r="F35" s="1537">
        <f>'数据-取费表'!E21</f>
        <v>0.03</v>
      </c>
      <c r="G35" s="179" t="s">
        <v>2059</v>
      </c>
    </row>
    <row r="36" spans="1:7" ht="24">
      <c r="A36" s="176" t="s">
        <v>2011</v>
      </c>
      <c r="B36" s="177" t="s">
        <v>2060</v>
      </c>
      <c r="C36" s="199">
        <f>ROUND(IF('数据-取费表'!B10="住宅",C34*F36,0),0)</f>
        <v>0</v>
      </c>
      <c r="D36" s="199"/>
      <c r="E36" s="199"/>
      <c r="F36" s="1537">
        <f>'数据-取费表'!E22</f>
        <v>0.05</v>
      </c>
      <c r="G36" s="207" t="s">
        <v>2061</v>
      </c>
    </row>
    <row r="37" spans="1:7" s="206" customFormat="1" ht="13.5" customHeight="1">
      <c r="A37" s="176" t="s">
        <v>2042</v>
      </c>
      <c r="B37" s="177" t="s">
        <v>2062</v>
      </c>
      <c r="C37" s="199">
        <f>ROUND(E37*D37,0)</f>
        <v>0</v>
      </c>
      <c r="D37" s="1525">
        <f>IF(B1="仅计算典型户型",'数据-取费表'!E5,'数据-取费表'!B5)</f>
        <v>0</v>
      </c>
      <c r="E37" s="199">
        <f>'数据-取费表'!E23</f>
        <v>200</v>
      </c>
      <c r="F37" s="1537"/>
      <c r="G37" s="208" t="s">
        <v>2063</v>
      </c>
    </row>
    <row r="38" spans="1:7" ht="13.5" customHeight="1">
      <c r="A38" s="176" t="s">
        <v>2064</v>
      </c>
      <c r="B38" s="177" t="s">
        <v>2065</v>
      </c>
      <c r="C38" s="199">
        <f>ROUND(C34*F38,0)</f>
        <v>0</v>
      </c>
      <c r="D38" s="199"/>
      <c r="E38" s="199"/>
      <c r="F38" s="1537">
        <f>'数据-取费表'!E24</f>
        <v>1.4999999999999999E-2</v>
      </c>
      <c r="G38" s="179" t="s">
        <v>2059</v>
      </c>
    </row>
    <row r="39" spans="1:7" s="175" customFormat="1" ht="13.5" customHeight="1">
      <c r="A39" s="204" t="s">
        <v>2024</v>
      </c>
      <c r="B39" s="173" t="s">
        <v>2027</v>
      </c>
      <c r="C39" s="183">
        <f>ROUND(C33*F20,0)</f>
        <v>0</v>
      </c>
      <c r="D39" s="183"/>
      <c r="E39" s="183"/>
      <c r="F39" s="187"/>
      <c r="G39" s="184" t="s">
        <v>2066</v>
      </c>
    </row>
    <row r="40" spans="1:7" s="175" customFormat="1" ht="13.5" customHeight="1">
      <c r="A40" s="204" t="s">
        <v>2026</v>
      </c>
      <c r="B40" s="173" t="s">
        <v>2030</v>
      </c>
      <c r="C40" s="1811">
        <f>F21</f>
        <v>0.02</v>
      </c>
      <c r="D40" s="186" t="s">
        <v>2067</v>
      </c>
      <c r="E40" s="183"/>
      <c r="F40" s="187"/>
      <c r="G40" s="184" t="s">
        <v>2068</v>
      </c>
    </row>
    <row r="41" spans="1:7" s="175" customFormat="1" ht="13.5" customHeight="1">
      <c r="A41" s="204" t="s">
        <v>2029</v>
      </c>
      <c r="B41" s="173" t="s">
        <v>2034</v>
      </c>
      <c r="C41" s="183">
        <f ca="1">ROUND(SUM(C42:C43),0)</f>
        <v>0</v>
      </c>
      <c r="D41" s="185">
        <f ca="1">C44</f>
        <v>1E-3</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0</v>
      </c>
      <c r="D42" s="188"/>
      <c r="E42" s="188"/>
      <c r="F42" s="189"/>
      <c r="G42" s="3010" t="s">
        <v>2069</v>
      </c>
    </row>
    <row r="43" spans="1:7" ht="13.5" customHeight="1">
      <c r="A43" s="176" t="s">
        <v>2009</v>
      </c>
      <c r="B43" s="177" t="s">
        <v>2038</v>
      </c>
      <c r="C43" s="188">
        <f ca="1">ROUND(IF('数据-取费表'!B23&lt;=1,C39*F22*'数据-取费表'!B22/2,C39*(POWER((1+F22),'数据-取费表'!B22/2)-1)),0)</f>
        <v>0</v>
      </c>
      <c r="D43" s="188"/>
      <c r="E43" s="188"/>
      <c r="F43" s="189"/>
      <c r="G43" s="3011"/>
    </row>
    <row r="44" spans="1:7" ht="13.5" customHeight="1">
      <c r="A44" s="176" t="s">
        <v>2011</v>
      </c>
      <c r="B44" s="177" t="s">
        <v>2040</v>
      </c>
      <c r="C44" s="188">
        <f ca="1">ROUND(IF('数据-取费表'!B23&lt;=1,C40*F22*'数据-取费表'!B22/2,C40*(POWER((1+F22),'数据-取费表'!B22/2)-1)),4)</f>
        <v>1E-3</v>
      </c>
      <c r="D44" s="188"/>
      <c r="E44" s="188"/>
      <c r="F44" s="189"/>
      <c r="G44" s="3012"/>
    </row>
    <row r="45" spans="1:7" s="175" customFormat="1" ht="13.5" customHeight="1">
      <c r="A45" s="204" t="s">
        <v>2033</v>
      </c>
      <c r="B45" s="194" t="s">
        <v>2045</v>
      </c>
      <c r="C45" s="195">
        <f>C46</f>
        <v>0</v>
      </c>
      <c r="D45" s="185">
        <f>C47</f>
        <v>3.0000000000000001E-3</v>
      </c>
      <c r="E45" s="186" t="s">
        <v>2067</v>
      </c>
      <c r="F45" s="196"/>
      <c r="G45" s="197" t="s">
        <v>2070</v>
      </c>
    </row>
    <row r="46" spans="1:7" s="175" customFormat="1" ht="13.5" customHeight="1">
      <c r="A46" s="176" t="s">
        <v>2035</v>
      </c>
      <c r="B46" s="198" t="s">
        <v>2071</v>
      </c>
      <c r="C46" s="199">
        <f>ROUND((C33+C39)*F27,0)</f>
        <v>0</v>
      </c>
      <c r="D46" s="209"/>
      <c r="E46" s="186"/>
      <c r="F46" s="196"/>
      <c r="G46" s="197"/>
    </row>
    <row r="47" spans="1:7" s="175" customFormat="1" ht="13.5" customHeight="1">
      <c r="A47" s="176" t="s">
        <v>2009</v>
      </c>
      <c r="B47" s="198" t="s">
        <v>2072</v>
      </c>
      <c r="C47" s="188">
        <f>ROUND(C40*F27,4)</f>
        <v>3.0000000000000001E-3</v>
      </c>
      <c r="D47" s="209"/>
      <c r="E47" s="186"/>
      <c r="F47" s="196"/>
      <c r="G47" s="197"/>
    </row>
    <row r="48" spans="1:7" s="175" customFormat="1" ht="13.5" customHeight="1">
      <c r="A48" s="1297" t="s">
        <v>2044</v>
      </c>
      <c r="B48" s="173" t="s">
        <v>2073</v>
      </c>
      <c r="C48" s="1811">
        <f>ROUND(F30/(1+'数据-取费表'!F30),4)</f>
        <v>5.33E-2</v>
      </c>
      <c r="D48" s="186" t="s">
        <v>2067</v>
      </c>
      <c r="E48" s="183"/>
      <c r="F48" s="187"/>
      <c r="G48" s="184" t="s">
        <v>2074</v>
      </c>
    </row>
    <row r="49" spans="1:7" ht="16.5" customHeight="1">
      <c r="A49" s="1297" t="s">
        <v>2075</v>
      </c>
      <c r="B49" s="173" t="s">
        <v>2076</v>
      </c>
      <c r="C49" s="183">
        <f ca="1">ROUND((C33+C39+C41+C45)/(1-C40-D41-D45-C48),0)</f>
        <v>0</v>
      </c>
      <c r="D49" s="183"/>
      <c r="E49" s="183"/>
      <c r="F49" s="210"/>
      <c r="G49" s="184" t="s">
        <v>2077</v>
      </c>
    </row>
    <row r="50" spans="1:7" s="206" customFormat="1" ht="24">
      <c r="A50" s="1297" t="s">
        <v>2078</v>
      </c>
      <c r="B50" s="173" t="s">
        <v>2079</v>
      </c>
      <c r="C50" s="183"/>
      <c r="D50" s="183"/>
      <c r="E50" s="183"/>
      <c r="F50" s="210">
        <f>IF('数据-取费表'!B25=0,'数据-取费表'!E20,1)</f>
        <v>0.75</v>
      </c>
      <c r="G50" s="197" t="s">
        <v>2080</v>
      </c>
    </row>
    <row r="51" spans="1:7" ht="16.5" customHeight="1">
      <c r="A51" s="1297" t="s">
        <v>2081</v>
      </c>
      <c r="B51" s="173" t="s">
        <v>2082</v>
      </c>
      <c r="C51" s="183">
        <f ca="1">ROUND(C49*F50,0)</f>
        <v>0</v>
      </c>
      <c r="D51" s="183"/>
      <c r="E51" s="183"/>
      <c r="F51" s="210"/>
      <c r="G51" s="184" t="s">
        <v>2083</v>
      </c>
    </row>
    <row r="52" spans="1:7" s="172" customFormat="1" ht="16.5" thickBot="1">
      <c r="A52" s="211" t="s">
        <v>2084</v>
      </c>
      <c r="B52" s="212"/>
      <c r="C52" s="213">
        <f ca="1">C31+C51</f>
        <v>1419724</v>
      </c>
      <c r="D52" s="212"/>
      <c r="E52" s="212"/>
      <c r="F52" s="212"/>
      <c r="G52" s="214"/>
    </row>
    <row r="55" spans="1:7" ht="15">
      <c r="B55" s="216" t="s">
        <v>2085</v>
      </c>
      <c r="C55" s="217"/>
    </row>
    <row r="56" spans="1:7">
      <c r="B56" s="219" t="s">
        <v>2086</v>
      </c>
      <c r="C56" s="220">
        <f ca="1">ROUND(C51/C52,3)</f>
        <v>0</v>
      </c>
    </row>
    <row r="57" spans="1:7">
      <c r="B57" s="219" t="s">
        <v>2087</v>
      </c>
      <c r="C57" s="221">
        <f ca="1">1-C56</f>
        <v>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3" t="s">
        <v>1296</v>
      </c>
      <c r="D1" s="1444"/>
      <c r="E1" s="1203"/>
      <c r="F1" s="1203"/>
      <c r="G1" s="1203"/>
      <c r="H1" s="1203"/>
      <c r="I1" s="1203"/>
      <c r="J1" s="1203"/>
      <c r="K1" s="1203"/>
    </row>
    <row r="2" spans="1:33" s="223" customFormat="1" ht="18" customHeight="1">
      <c r="A2" s="165" t="s">
        <v>1297</v>
      </c>
      <c r="B2" s="168">
        <f ca="1">IF(C2="元",C32,ROUND(C32/10000,0))</f>
        <v>237</v>
      </c>
      <c r="C2" s="1952" t="str">
        <f>'数据-取费表'!B3</f>
        <v>万元</v>
      </c>
      <c r="D2" s="1203"/>
      <c r="E2" s="1203"/>
      <c r="F2" s="1203"/>
      <c r="G2" s="1203"/>
      <c r="H2" s="1203"/>
      <c r="I2" s="1203"/>
      <c r="J2" s="1203"/>
      <c r="K2" s="1203"/>
    </row>
    <row r="3" spans="1:33" s="223" customFormat="1" ht="18" customHeight="1" thickBot="1">
      <c r="A3" s="167" t="s">
        <v>1298</v>
      </c>
      <c r="B3" s="168">
        <f ca="1">ROUND(C32/IF(C1="仅计算典型户型",'数据-取费表'!E5,'数据-取费表'!B5),0)</f>
        <v>23821</v>
      </c>
      <c r="C3" s="1952" t="s">
        <v>1299</v>
      </c>
      <c r="D3" s="1203"/>
      <c r="E3" s="1203"/>
      <c r="F3" s="1203"/>
      <c r="G3" s="1203"/>
      <c r="H3" s="1203"/>
      <c r="I3" s="1203"/>
      <c r="J3" s="1203"/>
      <c r="K3" s="1203"/>
    </row>
    <row r="4" spans="1:33" s="227" customFormat="1" ht="16.5" customHeight="1">
      <c r="A4" s="224" t="s">
        <v>1300</v>
      </c>
      <c r="B4" s="225"/>
      <c r="C4" s="1443">
        <f>SUM(C8:K8)</f>
        <v>3480750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1303</v>
      </c>
      <c r="B6" s="231" t="s">
        <v>1304</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1305</v>
      </c>
      <c r="B7" s="231" t="s">
        <v>1306</v>
      </c>
      <c r="C7" s="234">
        <f>IF(C1="仅计算典型户型",'数据-取费表'!E5,'数据-取费表'!B5)</f>
        <v>99.45</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3" t="s">
        <v>1307</v>
      </c>
      <c r="B8" s="231" t="s">
        <v>1308</v>
      </c>
      <c r="C8" s="727">
        <f>C6*C7</f>
        <v>3480750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1214</v>
      </c>
      <c r="B11" s="246" t="s">
        <v>1314</v>
      </c>
      <c r="C11" s="247">
        <f>IF(C1="仅计算典型户型",'数据-取费表'!F18,'数据-取费表'!E18)</f>
        <v>348075</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1215</v>
      </c>
      <c r="B12" s="246" t="s">
        <v>1315</v>
      </c>
      <c r="C12" s="14">
        <f>ROUND(C11*F12,0)</f>
        <v>10442</v>
      </c>
      <c r="D12" s="248"/>
      <c r="E12" s="70"/>
      <c r="F12" s="251">
        <f>'数据-取费表'!E21</f>
        <v>0.03</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1216</v>
      </c>
      <c r="B13" s="246" t="s">
        <v>1317</v>
      </c>
      <c r="C13" s="14">
        <f>ROUND(IF('数据-取费表'!B10="住宅",C11*F13,0),0)</f>
        <v>17404</v>
      </c>
      <c r="D13" s="248"/>
      <c r="E13" s="70"/>
      <c r="F13" s="251">
        <f>'数据-取费表'!E22</f>
        <v>0.05</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1217</v>
      </c>
      <c r="B14" s="246" t="s">
        <v>1319</v>
      </c>
      <c r="C14" s="14">
        <f>ROUND(D14*E14*F11,0)</f>
        <v>4973</v>
      </c>
      <c r="D14" s="248">
        <f>IF(C1="仅计算典型户型",'数据-取费表'!E5,'数据-取费表'!B5)</f>
        <v>99.45</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1218</v>
      </c>
      <c r="B15" s="246" t="s">
        <v>1321</v>
      </c>
      <c r="C15" s="259">
        <f>ROUND(C11*F15,0)</f>
        <v>5221</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1323</v>
      </c>
      <c r="B16" s="246" t="s">
        <v>1324</v>
      </c>
      <c r="C16" s="247">
        <f>SUM(C11:C15)</f>
        <v>386115</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1325</v>
      </c>
      <c r="B17" s="246" t="s">
        <v>1326</v>
      </c>
      <c r="C17" s="14">
        <f>ROUND(D17*E17,0)</f>
        <v>0</v>
      </c>
      <c r="D17" s="248">
        <f>IF(C1="仅计算典型户型",'数据-取费表'!E5,'数据-取费表'!B5)</f>
        <v>99.45</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1328</v>
      </c>
      <c r="B18" s="246" t="s">
        <v>1329</v>
      </c>
      <c r="C18" s="14">
        <f>C19+C20-'数据-取费表'!E13</f>
        <v>15912</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951</v>
      </c>
      <c r="B19" s="246" t="s">
        <v>1331</v>
      </c>
      <c r="C19" s="14">
        <f>ROUND(D19*E19,0)</f>
        <v>15912</v>
      </c>
      <c r="D19" s="248">
        <f>IF('数据-取费表'!B10="住宅",IF(C1="仅计算典型户型",'数据-取费表'!E5,'数据-取费表'!B5),0)</f>
        <v>99.45</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1303</v>
      </c>
      <c r="B21" s="261" t="s">
        <v>1333</v>
      </c>
      <c r="C21" s="262">
        <f>C16+C17+C18</f>
        <v>402027</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1305</v>
      </c>
      <c r="B22" s="261" t="s">
        <v>1335</v>
      </c>
      <c r="C22" s="262">
        <f>ROUND(C21*F22,0)</f>
        <v>8041</v>
      </c>
      <c r="D22" s="264"/>
      <c r="E22" s="264"/>
      <c r="F22" s="265">
        <f>'数据-取费表'!E25</f>
        <v>0.02</v>
      </c>
      <c r="G22" s="240" t="s">
        <v>1336</v>
      </c>
      <c r="H22" s="243"/>
      <c r="I22" s="243"/>
      <c r="J22" s="243"/>
      <c r="K22" s="244"/>
      <c r="L22" s="266"/>
      <c r="M22" s="266"/>
      <c r="N22" s="266"/>
    </row>
    <row r="23" spans="1:33" s="250" customFormat="1" ht="13.5" customHeight="1">
      <c r="A23" s="1298" t="s">
        <v>1307</v>
      </c>
      <c r="B23" s="261" t="s">
        <v>1337</v>
      </c>
      <c r="C23" s="262">
        <f>ROUND(C4*F23*F11,0)</f>
        <v>17404</v>
      </c>
      <c r="D23" s="264"/>
      <c r="E23" s="264"/>
      <c r="F23" s="265">
        <f>'数据-取费表'!E26</f>
        <v>0.02</v>
      </c>
      <c r="G23" s="240" t="s">
        <v>1338</v>
      </c>
      <c r="H23" s="243"/>
      <c r="I23" s="243"/>
      <c r="J23" s="243"/>
      <c r="K23" s="244"/>
    </row>
    <row r="24" spans="1:33" s="250" customFormat="1" ht="13.5" customHeight="1">
      <c r="A24" s="1298"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298"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299"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298" t="s">
        <v>1349</v>
      </c>
      <c r="B28" s="282" t="s">
        <v>1350</v>
      </c>
      <c r="C28" s="283">
        <f>C30</f>
        <v>64121</v>
      </c>
      <c r="D28" s="267">
        <f>C29</f>
        <v>0.15440000000000001</v>
      </c>
      <c r="E28" s="273" t="s">
        <v>12</v>
      </c>
      <c r="F28" s="284">
        <f>'数据-取费表'!E28</f>
        <v>0.15</v>
      </c>
      <c r="G28" s="269"/>
      <c r="H28" s="270"/>
      <c r="I28" s="270"/>
      <c r="J28" s="270"/>
      <c r="K28" s="271"/>
    </row>
    <row r="29" spans="1:33" s="288" customFormat="1" ht="13.5" customHeight="1">
      <c r="A29" s="1299" t="s">
        <v>1351</v>
      </c>
      <c r="B29" s="286" t="s">
        <v>1352</v>
      </c>
      <c r="C29" s="277">
        <f>ROUND((1+C24)*F28,4)</f>
        <v>0.15440000000000001</v>
      </c>
      <c r="D29" s="277"/>
      <c r="E29" s="278"/>
      <c r="F29" s="287"/>
      <c r="G29" s="231" t="s">
        <v>1353</v>
      </c>
      <c r="H29" s="254"/>
      <c r="I29" s="254"/>
      <c r="J29" s="254"/>
      <c r="K29" s="255"/>
    </row>
    <row r="30" spans="1:33" s="288" customFormat="1" ht="13.5" customHeight="1">
      <c r="A30" s="1299" t="s">
        <v>1354</v>
      </c>
      <c r="B30" s="286" t="s">
        <v>1355</v>
      </c>
      <c r="C30" s="289">
        <f>ROUND((C21+C22+C23)*F28,0)</f>
        <v>64121</v>
      </c>
      <c r="D30" s="277"/>
      <c r="E30" s="290"/>
      <c r="F30" s="287"/>
      <c r="G30" s="231"/>
      <c r="H30" s="254"/>
      <c r="I30" s="254"/>
      <c r="J30" s="254"/>
      <c r="K30" s="255"/>
    </row>
    <row r="31" spans="1:33" s="266" customFormat="1" ht="13.5" customHeight="1" thickBot="1">
      <c r="A31" s="1954" t="s">
        <v>1356</v>
      </c>
      <c r="B31" s="261" t="s">
        <v>1357</v>
      </c>
      <c r="C31" s="291">
        <f>ROUND(C4*F31/(1+'数据-取费表'!F30),0)</f>
        <v>185640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2369036</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N23" sqref="N23"/>
    </sheetView>
  </sheetViews>
  <sheetFormatPr defaultColWidth="9" defaultRowHeight="12.75"/>
  <cols>
    <col min="1" max="1" width="12.375" style="55" customWidth="1"/>
    <col min="2" max="2" width="10.6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2291</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2292</v>
      </c>
      <c r="B2" s="334">
        <f ca="1">B23</f>
        <v>420</v>
      </c>
      <c r="C2" s="1175" t="str">
        <f>C23</f>
        <v>万元</v>
      </c>
      <c r="D2" s="84"/>
      <c r="E2" s="84"/>
      <c r="F2" s="84"/>
      <c r="G2" s="84"/>
      <c r="H2" s="84"/>
      <c r="I2" s="84"/>
      <c r="J2" s="84"/>
      <c r="K2" s="84"/>
      <c r="L2" s="84"/>
      <c r="M2" s="84"/>
      <c r="N2" s="84"/>
      <c r="O2" s="84"/>
      <c r="P2" s="84"/>
      <c r="Q2" s="84"/>
      <c r="R2" s="768"/>
      <c r="S2" s="54"/>
      <c r="T2" s="54"/>
      <c r="U2" s="1304"/>
      <c r="V2" s="1304"/>
      <c r="X2" s="1304"/>
      <c r="Y2" s="1304"/>
    </row>
    <row r="3" spans="1:44" ht="15.75">
      <c r="A3" s="167" t="s">
        <v>2293</v>
      </c>
      <c r="B3" s="334">
        <f ca="1">B24</f>
        <v>11092</v>
      </c>
      <c r="C3" s="1175" t="s">
        <v>2294</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2295</v>
      </c>
      <c r="C4" s="3016" t="s">
        <v>2296</v>
      </c>
      <c r="D4" s="3017"/>
      <c r="E4" s="3017"/>
      <c r="F4" s="3017"/>
      <c r="G4" s="3017"/>
      <c r="H4" s="3017"/>
      <c r="I4" s="3017"/>
      <c r="J4" s="3017"/>
      <c r="K4" s="3017"/>
      <c r="L4" s="3017"/>
      <c r="M4" s="3017"/>
      <c r="N4" s="3017"/>
      <c r="O4" s="3017"/>
      <c r="P4" s="3017"/>
      <c r="Q4" s="3017"/>
      <c r="R4" s="3017"/>
      <c r="S4" s="3018"/>
      <c r="T4" s="678" t="s">
        <v>2297</v>
      </c>
      <c r="U4" s="1304"/>
      <c r="V4" s="1304"/>
      <c r="X4" s="1304"/>
      <c r="Y4" s="1304"/>
    </row>
    <row r="5" spans="1:44" s="692" customFormat="1" ht="38.25">
      <c r="A5" s="1314"/>
      <c r="B5" s="687" t="s">
        <v>2298</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c r="A8" s="1317"/>
      <c r="B8" s="2757" t="s">
        <v>2880</v>
      </c>
      <c r="C8" s="2759" t="s">
        <v>2881</v>
      </c>
      <c r="D8" s="2760" t="s">
        <v>2882</v>
      </c>
      <c r="E8" s="2760" t="s">
        <v>2883</v>
      </c>
      <c r="F8" s="1161"/>
      <c r="G8" s="1161"/>
      <c r="H8" s="1161"/>
      <c r="I8" s="1161"/>
      <c r="J8" s="1161"/>
      <c r="K8" s="1161"/>
      <c r="L8" s="1162"/>
      <c r="M8" s="1163"/>
      <c r="N8" s="1163"/>
      <c r="O8" s="1161"/>
      <c r="P8" s="1161"/>
      <c r="Q8" s="1161"/>
      <c r="R8" s="1161"/>
      <c r="S8" s="1193"/>
      <c r="T8" s="1164">
        <v>9</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7">C9-$T$8</f>
        <v>91</v>
      </c>
      <c r="E9" s="1152">
        <f t="shared" si="7"/>
        <v>82</v>
      </c>
      <c r="F9" s="1152">
        <f t="shared" si="7"/>
        <v>73</v>
      </c>
      <c r="G9" s="1152">
        <f t="shared" si="7"/>
        <v>64</v>
      </c>
      <c r="H9" s="1152">
        <f t="shared" si="7"/>
        <v>55</v>
      </c>
      <c r="I9" s="1152">
        <f t="shared" si="7"/>
        <v>46</v>
      </c>
      <c r="J9" s="1152">
        <f t="shared" si="7"/>
        <v>37</v>
      </c>
      <c r="K9" s="1152">
        <f t="shared" si="7"/>
        <v>28</v>
      </c>
      <c r="L9" s="1152">
        <f t="shared" si="7"/>
        <v>19</v>
      </c>
      <c r="M9" s="1153">
        <f t="shared" si="7"/>
        <v>10</v>
      </c>
      <c r="N9" s="1153">
        <f t="shared" si="7"/>
        <v>1</v>
      </c>
      <c r="O9" s="1152">
        <f t="shared" si="7"/>
        <v>-8</v>
      </c>
      <c r="P9" s="1152">
        <f t="shared" si="7"/>
        <v>-17</v>
      </c>
      <c r="Q9" s="1152">
        <f t="shared" si="7"/>
        <v>-26</v>
      </c>
      <c r="R9" s="1152">
        <f t="shared" si="7"/>
        <v>-35</v>
      </c>
      <c r="S9" s="1194">
        <f t="shared" si="7"/>
        <v>-44</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64" t="s">
        <v>2887</v>
      </c>
      <c r="C10" s="2765" t="s">
        <v>2892</v>
      </c>
      <c r="D10" s="2766" t="s">
        <v>2890</v>
      </c>
      <c r="E10" s="2766" t="s">
        <v>2922</v>
      </c>
      <c r="F10" s="1147" t="s">
        <v>2923</v>
      </c>
      <c r="G10" s="1147" t="s">
        <v>2893</v>
      </c>
      <c r="H10" s="1147" t="s">
        <v>2898</v>
      </c>
      <c r="I10" s="1147" t="s">
        <v>2924</v>
      </c>
      <c r="J10" s="1147" t="s">
        <v>2925</v>
      </c>
      <c r="K10" s="1147"/>
      <c r="L10" s="1147"/>
      <c r="M10" s="1149"/>
      <c r="N10" s="1141"/>
      <c r="O10" s="1143"/>
      <c r="P10" s="1144"/>
      <c r="Q10" s="1145"/>
      <c r="R10" s="1146"/>
      <c r="S10" s="1195"/>
      <c r="T10" s="700">
        <v>0.5</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8">C11-$T$10</f>
        <v>99.5</v>
      </c>
      <c r="E11" s="1152">
        <f t="shared" si="8"/>
        <v>99</v>
      </c>
      <c r="F11" s="1152">
        <f t="shared" si="8"/>
        <v>98.5</v>
      </c>
      <c r="G11" s="1152">
        <f t="shared" si="8"/>
        <v>98</v>
      </c>
      <c r="H11" s="1152">
        <f t="shared" si="8"/>
        <v>97.5</v>
      </c>
      <c r="I11" s="1152">
        <f t="shared" si="8"/>
        <v>97</v>
      </c>
      <c r="J11" s="1152">
        <f t="shared" si="8"/>
        <v>96.5</v>
      </c>
      <c r="K11" s="1152">
        <f t="shared" si="8"/>
        <v>96</v>
      </c>
      <c r="L11" s="1152">
        <f t="shared" si="8"/>
        <v>95.5</v>
      </c>
      <c r="M11" s="1153">
        <f t="shared" si="8"/>
        <v>95</v>
      </c>
      <c r="N11" s="1153">
        <f t="shared" ref="N11:S11" si="9">M11-$T$10</f>
        <v>94.5</v>
      </c>
      <c r="O11" s="1152">
        <f t="shared" si="9"/>
        <v>94</v>
      </c>
      <c r="P11" s="1152">
        <f t="shared" si="9"/>
        <v>93.5</v>
      </c>
      <c r="Q11" s="1152">
        <f t="shared" si="9"/>
        <v>93</v>
      </c>
      <c r="R11" s="1152">
        <f t="shared" si="9"/>
        <v>92.5</v>
      </c>
      <c r="S11" s="1194">
        <f t="shared" si="9"/>
        <v>92</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75" t="s">
        <v>2904</v>
      </c>
      <c r="C12" s="2765" t="s">
        <v>2905</v>
      </c>
      <c r="D12" s="2766" t="s">
        <v>2906</v>
      </c>
      <c r="E12" s="2766" t="s">
        <v>2907</v>
      </c>
      <c r="F12" s="2766" t="s">
        <v>2908</v>
      </c>
      <c r="G12" s="2766" t="s">
        <v>2909</v>
      </c>
      <c r="H12" s="1147"/>
      <c r="I12" s="1147"/>
      <c r="J12" s="1147"/>
      <c r="K12" s="1147"/>
      <c r="L12" s="1148"/>
      <c r="M12" s="1149"/>
      <c r="N12" s="1141"/>
      <c r="O12" s="1143"/>
      <c r="P12" s="1144"/>
      <c r="Q12" s="1145"/>
      <c r="R12" s="1146"/>
      <c r="S12" s="1195"/>
      <c r="T12" s="700">
        <v>4</v>
      </c>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c r="A13" s="1317"/>
      <c r="B13" s="1155"/>
      <c r="C13" s="1165">
        <v>100</v>
      </c>
      <c r="D13" s="1166">
        <f t="shared" ref="D13:M13" si="10">C13-$T$12</f>
        <v>96</v>
      </c>
      <c r="E13" s="1166">
        <f t="shared" si="10"/>
        <v>92</v>
      </c>
      <c r="F13" s="1166">
        <f t="shared" si="10"/>
        <v>88</v>
      </c>
      <c r="G13" s="1166">
        <f t="shared" si="10"/>
        <v>84</v>
      </c>
      <c r="H13" s="1166">
        <f t="shared" si="10"/>
        <v>80</v>
      </c>
      <c r="I13" s="1166">
        <f t="shared" si="10"/>
        <v>76</v>
      </c>
      <c r="J13" s="1166">
        <f t="shared" si="10"/>
        <v>72</v>
      </c>
      <c r="K13" s="1166">
        <f t="shared" si="10"/>
        <v>68</v>
      </c>
      <c r="L13" s="1166">
        <f t="shared" si="10"/>
        <v>64</v>
      </c>
      <c r="M13" s="1167">
        <f t="shared" si="10"/>
        <v>60</v>
      </c>
      <c r="N13" s="1167">
        <f t="shared" ref="N13:S13" si="11">M13-$T$12</f>
        <v>56</v>
      </c>
      <c r="O13" s="1166">
        <f t="shared" si="11"/>
        <v>52</v>
      </c>
      <c r="P13" s="1166">
        <f t="shared" si="11"/>
        <v>48</v>
      </c>
      <c r="Q13" s="1166">
        <f t="shared" si="11"/>
        <v>44</v>
      </c>
      <c r="R13" s="1166">
        <f t="shared" si="11"/>
        <v>40</v>
      </c>
      <c r="S13" s="1196">
        <f t="shared" si="11"/>
        <v>36</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7"/>
      <c r="B14" s="1168" t="s">
        <v>2299</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7"/>
      <c r="B16" s="1168" t="s">
        <v>2300</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7"/>
      <c r="B18" s="1168" t="s">
        <v>2301</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3" t="s">
        <v>2302</v>
      </c>
      <c r="B20" s="2354" t="s">
        <v>2303</v>
      </c>
      <c r="C20" s="1318" t="s">
        <v>2842</v>
      </c>
      <c r="D20" s="1319" t="s">
        <v>2843</v>
      </c>
      <c r="E20" s="1319" t="s">
        <v>2844</v>
      </c>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98</v>
      </c>
      <c r="E21" s="1331">
        <v>96</v>
      </c>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5" t="s">
        <v>2304</v>
      </c>
      <c r="G22" s="1861"/>
      <c r="H22" s="1861"/>
      <c r="I22" s="1861"/>
      <c r="J22" s="1862"/>
      <c r="K22" s="84"/>
      <c r="L22" s="84"/>
      <c r="M22" s="84"/>
      <c r="N22" s="84"/>
      <c r="O22" s="84"/>
      <c r="P22" s="84"/>
      <c r="Q22" s="84"/>
      <c r="R22" s="768"/>
      <c r="S22" s="54"/>
      <c r="T22" s="54"/>
      <c r="U22" s="1304"/>
      <c r="V22" s="1305"/>
      <c r="W22" s="800"/>
      <c r="X22" s="36"/>
      <c r="Y22" s="36"/>
      <c r="Z22" s="800"/>
    </row>
    <row r="23" spans="1:45" ht="16.5" thickBot="1">
      <c r="A23" s="165" t="s">
        <v>2305</v>
      </c>
      <c r="B23" s="308">
        <f ca="1">IF(F23="——",IF(C23="万元",T25,S25),IF(C23="万元",T25-H23,S25-H23))</f>
        <v>420</v>
      </c>
      <c r="C23" s="2356" t="str">
        <f>'数据-取费表'!B3</f>
        <v>万元</v>
      </c>
      <c r="D23" s="84"/>
      <c r="E23" s="84"/>
      <c r="F23" s="2357" t="s">
        <v>1248</v>
      </c>
      <c r="G23" s="1863"/>
      <c r="H23" s="678" t="e">
        <f ca="1">SUMIF(INDIRECT("'"&amp;J23&amp;"'"&amp;"!A:A"),"承租人权益价值",INDIRECT("'"&amp;J23&amp;"'"&amp;"!c:c"))</f>
        <v>#REF!</v>
      </c>
      <c r="I23" s="678" t="str">
        <f>C2</f>
        <v>万元</v>
      </c>
      <c r="J23" s="2358"/>
      <c r="K23" s="84"/>
      <c r="L23" s="84"/>
      <c r="M23" s="84"/>
      <c r="N23" s="84"/>
      <c r="O23" s="84"/>
      <c r="P23" s="84"/>
      <c r="Q23" s="84"/>
      <c r="R23" s="768"/>
      <c r="S23" s="54"/>
      <c r="T23" s="54"/>
      <c r="V23" s="1305"/>
      <c r="W23" s="800"/>
      <c r="X23" s="36"/>
      <c r="Y23" s="36"/>
      <c r="Z23" s="800"/>
    </row>
    <row r="24" spans="1:45" ht="15.75">
      <c r="A24" s="2356" t="s">
        <v>2306</v>
      </c>
      <c r="B24" s="308">
        <f ca="1">ROUND(B23*10000/B25,0)</f>
        <v>11092</v>
      </c>
      <c r="C24" s="1138"/>
      <c r="D24" s="84"/>
      <c r="E24" s="84"/>
      <c r="F24" s="84"/>
      <c r="G24" s="84"/>
      <c r="H24" s="84"/>
      <c r="I24" s="84"/>
      <c r="J24" s="84"/>
      <c r="K24" s="84"/>
      <c r="L24" s="84"/>
      <c r="M24" s="84"/>
      <c r="N24" s="84"/>
      <c r="O24" s="84"/>
      <c r="P24" s="84"/>
      <c r="Q24" s="84"/>
      <c r="R24" s="768"/>
      <c r="S24" s="14" t="s">
        <v>2307</v>
      </c>
      <c r="T24" s="1880" t="s">
        <v>2308</v>
      </c>
      <c r="U24" s="2359" t="s">
        <v>2309</v>
      </c>
      <c r="V24" s="1334"/>
      <c r="W24" s="2360" t="s">
        <v>2310</v>
      </c>
      <c r="X24" s="2359" t="s">
        <v>2311</v>
      </c>
      <c r="Y24" s="1334"/>
      <c r="Z24" s="2361" t="s">
        <v>2310</v>
      </c>
    </row>
    <row r="25" spans="1:45">
      <c r="A25" s="334" t="s">
        <v>2312</v>
      </c>
      <c r="B25" s="14">
        <f>SUM(B27:B10000)</f>
        <v>378.66</v>
      </c>
      <c r="C25" s="3013" t="s">
        <v>45</v>
      </c>
      <c r="D25" s="3014"/>
      <c r="E25" s="3014"/>
      <c r="F25" s="3014"/>
      <c r="G25" s="3014"/>
      <c r="H25" s="3014"/>
      <c r="I25" s="3014"/>
      <c r="J25" s="3014"/>
      <c r="K25" s="3014"/>
      <c r="L25" s="3014"/>
      <c r="M25" s="3014"/>
      <c r="N25" s="3014"/>
      <c r="O25" s="3014"/>
      <c r="P25" s="3014"/>
      <c r="Q25" s="3015"/>
      <c r="R25" s="703">
        <f ca="1">IF(C23="万元",ROUND(T25*10000/B25,0),ROUND(S25/B25,0))</f>
        <v>11092</v>
      </c>
      <c r="S25" s="14">
        <f ca="1">SUM(S27:S10000)</f>
        <v>4203467</v>
      </c>
      <c r="T25" s="14">
        <f ca="1">SUM(T27:T10000)</f>
        <v>420</v>
      </c>
      <c r="U25" s="19">
        <f>SUM(U27:U10000)</f>
        <v>0</v>
      </c>
      <c r="V25" s="19">
        <f>SUM(V27:V10000)</f>
        <v>0</v>
      </c>
      <c r="W25" s="14"/>
      <c r="X25" s="19">
        <f>SUM(X27:X10000)</f>
        <v>0</v>
      </c>
      <c r="Y25" s="19">
        <f>SUM(Y27:Y10000)</f>
        <v>0</v>
      </c>
      <c r="Z25" s="2362"/>
    </row>
    <row r="26" spans="1:45" s="11" customFormat="1" ht="25.5">
      <c r="A26" s="10" t="s">
        <v>2313</v>
      </c>
      <c r="B26" s="10" t="s">
        <v>2314</v>
      </c>
      <c r="C26" s="10" t="s">
        <v>2315</v>
      </c>
      <c r="D26" s="10" t="str">
        <f>B8</f>
        <v>内部装修</v>
      </c>
      <c r="E26" s="10" t="s">
        <v>2315</v>
      </c>
      <c r="F26" s="10" t="str">
        <f>B10</f>
        <v>朝向</v>
      </c>
      <c r="G26" s="10" t="s">
        <v>2315</v>
      </c>
      <c r="H26" s="10" t="str">
        <f>B12</f>
        <v>装修维护情况</v>
      </c>
      <c r="I26" s="10" t="s">
        <v>2315</v>
      </c>
      <c r="J26" s="10" t="str">
        <f>B14</f>
        <v>修正项5</v>
      </c>
      <c r="K26" s="10" t="s">
        <v>2315</v>
      </c>
      <c r="L26" s="10" t="str">
        <f>B16</f>
        <v>修正项6</v>
      </c>
      <c r="M26" s="10" t="s">
        <v>2315</v>
      </c>
      <c r="N26" s="10" t="str">
        <f>B18</f>
        <v>修正项7</v>
      </c>
      <c r="O26" s="10" t="s">
        <v>2315</v>
      </c>
      <c r="P26" s="10" t="str">
        <f>B20</f>
        <v>楼层</v>
      </c>
      <c r="Q26" s="10" t="s">
        <v>2315</v>
      </c>
      <c r="R26" s="704" t="s">
        <v>2316</v>
      </c>
      <c r="S26" s="10" t="s">
        <v>2317</v>
      </c>
      <c r="T26" s="10" t="s">
        <v>2317</v>
      </c>
      <c r="U26" s="1866" t="s">
        <v>2318</v>
      </c>
      <c r="V26" s="2363" t="s">
        <v>2319</v>
      </c>
      <c r="W26" s="2364" t="s">
        <v>2320</v>
      </c>
      <c r="X26" s="1866" t="s">
        <v>2318</v>
      </c>
      <c r="Y26" s="2363" t="s">
        <v>2319</v>
      </c>
      <c r="Z26" s="2364" t="s">
        <v>2320</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6" t="s">
        <v>2861</v>
      </c>
      <c r="B27" s="705">
        <f>'数据-取费表'!E5</f>
        <v>99.45</v>
      </c>
      <c r="C27" s="705">
        <v>1</v>
      </c>
      <c r="D27" s="706" t="s">
        <v>2870</v>
      </c>
      <c r="E27" s="705">
        <v>1</v>
      </c>
      <c r="F27" s="706"/>
      <c r="G27" s="705">
        <v>1</v>
      </c>
      <c r="H27" s="706" t="s">
        <v>31</v>
      </c>
      <c r="I27" s="705">
        <v>1</v>
      </c>
      <c r="J27" s="706"/>
      <c r="K27" s="705">
        <v>1</v>
      </c>
      <c r="L27" s="706"/>
      <c r="M27" s="705">
        <v>1</v>
      </c>
      <c r="N27" s="706"/>
      <c r="O27" s="705">
        <v>1</v>
      </c>
      <c r="P27" s="706" t="s">
        <v>2842</v>
      </c>
      <c r="Q27" s="705">
        <v>1</v>
      </c>
      <c r="R27" s="1184">
        <f ca="1">结果表!G20</f>
        <v>10736</v>
      </c>
      <c r="S27" s="705">
        <f ca="1">ROUND(R27*B27,0)</f>
        <v>1067695</v>
      </c>
      <c r="T27" s="705">
        <f ca="1">ROUND(R27*B27/10000,0)</f>
        <v>107</v>
      </c>
      <c r="U27" s="1306">
        <f>ROUND(W27*B27,0)</f>
        <v>0</v>
      </c>
      <c r="V27" s="1306">
        <f>ROUND(W27*B27/10000,0)</f>
        <v>0</v>
      </c>
      <c r="W27" s="1302"/>
      <c r="X27" s="1306">
        <f>ROUND(Z27*B27,0)</f>
        <v>0</v>
      </c>
      <c r="Y27" s="1306">
        <f>ROUND(Z27*B27/10000,0)</f>
        <v>0</v>
      </c>
      <c r="Z27" s="1302"/>
      <c r="AA27" s="802">
        <v>31</v>
      </c>
      <c r="AB27" s="802"/>
      <c r="AC27" s="802"/>
      <c r="AD27" s="802"/>
      <c r="AE27" s="802"/>
      <c r="AF27" s="802"/>
      <c r="AG27" s="802"/>
      <c r="AH27" s="802"/>
      <c r="AI27" s="802"/>
      <c r="AJ27" s="802"/>
      <c r="AK27" s="802"/>
      <c r="AL27" s="802"/>
      <c r="AM27" s="802"/>
      <c r="AN27" s="802"/>
      <c r="AO27" s="802"/>
      <c r="AP27" s="802"/>
      <c r="AQ27" s="802"/>
      <c r="AR27" s="802"/>
    </row>
    <row r="28" spans="1:45">
      <c r="A28" s="75" t="s">
        <v>2862</v>
      </c>
      <c r="B28" s="24">
        <v>140.97</v>
      </c>
      <c r="C28" s="14">
        <f t="shared" ref="C28:C91" si="14">IF(B28="",1,(LOOKUP(B28,$6:$6,$7:$7)-LOOKUP($B$27,$6:$6,$7:$7)+100)/100)</f>
        <v>0.98</v>
      </c>
      <c r="D28" s="706" t="s">
        <v>2872</v>
      </c>
      <c r="E28" s="14">
        <f t="shared" ref="E28:E91" si="15">(SUMIF($8:$8,D28,$9:$9)-SUMIF($8:$8,$D$27,$9:$9)+100)/100</f>
        <v>1.0900000000000001</v>
      </c>
      <c r="F28" s="706"/>
      <c r="G28" s="14">
        <f t="shared" ref="G28:G91" si="16">(SUMIF($10:$10,F28,$11:$11)-SUMIF($10:$10,$F$27,$11:$11)+100)/100</f>
        <v>1</v>
      </c>
      <c r="H28" s="706" t="s">
        <v>30</v>
      </c>
      <c r="I28" s="14">
        <f t="shared" ref="I28:I91" si="17">(SUMIF($12:$12,H28,$13:$13)-SUMIF($12:$12,$H$27,$13:$13)+100)/100</f>
        <v>1.04</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2842</v>
      </c>
      <c r="Q28" s="14">
        <f t="shared" ref="Q28:Q91" si="21">(SUMIF($20:$20,P28,$21:$21)-SUMIF($20:$20,$P$27,$21:$21)+100)/100</f>
        <v>1</v>
      </c>
      <c r="R28" s="703">
        <f ca="1">IF(B28="",0,ROUND($R$27*C28*E28*G28*I28*K28*M28*O28*Q28,0))</f>
        <v>11927</v>
      </c>
      <c r="S28" s="334">
        <f ca="1">ROUND(R28*B28,0)</f>
        <v>1681349</v>
      </c>
      <c r="T28" s="1174">
        <f ca="1">ROUND(R28*B28/10000,0)</f>
        <v>168</v>
      </c>
      <c r="U28" s="1306">
        <f t="shared" ref="U28:U91" si="22">ROUND(W28*B28,0)</f>
        <v>0</v>
      </c>
      <c r="V28" s="1306">
        <f t="shared" ref="V28:V91" si="23">ROUND(W28*B28/10000,0)</f>
        <v>0</v>
      </c>
      <c r="W28" s="1303"/>
      <c r="X28" s="1306">
        <f t="shared" ref="X28:X91" si="24">ROUND(Z28*B28,0)</f>
        <v>0</v>
      </c>
      <c r="Y28" s="1306">
        <f t="shared" ref="Y28:Y91" si="25">ROUND(Z28*B28/10000,0)</f>
        <v>0</v>
      </c>
      <c r="Z28" s="1303"/>
      <c r="AA28" s="797">
        <v>18</v>
      </c>
    </row>
    <row r="29" spans="1:45">
      <c r="A29" s="75" t="s">
        <v>2863</v>
      </c>
      <c r="B29" s="24">
        <v>138.24</v>
      </c>
      <c r="C29" s="14">
        <f t="shared" si="14"/>
        <v>0.98</v>
      </c>
      <c r="D29" s="706" t="s">
        <v>2870</v>
      </c>
      <c r="E29" s="14">
        <f t="shared" si="15"/>
        <v>1</v>
      </c>
      <c r="F29" s="706"/>
      <c r="G29" s="14">
        <f t="shared" si="16"/>
        <v>1</v>
      </c>
      <c r="H29" s="706" t="s">
        <v>31</v>
      </c>
      <c r="I29" s="14">
        <f t="shared" si="17"/>
        <v>1</v>
      </c>
      <c r="J29" s="706"/>
      <c r="K29" s="14">
        <f t="shared" si="18"/>
        <v>1</v>
      </c>
      <c r="L29" s="706"/>
      <c r="M29" s="14">
        <f t="shared" si="19"/>
        <v>1</v>
      </c>
      <c r="N29" s="706"/>
      <c r="O29" s="14">
        <f t="shared" si="20"/>
        <v>1</v>
      </c>
      <c r="P29" s="706" t="s">
        <v>2842</v>
      </c>
      <c r="Q29" s="14">
        <f t="shared" si="21"/>
        <v>1</v>
      </c>
      <c r="R29" s="703">
        <f t="shared" ref="R29:R92" ca="1" si="26">IF(B29="",0,ROUND($R$27*C29*E29*G29*I29*K29*M29*O29*Q29,0))</f>
        <v>10521</v>
      </c>
      <c r="S29" s="334">
        <f t="shared" ref="S29:S92" ca="1" si="27">ROUND(R29*B29,0)</f>
        <v>1454423</v>
      </c>
      <c r="T29" s="1174">
        <f t="shared" ref="T29:T92" ca="1" si="28">ROUND(R29*B29/10000,0)</f>
        <v>145</v>
      </c>
      <c r="U29" s="1306">
        <f t="shared" si="22"/>
        <v>0</v>
      </c>
      <c r="V29" s="1306">
        <f t="shared" si="23"/>
        <v>0</v>
      </c>
      <c r="W29" s="1303"/>
      <c r="X29" s="1306">
        <f t="shared" si="24"/>
        <v>0</v>
      </c>
      <c r="Y29" s="1306">
        <f t="shared" si="25"/>
        <v>0</v>
      </c>
      <c r="Z29" s="1303"/>
      <c r="AA29" s="797">
        <v>18</v>
      </c>
    </row>
    <row r="30" spans="1:45">
      <c r="A30" s="75"/>
      <c r="B30" s="24"/>
      <c r="C30" s="14">
        <f t="shared" si="14"/>
        <v>1</v>
      </c>
      <c r="D30" s="706"/>
      <c r="E30" s="14">
        <f t="shared" si="15"/>
        <v>0.18</v>
      </c>
      <c r="F30" s="706"/>
      <c r="G30" s="14">
        <f t="shared" si="16"/>
        <v>1</v>
      </c>
      <c r="H30" s="706"/>
      <c r="I30" s="14">
        <f t="shared" si="17"/>
        <v>0.08</v>
      </c>
      <c r="J30" s="706"/>
      <c r="K30" s="14">
        <f t="shared" si="18"/>
        <v>1</v>
      </c>
      <c r="L30" s="706"/>
      <c r="M30" s="14">
        <f t="shared" si="19"/>
        <v>1</v>
      </c>
      <c r="N30" s="706"/>
      <c r="O30" s="14">
        <f t="shared" si="20"/>
        <v>1</v>
      </c>
      <c r="P30" s="706"/>
      <c r="Q30" s="14">
        <f t="shared" si="21"/>
        <v>0</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6"/>
      <c r="E31" s="14">
        <f t="shared" si="15"/>
        <v>0.18</v>
      </c>
      <c r="F31" s="706"/>
      <c r="G31" s="14">
        <f t="shared" si="16"/>
        <v>1</v>
      </c>
      <c r="H31" s="706"/>
      <c r="I31" s="14">
        <f t="shared" si="17"/>
        <v>0.08</v>
      </c>
      <c r="J31" s="706"/>
      <c r="K31" s="14">
        <f t="shared" si="18"/>
        <v>1</v>
      </c>
      <c r="L31" s="706"/>
      <c r="M31" s="14">
        <f t="shared" si="19"/>
        <v>1</v>
      </c>
      <c r="N31" s="706"/>
      <c r="O31" s="14">
        <f t="shared" si="20"/>
        <v>1</v>
      </c>
      <c r="P31" s="706"/>
      <c r="Q31" s="14">
        <f t="shared" si="21"/>
        <v>0</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6"/>
      <c r="E32" s="14">
        <f t="shared" si="15"/>
        <v>0.18</v>
      </c>
      <c r="F32" s="706"/>
      <c r="G32" s="14">
        <f t="shared" si="16"/>
        <v>1</v>
      </c>
      <c r="H32" s="706"/>
      <c r="I32" s="14">
        <f t="shared" si="17"/>
        <v>0.08</v>
      </c>
      <c r="J32" s="706"/>
      <c r="K32" s="14">
        <f t="shared" si="18"/>
        <v>1</v>
      </c>
      <c r="L32" s="706"/>
      <c r="M32" s="14">
        <f t="shared" si="19"/>
        <v>1</v>
      </c>
      <c r="N32" s="706"/>
      <c r="O32" s="14">
        <f t="shared" si="20"/>
        <v>1</v>
      </c>
      <c r="P32" s="706"/>
      <c r="Q32" s="14">
        <f t="shared" si="21"/>
        <v>0</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6"/>
      <c r="E33" s="14">
        <f t="shared" si="15"/>
        <v>0.18</v>
      </c>
      <c r="F33" s="706"/>
      <c r="G33" s="14">
        <f t="shared" si="16"/>
        <v>1</v>
      </c>
      <c r="H33" s="706"/>
      <c r="I33" s="14">
        <f t="shared" si="17"/>
        <v>0.08</v>
      </c>
      <c r="J33" s="706"/>
      <c r="K33" s="14">
        <f t="shared" si="18"/>
        <v>1</v>
      </c>
      <c r="L33" s="706"/>
      <c r="M33" s="14">
        <f t="shared" si="19"/>
        <v>1</v>
      </c>
      <c r="N33" s="706"/>
      <c r="O33" s="14">
        <f t="shared" si="20"/>
        <v>1</v>
      </c>
      <c r="P33" s="706"/>
      <c r="Q33" s="14">
        <f t="shared" si="21"/>
        <v>0</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6"/>
      <c r="E34" s="14">
        <f t="shared" si="15"/>
        <v>0.18</v>
      </c>
      <c r="F34" s="706"/>
      <c r="G34" s="14">
        <f t="shared" si="16"/>
        <v>1</v>
      </c>
      <c r="H34" s="706"/>
      <c r="I34" s="14">
        <f t="shared" si="17"/>
        <v>0.08</v>
      </c>
      <c r="J34" s="706"/>
      <c r="K34" s="14">
        <f t="shared" si="18"/>
        <v>1</v>
      </c>
      <c r="L34" s="706"/>
      <c r="M34" s="14">
        <f t="shared" si="19"/>
        <v>1</v>
      </c>
      <c r="N34" s="706"/>
      <c r="O34" s="14">
        <f t="shared" si="20"/>
        <v>1</v>
      </c>
      <c r="P34" s="706"/>
      <c r="Q34" s="14">
        <f t="shared" si="21"/>
        <v>0</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6"/>
      <c r="E35" s="14">
        <f t="shared" si="15"/>
        <v>0.18</v>
      </c>
      <c r="F35" s="706"/>
      <c r="G35" s="14">
        <f t="shared" si="16"/>
        <v>1</v>
      </c>
      <c r="H35" s="706"/>
      <c r="I35" s="14">
        <f t="shared" si="17"/>
        <v>0.08</v>
      </c>
      <c r="J35" s="706"/>
      <c r="K35" s="14">
        <f t="shared" si="18"/>
        <v>1</v>
      </c>
      <c r="L35" s="706"/>
      <c r="M35" s="14">
        <f t="shared" si="19"/>
        <v>1</v>
      </c>
      <c r="N35" s="706"/>
      <c r="O35" s="14">
        <f t="shared" si="20"/>
        <v>1</v>
      </c>
      <c r="P35" s="706"/>
      <c r="Q35" s="14">
        <f t="shared" si="21"/>
        <v>0</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6"/>
      <c r="E36" s="14">
        <f t="shared" si="15"/>
        <v>0.18</v>
      </c>
      <c r="F36" s="706"/>
      <c r="G36" s="14">
        <f t="shared" si="16"/>
        <v>1</v>
      </c>
      <c r="H36" s="706"/>
      <c r="I36" s="14">
        <f t="shared" si="17"/>
        <v>0.08</v>
      </c>
      <c r="J36" s="706"/>
      <c r="K36" s="14">
        <f t="shared" si="18"/>
        <v>1</v>
      </c>
      <c r="L36" s="706"/>
      <c r="M36" s="14">
        <f t="shared" si="19"/>
        <v>1</v>
      </c>
      <c r="N36" s="706"/>
      <c r="O36" s="14">
        <f t="shared" si="20"/>
        <v>1</v>
      </c>
      <c r="P36" s="706"/>
      <c r="Q36" s="14">
        <f t="shared" si="21"/>
        <v>0</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6"/>
      <c r="E37" s="14">
        <f t="shared" si="15"/>
        <v>0.18</v>
      </c>
      <c r="F37" s="706"/>
      <c r="G37" s="14">
        <f t="shared" si="16"/>
        <v>1</v>
      </c>
      <c r="H37" s="706"/>
      <c r="I37" s="14">
        <f t="shared" si="17"/>
        <v>0.08</v>
      </c>
      <c r="J37" s="706"/>
      <c r="K37" s="14">
        <f t="shared" si="18"/>
        <v>1</v>
      </c>
      <c r="L37" s="706"/>
      <c r="M37" s="14">
        <f t="shared" si="19"/>
        <v>1</v>
      </c>
      <c r="N37" s="706"/>
      <c r="O37" s="14">
        <f t="shared" si="20"/>
        <v>1</v>
      </c>
      <c r="P37" s="706"/>
      <c r="Q37" s="14">
        <f t="shared" si="21"/>
        <v>0</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6"/>
      <c r="E38" s="14">
        <f t="shared" si="15"/>
        <v>0.18</v>
      </c>
      <c r="F38" s="706"/>
      <c r="G38" s="14">
        <f t="shared" si="16"/>
        <v>1</v>
      </c>
      <c r="H38" s="706"/>
      <c r="I38" s="14">
        <f t="shared" si="17"/>
        <v>0.08</v>
      </c>
      <c r="J38" s="706"/>
      <c r="K38" s="14">
        <f t="shared" si="18"/>
        <v>1</v>
      </c>
      <c r="L38" s="706"/>
      <c r="M38" s="14">
        <f t="shared" si="19"/>
        <v>1</v>
      </c>
      <c r="N38" s="706"/>
      <c r="O38" s="14">
        <f t="shared" si="20"/>
        <v>1</v>
      </c>
      <c r="P38" s="706"/>
      <c r="Q38" s="14">
        <f t="shared" si="21"/>
        <v>0</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6"/>
      <c r="E39" s="14">
        <f t="shared" si="15"/>
        <v>0.18</v>
      </c>
      <c r="F39" s="706"/>
      <c r="G39" s="14">
        <f t="shared" si="16"/>
        <v>1</v>
      </c>
      <c r="H39" s="706"/>
      <c r="I39" s="14">
        <f t="shared" si="17"/>
        <v>0.08</v>
      </c>
      <c r="J39" s="706"/>
      <c r="K39" s="14">
        <f t="shared" si="18"/>
        <v>1</v>
      </c>
      <c r="L39" s="706"/>
      <c r="M39" s="14">
        <f t="shared" si="19"/>
        <v>1</v>
      </c>
      <c r="N39" s="706"/>
      <c r="O39" s="14">
        <f t="shared" si="20"/>
        <v>1</v>
      </c>
      <c r="P39" s="706"/>
      <c r="Q39" s="14">
        <f t="shared" si="21"/>
        <v>0</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6"/>
      <c r="E40" s="14">
        <f t="shared" si="15"/>
        <v>0.18</v>
      </c>
      <c r="F40" s="706"/>
      <c r="G40" s="14">
        <f t="shared" si="16"/>
        <v>1</v>
      </c>
      <c r="H40" s="706"/>
      <c r="I40" s="14">
        <f t="shared" si="17"/>
        <v>0.08</v>
      </c>
      <c r="J40" s="706"/>
      <c r="K40" s="14">
        <f t="shared" si="18"/>
        <v>1</v>
      </c>
      <c r="L40" s="706"/>
      <c r="M40" s="14">
        <f t="shared" si="19"/>
        <v>1</v>
      </c>
      <c r="N40" s="706"/>
      <c r="O40" s="14">
        <f t="shared" si="20"/>
        <v>1</v>
      </c>
      <c r="P40" s="706"/>
      <c r="Q40" s="14">
        <f t="shared" si="21"/>
        <v>0</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6"/>
      <c r="E41" s="14">
        <f t="shared" si="15"/>
        <v>0.18</v>
      </c>
      <c r="F41" s="706"/>
      <c r="G41" s="14">
        <f t="shared" si="16"/>
        <v>1</v>
      </c>
      <c r="H41" s="706"/>
      <c r="I41" s="14">
        <f t="shared" si="17"/>
        <v>0.08</v>
      </c>
      <c r="J41" s="706"/>
      <c r="K41" s="14">
        <f t="shared" si="18"/>
        <v>1</v>
      </c>
      <c r="L41" s="706"/>
      <c r="M41" s="14">
        <f t="shared" si="19"/>
        <v>1</v>
      </c>
      <c r="N41" s="706"/>
      <c r="O41" s="14">
        <f t="shared" si="20"/>
        <v>1</v>
      </c>
      <c r="P41" s="706"/>
      <c r="Q41" s="14">
        <f t="shared" si="21"/>
        <v>0</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6"/>
      <c r="E42" s="14">
        <f t="shared" si="15"/>
        <v>0.18</v>
      </c>
      <c r="F42" s="706"/>
      <c r="G42" s="14">
        <f t="shared" si="16"/>
        <v>1</v>
      </c>
      <c r="H42" s="706"/>
      <c r="I42" s="14">
        <f t="shared" si="17"/>
        <v>0.08</v>
      </c>
      <c r="J42" s="706"/>
      <c r="K42" s="14">
        <f t="shared" si="18"/>
        <v>1</v>
      </c>
      <c r="L42" s="706"/>
      <c r="M42" s="14">
        <f t="shared" si="19"/>
        <v>1</v>
      </c>
      <c r="N42" s="706"/>
      <c r="O42" s="14">
        <f t="shared" si="20"/>
        <v>1</v>
      </c>
      <c r="P42" s="706"/>
      <c r="Q42" s="14">
        <f t="shared" si="21"/>
        <v>0</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6"/>
      <c r="E43" s="14">
        <f t="shared" si="15"/>
        <v>0.18</v>
      </c>
      <c r="F43" s="706"/>
      <c r="G43" s="14">
        <f t="shared" si="16"/>
        <v>1</v>
      </c>
      <c r="H43" s="706"/>
      <c r="I43" s="14">
        <f t="shared" si="17"/>
        <v>0.08</v>
      </c>
      <c r="J43" s="706"/>
      <c r="K43" s="14">
        <f t="shared" si="18"/>
        <v>1</v>
      </c>
      <c r="L43" s="706"/>
      <c r="M43" s="14">
        <f t="shared" si="19"/>
        <v>1</v>
      </c>
      <c r="N43" s="706"/>
      <c r="O43" s="14">
        <f t="shared" si="20"/>
        <v>1</v>
      </c>
      <c r="P43" s="706"/>
      <c r="Q43" s="14">
        <f t="shared" si="21"/>
        <v>0</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6"/>
      <c r="E44" s="14">
        <f t="shared" si="15"/>
        <v>0.18</v>
      </c>
      <c r="F44" s="706"/>
      <c r="G44" s="14">
        <f t="shared" si="16"/>
        <v>1</v>
      </c>
      <c r="H44" s="706"/>
      <c r="I44" s="14">
        <f t="shared" si="17"/>
        <v>0.08</v>
      </c>
      <c r="J44" s="706"/>
      <c r="K44" s="14">
        <f t="shared" si="18"/>
        <v>1</v>
      </c>
      <c r="L44" s="706"/>
      <c r="M44" s="14">
        <f t="shared" si="19"/>
        <v>1</v>
      </c>
      <c r="N44" s="706"/>
      <c r="O44" s="14">
        <f t="shared" si="20"/>
        <v>1</v>
      </c>
      <c r="P44" s="706"/>
      <c r="Q44" s="14">
        <f t="shared" si="21"/>
        <v>0</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6"/>
      <c r="E45" s="14">
        <f t="shared" si="15"/>
        <v>0.18</v>
      </c>
      <c r="F45" s="706"/>
      <c r="G45" s="14">
        <f t="shared" si="16"/>
        <v>1</v>
      </c>
      <c r="H45" s="706"/>
      <c r="I45" s="14">
        <f t="shared" si="17"/>
        <v>0.08</v>
      </c>
      <c r="J45" s="706"/>
      <c r="K45" s="14">
        <f t="shared" si="18"/>
        <v>1</v>
      </c>
      <c r="L45" s="706"/>
      <c r="M45" s="14">
        <f t="shared" si="19"/>
        <v>1</v>
      </c>
      <c r="N45" s="706"/>
      <c r="O45" s="14">
        <f t="shared" si="20"/>
        <v>1</v>
      </c>
      <c r="P45" s="706"/>
      <c r="Q45" s="14">
        <f t="shared" si="21"/>
        <v>0</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6"/>
      <c r="E46" s="14">
        <f t="shared" si="15"/>
        <v>0.18</v>
      </c>
      <c r="F46" s="706"/>
      <c r="G46" s="14">
        <f t="shared" si="16"/>
        <v>1</v>
      </c>
      <c r="H46" s="706"/>
      <c r="I46" s="14">
        <f t="shared" si="17"/>
        <v>0.08</v>
      </c>
      <c r="J46" s="706"/>
      <c r="K46" s="14">
        <f t="shared" si="18"/>
        <v>1</v>
      </c>
      <c r="L46" s="706"/>
      <c r="M46" s="14">
        <f t="shared" si="19"/>
        <v>1</v>
      </c>
      <c r="N46" s="706"/>
      <c r="O46" s="14">
        <f t="shared" si="20"/>
        <v>1</v>
      </c>
      <c r="P46" s="706"/>
      <c r="Q46" s="14">
        <f t="shared" si="21"/>
        <v>0</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6"/>
      <c r="E47" s="14">
        <f t="shared" si="15"/>
        <v>0.18</v>
      </c>
      <c r="F47" s="706"/>
      <c r="G47" s="14">
        <f t="shared" si="16"/>
        <v>1</v>
      </c>
      <c r="H47" s="706"/>
      <c r="I47" s="14">
        <f t="shared" si="17"/>
        <v>0.08</v>
      </c>
      <c r="J47" s="706"/>
      <c r="K47" s="14">
        <f t="shared" si="18"/>
        <v>1</v>
      </c>
      <c r="L47" s="706"/>
      <c r="M47" s="14">
        <f t="shared" si="19"/>
        <v>1</v>
      </c>
      <c r="N47" s="706"/>
      <c r="O47" s="14">
        <f t="shared" si="20"/>
        <v>1</v>
      </c>
      <c r="P47" s="706"/>
      <c r="Q47" s="14">
        <f t="shared" si="21"/>
        <v>0</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6"/>
      <c r="E48" s="14">
        <f t="shared" si="15"/>
        <v>0.18</v>
      </c>
      <c r="F48" s="706"/>
      <c r="G48" s="14">
        <f t="shared" si="16"/>
        <v>1</v>
      </c>
      <c r="H48" s="706"/>
      <c r="I48" s="14">
        <f t="shared" si="17"/>
        <v>0.08</v>
      </c>
      <c r="J48" s="706"/>
      <c r="K48" s="14">
        <f t="shared" si="18"/>
        <v>1</v>
      </c>
      <c r="L48" s="706"/>
      <c r="M48" s="14">
        <f t="shared" si="19"/>
        <v>1</v>
      </c>
      <c r="N48" s="706"/>
      <c r="O48" s="14">
        <f t="shared" si="20"/>
        <v>1</v>
      </c>
      <c r="P48" s="706"/>
      <c r="Q48" s="14">
        <f t="shared" si="21"/>
        <v>0</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6"/>
      <c r="E49" s="14">
        <f t="shared" si="15"/>
        <v>0.18</v>
      </c>
      <c r="F49" s="706"/>
      <c r="G49" s="14">
        <f t="shared" si="16"/>
        <v>1</v>
      </c>
      <c r="H49" s="706"/>
      <c r="I49" s="14">
        <f t="shared" si="17"/>
        <v>0.08</v>
      </c>
      <c r="J49" s="706"/>
      <c r="K49" s="14">
        <f t="shared" si="18"/>
        <v>1</v>
      </c>
      <c r="L49" s="706"/>
      <c r="M49" s="14">
        <f t="shared" si="19"/>
        <v>1</v>
      </c>
      <c r="N49" s="706"/>
      <c r="O49" s="14">
        <f t="shared" si="20"/>
        <v>1</v>
      </c>
      <c r="P49" s="706"/>
      <c r="Q49" s="14">
        <f t="shared" si="21"/>
        <v>0</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6"/>
      <c r="E50" s="14">
        <f t="shared" si="15"/>
        <v>0.18</v>
      </c>
      <c r="F50" s="706"/>
      <c r="G50" s="14">
        <f t="shared" si="16"/>
        <v>1</v>
      </c>
      <c r="H50" s="706"/>
      <c r="I50" s="14">
        <f t="shared" si="17"/>
        <v>0.08</v>
      </c>
      <c r="J50" s="706"/>
      <c r="K50" s="14">
        <f t="shared" si="18"/>
        <v>1</v>
      </c>
      <c r="L50" s="706"/>
      <c r="M50" s="14">
        <f t="shared" si="19"/>
        <v>1</v>
      </c>
      <c r="N50" s="706"/>
      <c r="O50" s="14">
        <f t="shared" si="20"/>
        <v>1</v>
      </c>
      <c r="P50" s="706"/>
      <c r="Q50" s="14">
        <f t="shared" si="21"/>
        <v>0</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6"/>
      <c r="E51" s="14">
        <f t="shared" si="15"/>
        <v>0.18</v>
      </c>
      <c r="F51" s="706"/>
      <c r="G51" s="14">
        <f t="shared" si="16"/>
        <v>1</v>
      </c>
      <c r="H51" s="706"/>
      <c r="I51" s="14">
        <f t="shared" si="17"/>
        <v>0.08</v>
      </c>
      <c r="J51" s="706"/>
      <c r="K51" s="14">
        <f t="shared" si="18"/>
        <v>1</v>
      </c>
      <c r="L51" s="706"/>
      <c r="M51" s="14">
        <f t="shared" si="19"/>
        <v>1</v>
      </c>
      <c r="N51" s="706"/>
      <c r="O51" s="14">
        <f t="shared" si="20"/>
        <v>1</v>
      </c>
      <c r="P51" s="706"/>
      <c r="Q51" s="14">
        <f t="shared" si="21"/>
        <v>0</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6"/>
      <c r="E52" s="14">
        <f t="shared" si="15"/>
        <v>0.18</v>
      </c>
      <c r="F52" s="706"/>
      <c r="G52" s="14">
        <f t="shared" si="16"/>
        <v>1</v>
      </c>
      <c r="H52" s="706"/>
      <c r="I52" s="14">
        <f t="shared" si="17"/>
        <v>0.08</v>
      </c>
      <c r="J52" s="706"/>
      <c r="K52" s="14">
        <f t="shared" si="18"/>
        <v>1</v>
      </c>
      <c r="L52" s="706"/>
      <c r="M52" s="14">
        <f t="shared" si="19"/>
        <v>1</v>
      </c>
      <c r="N52" s="706"/>
      <c r="O52" s="14">
        <f t="shared" si="20"/>
        <v>1</v>
      </c>
      <c r="P52" s="706"/>
      <c r="Q52" s="14">
        <f t="shared" si="21"/>
        <v>0</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6"/>
      <c r="E53" s="14">
        <f t="shared" si="15"/>
        <v>0.18</v>
      </c>
      <c r="F53" s="706"/>
      <c r="G53" s="14">
        <f t="shared" si="16"/>
        <v>1</v>
      </c>
      <c r="H53" s="706"/>
      <c r="I53" s="14">
        <f t="shared" si="17"/>
        <v>0.08</v>
      </c>
      <c r="J53" s="706"/>
      <c r="K53" s="14">
        <f t="shared" si="18"/>
        <v>1</v>
      </c>
      <c r="L53" s="706"/>
      <c r="M53" s="14">
        <f t="shared" si="19"/>
        <v>1</v>
      </c>
      <c r="N53" s="706"/>
      <c r="O53" s="14">
        <f t="shared" si="20"/>
        <v>1</v>
      </c>
      <c r="P53" s="706"/>
      <c r="Q53" s="14">
        <f t="shared" si="21"/>
        <v>0</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6"/>
      <c r="E54" s="14">
        <f t="shared" si="15"/>
        <v>0.18</v>
      </c>
      <c r="F54" s="706"/>
      <c r="G54" s="14">
        <f t="shared" si="16"/>
        <v>1</v>
      </c>
      <c r="H54" s="706"/>
      <c r="I54" s="14">
        <f t="shared" si="17"/>
        <v>0.08</v>
      </c>
      <c r="J54" s="706"/>
      <c r="K54" s="14">
        <f t="shared" si="18"/>
        <v>1</v>
      </c>
      <c r="L54" s="706"/>
      <c r="M54" s="14">
        <f t="shared" si="19"/>
        <v>1</v>
      </c>
      <c r="N54" s="706"/>
      <c r="O54" s="14">
        <f t="shared" si="20"/>
        <v>1</v>
      </c>
      <c r="P54" s="706"/>
      <c r="Q54" s="14">
        <f t="shared" si="21"/>
        <v>0</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6"/>
      <c r="E55" s="14">
        <f t="shared" si="15"/>
        <v>0.18</v>
      </c>
      <c r="F55" s="706"/>
      <c r="G55" s="14">
        <f t="shared" si="16"/>
        <v>1</v>
      </c>
      <c r="H55" s="706"/>
      <c r="I55" s="14">
        <f t="shared" si="17"/>
        <v>0.08</v>
      </c>
      <c r="J55" s="706"/>
      <c r="K55" s="14">
        <f t="shared" si="18"/>
        <v>1</v>
      </c>
      <c r="L55" s="706"/>
      <c r="M55" s="14">
        <f t="shared" si="19"/>
        <v>1</v>
      </c>
      <c r="N55" s="706"/>
      <c r="O55" s="14">
        <f t="shared" si="20"/>
        <v>1</v>
      </c>
      <c r="P55" s="706"/>
      <c r="Q55" s="14">
        <f t="shared" si="21"/>
        <v>0</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6"/>
      <c r="E56" s="14">
        <f t="shared" si="15"/>
        <v>0.18</v>
      </c>
      <c r="F56" s="706"/>
      <c r="G56" s="14">
        <f t="shared" si="16"/>
        <v>1</v>
      </c>
      <c r="H56" s="706"/>
      <c r="I56" s="14">
        <f t="shared" si="17"/>
        <v>0.08</v>
      </c>
      <c r="J56" s="706"/>
      <c r="K56" s="14">
        <f t="shared" si="18"/>
        <v>1</v>
      </c>
      <c r="L56" s="706"/>
      <c r="M56" s="14">
        <f t="shared" si="19"/>
        <v>1</v>
      </c>
      <c r="N56" s="706"/>
      <c r="O56" s="14">
        <f t="shared" si="20"/>
        <v>1</v>
      </c>
      <c r="P56" s="706"/>
      <c r="Q56" s="14">
        <f t="shared" si="21"/>
        <v>0</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6"/>
      <c r="E57" s="14">
        <f t="shared" si="15"/>
        <v>0.18</v>
      </c>
      <c r="F57" s="706"/>
      <c r="G57" s="14">
        <f t="shared" si="16"/>
        <v>1</v>
      </c>
      <c r="H57" s="706"/>
      <c r="I57" s="14">
        <f t="shared" si="17"/>
        <v>0.08</v>
      </c>
      <c r="J57" s="706"/>
      <c r="K57" s="14">
        <f t="shared" si="18"/>
        <v>1</v>
      </c>
      <c r="L57" s="706"/>
      <c r="M57" s="14">
        <f t="shared" si="19"/>
        <v>1</v>
      </c>
      <c r="N57" s="706"/>
      <c r="O57" s="14">
        <f t="shared" si="20"/>
        <v>1</v>
      </c>
      <c r="P57" s="706"/>
      <c r="Q57" s="14">
        <f t="shared" si="21"/>
        <v>0</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6"/>
      <c r="E58" s="14">
        <f t="shared" si="15"/>
        <v>0.18</v>
      </c>
      <c r="F58" s="706"/>
      <c r="G58" s="14">
        <f t="shared" si="16"/>
        <v>1</v>
      </c>
      <c r="H58" s="706"/>
      <c r="I58" s="14">
        <f t="shared" si="17"/>
        <v>0.08</v>
      </c>
      <c r="J58" s="706"/>
      <c r="K58" s="14">
        <f t="shared" si="18"/>
        <v>1</v>
      </c>
      <c r="L58" s="706"/>
      <c r="M58" s="14">
        <f t="shared" si="19"/>
        <v>1</v>
      </c>
      <c r="N58" s="706"/>
      <c r="O58" s="14">
        <f t="shared" si="20"/>
        <v>1</v>
      </c>
      <c r="P58" s="706"/>
      <c r="Q58" s="14">
        <f t="shared" si="21"/>
        <v>0</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6"/>
      <c r="E59" s="14">
        <f t="shared" si="15"/>
        <v>0.18</v>
      </c>
      <c r="F59" s="706"/>
      <c r="G59" s="14">
        <f t="shared" si="16"/>
        <v>1</v>
      </c>
      <c r="H59" s="706"/>
      <c r="I59" s="14">
        <f t="shared" si="17"/>
        <v>0.08</v>
      </c>
      <c r="J59" s="706"/>
      <c r="K59" s="14">
        <f t="shared" si="18"/>
        <v>1</v>
      </c>
      <c r="L59" s="706"/>
      <c r="M59" s="14">
        <f t="shared" si="19"/>
        <v>1</v>
      </c>
      <c r="N59" s="706"/>
      <c r="O59" s="14">
        <f t="shared" si="20"/>
        <v>1</v>
      </c>
      <c r="P59" s="706"/>
      <c r="Q59" s="14">
        <f t="shared" si="21"/>
        <v>0</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6"/>
      <c r="E60" s="14">
        <f t="shared" si="15"/>
        <v>0.18</v>
      </c>
      <c r="F60" s="706"/>
      <c r="G60" s="14">
        <f t="shared" si="16"/>
        <v>1</v>
      </c>
      <c r="H60" s="706"/>
      <c r="I60" s="14">
        <f t="shared" si="17"/>
        <v>0.08</v>
      </c>
      <c r="J60" s="706"/>
      <c r="K60" s="14">
        <f t="shared" si="18"/>
        <v>1</v>
      </c>
      <c r="L60" s="706"/>
      <c r="M60" s="14">
        <f t="shared" si="19"/>
        <v>1</v>
      </c>
      <c r="N60" s="706"/>
      <c r="O60" s="14">
        <f t="shared" si="20"/>
        <v>1</v>
      </c>
      <c r="P60" s="706"/>
      <c r="Q60" s="14">
        <f t="shared" si="21"/>
        <v>0</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6"/>
      <c r="E61" s="14">
        <f t="shared" si="15"/>
        <v>0.18</v>
      </c>
      <c r="F61" s="706"/>
      <c r="G61" s="14">
        <f t="shared" si="16"/>
        <v>1</v>
      </c>
      <c r="H61" s="706"/>
      <c r="I61" s="14">
        <f t="shared" si="17"/>
        <v>0.08</v>
      </c>
      <c r="J61" s="706"/>
      <c r="K61" s="14">
        <f t="shared" si="18"/>
        <v>1</v>
      </c>
      <c r="L61" s="706"/>
      <c r="M61" s="14">
        <f t="shared" si="19"/>
        <v>1</v>
      </c>
      <c r="N61" s="706"/>
      <c r="O61" s="14">
        <f t="shared" si="20"/>
        <v>1</v>
      </c>
      <c r="P61" s="706"/>
      <c r="Q61" s="14">
        <f t="shared" si="21"/>
        <v>0</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6"/>
      <c r="E62" s="14">
        <f t="shared" si="15"/>
        <v>0.18</v>
      </c>
      <c r="F62" s="706"/>
      <c r="G62" s="14">
        <f t="shared" si="16"/>
        <v>1</v>
      </c>
      <c r="H62" s="706"/>
      <c r="I62" s="14">
        <f t="shared" si="17"/>
        <v>0.08</v>
      </c>
      <c r="J62" s="706"/>
      <c r="K62" s="14">
        <f t="shared" si="18"/>
        <v>1</v>
      </c>
      <c r="L62" s="706"/>
      <c r="M62" s="14">
        <f t="shared" si="19"/>
        <v>1</v>
      </c>
      <c r="N62" s="706"/>
      <c r="O62" s="14">
        <f t="shared" si="20"/>
        <v>1</v>
      </c>
      <c r="P62" s="706"/>
      <c r="Q62" s="14">
        <f t="shared" si="21"/>
        <v>0</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6"/>
      <c r="E63" s="14">
        <f t="shared" si="15"/>
        <v>0.18</v>
      </c>
      <c r="F63" s="706"/>
      <c r="G63" s="14">
        <f t="shared" si="16"/>
        <v>1</v>
      </c>
      <c r="H63" s="706"/>
      <c r="I63" s="14">
        <f t="shared" si="17"/>
        <v>0.08</v>
      </c>
      <c r="J63" s="706"/>
      <c r="K63" s="14">
        <f t="shared" si="18"/>
        <v>1</v>
      </c>
      <c r="L63" s="706"/>
      <c r="M63" s="14">
        <f t="shared" si="19"/>
        <v>1</v>
      </c>
      <c r="N63" s="706"/>
      <c r="O63" s="14">
        <f t="shared" si="20"/>
        <v>1</v>
      </c>
      <c r="P63" s="706"/>
      <c r="Q63" s="14">
        <f t="shared" si="21"/>
        <v>0</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6"/>
      <c r="E64" s="14">
        <f t="shared" si="15"/>
        <v>0.18</v>
      </c>
      <c r="F64" s="706"/>
      <c r="G64" s="14">
        <f t="shared" si="16"/>
        <v>1</v>
      </c>
      <c r="H64" s="706"/>
      <c r="I64" s="14">
        <f t="shared" si="17"/>
        <v>0.08</v>
      </c>
      <c r="J64" s="706"/>
      <c r="K64" s="14">
        <f t="shared" si="18"/>
        <v>1</v>
      </c>
      <c r="L64" s="706"/>
      <c r="M64" s="14">
        <f t="shared" si="19"/>
        <v>1</v>
      </c>
      <c r="N64" s="706"/>
      <c r="O64" s="14">
        <f t="shared" si="20"/>
        <v>1</v>
      </c>
      <c r="P64" s="706"/>
      <c r="Q64" s="14">
        <f t="shared" si="21"/>
        <v>0</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6"/>
      <c r="E65" s="14">
        <f t="shared" si="15"/>
        <v>0.18</v>
      </c>
      <c r="F65" s="706"/>
      <c r="G65" s="14">
        <f t="shared" si="16"/>
        <v>1</v>
      </c>
      <c r="H65" s="706"/>
      <c r="I65" s="14">
        <f t="shared" si="17"/>
        <v>0.08</v>
      </c>
      <c r="J65" s="706"/>
      <c r="K65" s="14">
        <f t="shared" si="18"/>
        <v>1</v>
      </c>
      <c r="L65" s="706"/>
      <c r="M65" s="14">
        <f t="shared" si="19"/>
        <v>1</v>
      </c>
      <c r="N65" s="706"/>
      <c r="O65" s="14">
        <f t="shared" si="20"/>
        <v>1</v>
      </c>
      <c r="P65" s="706"/>
      <c r="Q65" s="14">
        <f t="shared" si="21"/>
        <v>0</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6"/>
      <c r="E66" s="14">
        <f t="shared" si="15"/>
        <v>0.18</v>
      </c>
      <c r="F66" s="706"/>
      <c r="G66" s="14">
        <f t="shared" si="16"/>
        <v>1</v>
      </c>
      <c r="H66" s="706"/>
      <c r="I66" s="14">
        <f t="shared" si="17"/>
        <v>0.08</v>
      </c>
      <c r="J66" s="706"/>
      <c r="K66" s="14">
        <f t="shared" si="18"/>
        <v>1</v>
      </c>
      <c r="L66" s="706"/>
      <c r="M66" s="14">
        <f t="shared" si="19"/>
        <v>1</v>
      </c>
      <c r="N66" s="706"/>
      <c r="O66" s="14">
        <f t="shared" si="20"/>
        <v>1</v>
      </c>
      <c r="P66" s="706"/>
      <c r="Q66" s="14">
        <f t="shared" si="21"/>
        <v>0</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6"/>
      <c r="E67" s="14">
        <f t="shared" si="15"/>
        <v>0.18</v>
      </c>
      <c r="F67" s="706"/>
      <c r="G67" s="14">
        <f t="shared" si="16"/>
        <v>1</v>
      </c>
      <c r="H67" s="706"/>
      <c r="I67" s="14">
        <f t="shared" si="17"/>
        <v>0.08</v>
      </c>
      <c r="J67" s="706"/>
      <c r="K67" s="14">
        <f t="shared" si="18"/>
        <v>1</v>
      </c>
      <c r="L67" s="706"/>
      <c r="M67" s="14">
        <f t="shared" si="19"/>
        <v>1</v>
      </c>
      <c r="N67" s="706"/>
      <c r="O67" s="14">
        <f t="shared" si="20"/>
        <v>1</v>
      </c>
      <c r="P67" s="706"/>
      <c r="Q67" s="14">
        <f t="shared" si="21"/>
        <v>0</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6"/>
      <c r="E68" s="14">
        <f t="shared" si="15"/>
        <v>0.18</v>
      </c>
      <c r="F68" s="706"/>
      <c r="G68" s="14">
        <f t="shared" si="16"/>
        <v>1</v>
      </c>
      <c r="H68" s="706"/>
      <c r="I68" s="14">
        <f t="shared" si="17"/>
        <v>0.08</v>
      </c>
      <c r="J68" s="706"/>
      <c r="K68" s="14">
        <f t="shared" si="18"/>
        <v>1</v>
      </c>
      <c r="L68" s="706"/>
      <c r="M68" s="14">
        <f t="shared" si="19"/>
        <v>1</v>
      </c>
      <c r="N68" s="706"/>
      <c r="O68" s="14">
        <f t="shared" si="20"/>
        <v>1</v>
      </c>
      <c r="P68" s="706"/>
      <c r="Q68" s="14">
        <f t="shared" si="21"/>
        <v>0</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6"/>
      <c r="E69" s="14">
        <f t="shared" si="15"/>
        <v>0.18</v>
      </c>
      <c r="F69" s="706"/>
      <c r="G69" s="14">
        <f t="shared" si="16"/>
        <v>1</v>
      </c>
      <c r="H69" s="706"/>
      <c r="I69" s="14">
        <f t="shared" si="17"/>
        <v>0.08</v>
      </c>
      <c r="J69" s="706"/>
      <c r="K69" s="14">
        <f t="shared" si="18"/>
        <v>1</v>
      </c>
      <c r="L69" s="706"/>
      <c r="M69" s="14">
        <f t="shared" si="19"/>
        <v>1</v>
      </c>
      <c r="N69" s="706"/>
      <c r="O69" s="14">
        <f t="shared" si="20"/>
        <v>1</v>
      </c>
      <c r="P69" s="706"/>
      <c r="Q69" s="14">
        <f t="shared" si="21"/>
        <v>0</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6"/>
      <c r="E70" s="14">
        <f t="shared" si="15"/>
        <v>0.18</v>
      </c>
      <c r="F70" s="706"/>
      <c r="G70" s="14">
        <f t="shared" si="16"/>
        <v>1</v>
      </c>
      <c r="H70" s="706"/>
      <c r="I70" s="14">
        <f t="shared" si="17"/>
        <v>0.08</v>
      </c>
      <c r="J70" s="706"/>
      <c r="K70" s="14">
        <f t="shared" si="18"/>
        <v>1</v>
      </c>
      <c r="L70" s="706"/>
      <c r="M70" s="14">
        <f t="shared" si="19"/>
        <v>1</v>
      </c>
      <c r="N70" s="706"/>
      <c r="O70" s="14">
        <f t="shared" si="20"/>
        <v>1</v>
      </c>
      <c r="P70" s="706"/>
      <c r="Q70" s="14">
        <f t="shared" si="21"/>
        <v>0</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6"/>
      <c r="E71" s="14">
        <f t="shared" si="15"/>
        <v>0.18</v>
      </c>
      <c r="F71" s="706"/>
      <c r="G71" s="14">
        <f t="shared" si="16"/>
        <v>1</v>
      </c>
      <c r="H71" s="706"/>
      <c r="I71" s="14">
        <f t="shared" si="17"/>
        <v>0.08</v>
      </c>
      <c r="J71" s="706"/>
      <c r="K71" s="14">
        <f t="shared" si="18"/>
        <v>1</v>
      </c>
      <c r="L71" s="706"/>
      <c r="M71" s="14">
        <f t="shared" si="19"/>
        <v>1</v>
      </c>
      <c r="N71" s="706"/>
      <c r="O71" s="14">
        <f t="shared" si="20"/>
        <v>1</v>
      </c>
      <c r="P71" s="706"/>
      <c r="Q71" s="14">
        <f t="shared" si="21"/>
        <v>0</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6"/>
      <c r="E72" s="14">
        <f t="shared" si="15"/>
        <v>0.18</v>
      </c>
      <c r="F72" s="706"/>
      <c r="G72" s="14">
        <f t="shared" si="16"/>
        <v>1</v>
      </c>
      <c r="H72" s="706"/>
      <c r="I72" s="14">
        <f t="shared" si="17"/>
        <v>0.08</v>
      </c>
      <c r="J72" s="706"/>
      <c r="K72" s="14">
        <f t="shared" si="18"/>
        <v>1</v>
      </c>
      <c r="L72" s="706"/>
      <c r="M72" s="14">
        <f t="shared" si="19"/>
        <v>1</v>
      </c>
      <c r="N72" s="706"/>
      <c r="O72" s="14">
        <f t="shared" si="20"/>
        <v>1</v>
      </c>
      <c r="P72" s="706"/>
      <c r="Q72" s="14">
        <f t="shared" si="21"/>
        <v>0</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6"/>
      <c r="E73" s="14">
        <f t="shared" si="15"/>
        <v>0.18</v>
      </c>
      <c r="F73" s="706"/>
      <c r="G73" s="14">
        <f t="shared" si="16"/>
        <v>1</v>
      </c>
      <c r="H73" s="706"/>
      <c r="I73" s="14">
        <f t="shared" si="17"/>
        <v>0.08</v>
      </c>
      <c r="J73" s="706"/>
      <c r="K73" s="14">
        <f t="shared" si="18"/>
        <v>1</v>
      </c>
      <c r="L73" s="706"/>
      <c r="M73" s="14">
        <f t="shared" si="19"/>
        <v>1</v>
      </c>
      <c r="N73" s="706"/>
      <c r="O73" s="14">
        <f t="shared" si="20"/>
        <v>1</v>
      </c>
      <c r="P73" s="706"/>
      <c r="Q73" s="14">
        <f t="shared" si="21"/>
        <v>0</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6"/>
      <c r="E74" s="14">
        <f t="shared" si="15"/>
        <v>0.18</v>
      </c>
      <c r="F74" s="706"/>
      <c r="G74" s="14">
        <f t="shared" si="16"/>
        <v>1</v>
      </c>
      <c r="H74" s="706"/>
      <c r="I74" s="14">
        <f t="shared" si="17"/>
        <v>0.08</v>
      </c>
      <c r="J74" s="706"/>
      <c r="K74" s="14">
        <f t="shared" si="18"/>
        <v>1</v>
      </c>
      <c r="L74" s="706"/>
      <c r="M74" s="14">
        <f t="shared" si="19"/>
        <v>1</v>
      </c>
      <c r="N74" s="706"/>
      <c r="O74" s="14">
        <f t="shared" si="20"/>
        <v>1</v>
      </c>
      <c r="P74" s="706"/>
      <c r="Q74" s="14">
        <f t="shared" si="21"/>
        <v>0</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6"/>
      <c r="E75" s="14">
        <f t="shared" si="15"/>
        <v>0.18</v>
      </c>
      <c r="F75" s="706"/>
      <c r="G75" s="14">
        <f t="shared" si="16"/>
        <v>1</v>
      </c>
      <c r="H75" s="706"/>
      <c r="I75" s="14">
        <f t="shared" si="17"/>
        <v>0.08</v>
      </c>
      <c r="J75" s="706"/>
      <c r="K75" s="14">
        <f t="shared" si="18"/>
        <v>1</v>
      </c>
      <c r="L75" s="706"/>
      <c r="M75" s="14">
        <f t="shared" si="19"/>
        <v>1</v>
      </c>
      <c r="N75" s="706"/>
      <c r="O75" s="14">
        <f t="shared" si="20"/>
        <v>1</v>
      </c>
      <c r="P75" s="706"/>
      <c r="Q75" s="14">
        <f t="shared" si="21"/>
        <v>0</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6"/>
      <c r="E76" s="14">
        <f t="shared" si="15"/>
        <v>0.18</v>
      </c>
      <c r="F76" s="706"/>
      <c r="G76" s="14">
        <f t="shared" si="16"/>
        <v>1</v>
      </c>
      <c r="H76" s="706"/>
      <c r="I76" s="14">
        <f t="shared" si="17"/>
        <v>0.08</v>
      </c>
      <c r="J76" s="706"/>
      <c r="K76" s="14">
        <f t="shared" si="18"/>
        <v>1</v>
      </c>
      <c r="L76" s="706"/>
      <c r="M76" s="14">
        <f t="shared" si="19"/>
        <v>1</v>
      </c>
      <c r="N76" s="706"/>
      <c r="O76" s="14">
        <f t="shared" si="20"/>
        <v>1</v>
      </c>
      <c r="P76" s="706"/>
      <c r="Q76" s="14">
        <f t="shared" si="21"/>
        <v>0</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6"/>
      <c r="E77" s="14">
        <f t="shared" si="15"/>
        <v>0.18</v>
      </c>
      <c r="F77" s="706"/>
      <c r="G77" s="14">
        <f t="shared" si="16"/>
        <v>1</v>
      </c>
      <c r="H77" s="706"/>
      <c r="I77" s="14">
        <f t="shared" si="17"/>
        <v>0.08</v>
      </c>
      <c r="J77" s="706"/>
      <c r="K77" s="14">
        <f t="shared" si="18"/>
        <v>1</v>
      </c>
      <c r="L77" s="706"/>
      <c r="M77" s="14">
        <f t="shared" si="19"/>
        <v>1</v>
      </c>
      <c r="N77" s="706"/>
      <c r="O77" s="14">
        <f t="shared" si="20"/>
        <v>1</v>
      </c>
      <c r="P77" s="706"/>
      <c r="Q77" s="14">
        <f t="shared" si="21"/>
        <v>0</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6"/>
      <c r="E78" s="14">
        <f t="shared" si="15"/>
        <v>0.18</v>
      </c>
      <c r="F78" s="706"/>
      <c r="G78" s="14">
        <f t="shared" si="16"/>
        <v>1</v>
      </c>
      <c r="H78" s="706"/>
      <c r="I78" s="14">
        <f t="shared" si="17"/>
        <v>0.08</v>
      </c>
      <c r="J78" s="706"/>
      <c r="K78" s="14">
        <f t="shared" si="18"/>
        <v>1</v>
      </c>
      <c r="L78" s="706"/>
      <c r="M78" s="14">
        <f t="shared" si="19"/>
        <v>1</v>
      </c>
      <c r="N78" s="706"/>
      <c r="O78" s="14">
        <f t="shared" si="20"/>
        <v>1</v>
      </c>
      <c r="P78" s="706"/>
      <c r="Q78" s="14">
        <f t="shared" si="21"/>
        <v>0</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6"/>
      <c r="E79" s="14">
        <f t="shared" si="15"/>
        <v>0.18</v>
      </c>
      <c r="F79" s="706"/>
      <c r="G79" s="14">
        <f t="shared" si="16"/>
        <v>1</v>
      </c>
      <c r="H79" s="706"/>
      <c r="I79" s="14">
        <f t="shared" si="17"/>
        <v>0.08</v>
      </c>
      <c r="J79" s="706"/>
      <c r="K79" s="14">
        <f t="shared" si="18"/>
        <v>1</v>
      </c>
      <c r="L79" s="706"/>
      <c r="M79" s="14">
        <f t="shared" si="19"/>
        <v>1</v>
      </c>
      <c r="N79" s="706"/>
      <c r="O79" s="14">
        <f t="shared" si="20"/>
        <v>1</v>
      </c>
      <c r="P79" s="706"/>
      <c r="Q79" s="14">
        <f t="shared" si="21"/>
        <v>0</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6"/>
      <c r="E80" s="14">
        <f t="shared" si="15"/>
        <v>0.18</v>
      </c>
      <c r="F80" s="706"/>
      <c r="G80" s="14">
        <f t="shared" si="16"/>
        <v>1</v>
      </c>
      <c r="H80" s="706"/>
      <c r="I80" s="14">
        <f t="shared" si="17"/>
        <v>0.08</v>
      </c>
      <c r="J80" s="706"/>
      <c r="K80" s="14">
        <f t="shared" si="18"/>
        <v>1</v>
      </c>
      <c r="L80" s="706"/>
      <c r="M80" s="14">
        <f t="shared" si="19"/>
        <v>1</v>
      </c>
      <c r="N80" s="706"/>
      <c r="O80" s="14">
        <f t="shared" si="20"/>
        <v>1</v>
      </c>
      <c r="P80" s="706"/>
      <c r="Q80" s="14">
        <f t="shared" si="21"/>
        <v>0</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6"/>
      <c r="E81" s="14">
        <f t="shared" si="15"/>
        <v>0.18</v>
      </c>
      <c r="F81" s="706"/>
      <c r="G81" s="14">
        <f t="shared" si="16"/>
        <v>1</v>
      </c>
      <c r="H81" s="706"/>
      <c r="I81" s="14">
        <f t="shared" si="17"/>
        <v>0.08</v>
      </c>
      <c r="J81" s="706"/>
      <c r="K81" s="14">
        <f t="shared" si="18"/>
        <v>1</v>
      </c>
      <c r="L81" s="706"/>
      <c r="M81" s="14">
        <f t="shared" si="19"/>
        <v>1</v>
      </c>
      <c r="N81" s="706"/>
      <c r="O81" s="14">
        <f t="shared" si="20"/>
        <v>1</v>
      </c>
      <c r="P81" s="706"/>
      <c r="Q81" s="14">
        <f t="shared" si="21"/>
        <v>0</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6"/>
      <c r="E82" s="14">
        <f t="shared" si="15"/>
        <v>0.18</v>
      </c>
      <c r="F82" s="706"/>
      <c r="G82" s="14">
        <f t="shared" si="16"/>
        <v>1</v>
      </c>
      <c r="H82" s="706"/>
      <c r="I82" s="14">
        <f t="shared" si="17"/>
        <v>0.08</v>
      </c>
      <c r="J82" s="706"/>
      <c r="K82" s="14">
        <f t="shared" si="18"/>
        <v>1</v>
      </c>
      <c r="L82" s="706"/>
      <c r="M82" s="14">
        <f t="shared" si="19"/>
        <v>1</v>
      </c>
      <c r="N82" s="706"/>
      <c r="O82" s="14">
        <f t="shared" si="20"/>
        <v>1</v>
      </c>
      <c r="P82" s="706"/>
      <c r="Q82" s="14">
        <f t="shared" si="21"/>
        <v>0</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6"/>
      <c r="E83" s="14">
        <f t="shared" si="15"/>
        <v>0.18</v>
      </c>
      <c r="F83" s="706"/>
      <c r="G83" s="14">
        <f t="shared" si="16"/>
        <v>1</v>
      </c>
      <c r="H83" s="706"/>
      <c r="I83" s="14">
        <f t="shared" si="17"/>
        <v>0.08</v>
      </c>
      <c r="J83" s="706"/>
      <c r="K83" s="14">
        <f t="shared" si="18"/>
        <v>1</v>
      </c>
      <c r="L83" s="706"/>
      <c r="M83" s="14">
        <f t="shared" si="19"/>
        <v>1</v>
      </c>
      <c r="N83" s="706"/>
      <c r="O83" s="14">
        <f t="shared" si="20"/>
        <v>1</v>
      </c>
      <c r="P83" s="706"/>
      <c r="Q83" s="14">
        <f t="shared" si="21"/>
        <v>0</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6"/>
      <c r="E84" s="14">
        <f t="shared" si="15"/>
        <v>0.18</v>
      </c>
      <c r="F84" s="706"/>
      <c r="G84" s="14">
        <f t="shared" si="16"/>
        <v>1</v>
      </c>
      <c r="H84" s="706"/>
      <c r="I84" s="14">
        <f t="shared" si="17"/>
        <v>0.08</v>
      </c>
      <c r="J84" s="706"/>
      <c r="K84" s="14">
        <f t="shared" si="18"/>
        <v>1</v>
      </c>
      <c r="L84" s="706"/>
      <c r="M84" s="14">
        <f t="shared" si="19"/>
        <v>1</v>
      </c>
      <c r="N84" s="706"/>
      <c r="O84" s="14">
        <f t="shared" si="20"/>
        <v>1</v>
      </c>
      <c r="P84" s="706"/>
      <c r="Q84" s="14">
        <f t="shared" si="21"/>
        <v>0</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6"/>
      <c r="E85" s="14">
        <f t="shared" si="15"/>
        <v>0.18</v>
      </c>
      <c r="F85" s="706"/>
      <c r="G85" s="14">
        <f t="shared" si="16"/>
        <v>1</v>
      </c>
      <c r="H85" s="706"/>
      <c r="I85" s="14">
        <f t="shared" si="17"/>
        <v>0.08</v>
      </c>
      <c r="J85" s="706"/>
      <c r="K85" s="14">
        <f t="shared" si="18"/>
        <v>1</v>
      </c>
      <c r="L85" s="706"/>
      <c r="M85" s="14">
        <f t="shared" si="19"/>
        <v>1</v>
      </c>
      <c r="N85" s="706"/>
      <c r="O85" s="14">
        <f t="shared" si="20"/>
        <v>1</v>
      </c>
      <c r="P85" s="706"/>
      <c r="Q85" s="14">
        <f t="shared" si="21"/>
        <v>0</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6"/>
      <c r="E86" s="14">
        <f t="shared" si="15"/>
        <v>0.18</v>
      </c>
      <c r="F86" s="706"/>
      <c r="G86" s="14">
        <f t="shared" si="16"/>
        <v>1</v>
      </c>
      <c r="H86" s="706"/>
      <c r="I86" s="14">
        <f t="shared" si="17"/>
        <v>0.08</v>
      </c>
      <c r="J86" s="706"/>
      <c r="K86" s="14">
        <f t="shared" si="18"/>
        <v>1</v>
      </c>
      <c r="L86" s="706"/>
      <c r="M86" s="14">
        <f t="shared" si="19"/>
        <v>1</v>
      </c>
      <c r="N86" s="706"/>
      <c r="O86" s="14">
        <f t="shared" si="20"/>
        <v>1</v>
      </c>
      <c r="P86" s="706"/>
      <c r="Q86" s="14">
        <f t="shared" si="21"/>
        <v>0</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6"/>
      <c r="E87" s="14">
        <f t="shared" si="15"/>
        <v>0.18</v>
      </c>
      <c r="F87" s="706"/>
      <c r="G87" s="14">
        <f t="shared" si="16"/>
        <v>1</v>
      </c>
      <c r="H87" s="706"/>
      <c r="I87" s="14">
        <f t="shared" si="17"/>
        <v>0.08</v>
      </c>
      <c r="J87" s="706"/>
      <c r="K87" s="14">
        <f t="shared" si="18"/>
        <v>1</v>
      </c>
      <c r="L87" s="706"/>
      <c r="M87" s="14">
        <f t="shared" si="19"/>
        <v>1</v>
      </c>
      <c r="N87" s="706"/>
      <c r="O87" s="14">
        <f t="shared" si="20"/>
        <v>1</v>
      </c>
      <c r="P87" s="706"/>
      <c r="Q87" s="14">
        <f t="shared" si="21"/>
        <v>0</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6"/>
      <c r="E88" s="14">
        <f t="shared" si="15"/>
        <v>0.18</v>
      </c>
      <c r="F88" s="706"/>
      <c r="G88" s="14">
        <f t="shared" si="16"/>
        <v>1</v>
      </c>
      <c r="H88" s="706"/>
      <c r="I88" s="14">
        <f t="shared" si="17"/>
        <v>0.08</v>
      </c>
      <c r="J88" s="706"/>
      <c r="K88" s="14">
        <f t="shared" si="18"/>
        <v>1</v>
      </c>
      <c r="L88" s="706"/>
      <c r="M88" s="14">
        <f t="shared" si="19"/>
        <v>1</v>
      </c>
      <c r="N88" s="706"/>
      <c r="O88" s="14">
        <f t="shared" si="20"/>
        <v>1</v>
      </c>
      <c r="P88" s="706"/>
      <c r="Q88" s="14">
        <f t="shared" si="21"/>
        <v>0</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6"/>
      <c r="E89" s="14">
        <f t="shared" si="15"/>
        <v>0.18</v>
      </c>
      <c r="F89" s="706"/>
      <c r="G89" s="14">
        <f t="shared" si="16"/>
        <v>1</v>
      </c>
      <c r="H89" s="706"/>
      <c r="I89" s="14">
        <f t="shared" si="17"/>
        <v>0.08</v>
      </c>
      <c r="J89" s="706"/>
      <c r="K89" s="14">
        <f t="shared" si="18"/>
        <v>1</v>
      </c>
      <c r="L89" s="706"/>
      <c r="M89" s="14">
        <f t="shared" si="19"/>
        <v>1</v>
      </c>
      <c r="N89" s="706"/>
      <c r="O89" s="14">
        <f t="shared" si="20"/>
        <v>1</v>
      </c>
      <c r="P89" s="706"/>
      <c r="Q89" s="14">
        <f t="shared" si="21"/>
        <v>0</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6"/>
      <c r="E90" s="14">
        <f t="shared" si="15"/>
        <v>0.18</v>
      </c>
      <c r="F90" s="706"/>
      <c r="G90" s="14">
        <f t="shared" si="16"/>
        <v>1</v>
      </c>
      <c r="H90" s="706"/>
      <c r="I90" s="14">
        <f t="shared" si="17"/>
        <v>0.08</v>
      </c>
      <c r="J90" s="706"/>
      <c r="K90" s="14">
        <f t="shared" si="18"/>
        <v>1</v>
      </c>
      <c r="L90" s="706"/>
      <c r="M90" s="14">
        <f t="shared" si="19"/>
        <v>1</v>
      </c>
      <c r="N90" s="706"/>
      <c r="O90" s="14">
        <f t="shared" si="20"/>
        <v>1</v>
      </c>
      <c r="P90" s="706"/>
      <c r="Q90" s="14">
        <f t="shared" si="21"/>
        <v>0</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6"/>
      <c r="E91" s="14">
        <f t="shared" si="15"/>
        <v>0.18</v>
      </c>
      <c r="F91" s="706"/>
      <c r="G91" s="14">
        <f t="shared" si="16"/>
        <v>1</v>
      </c>
      <c r="H91" s="706"/>
      <c r="I91" s="14">
        <f t="shared" si="17"/>
        <v>0.08</v>
      </c>
      <c r="J91" s="706"/>
      <c r="K91" s="14">
        <f t="shared" si="18"/>
        <v>1</v>
      </c>
      <c r="L91" s="706"/>
      <c r="M91" s="14">
        <f t="shared" si="19"/>
        <v>1</v>
      </c>
      <c r="N91" s="706"/>
      <c r="O91" s="14">
        <f t="shared" si="20"/>
        <v>1</v>
      </c>
      <c r="P91" s="706"/>
      <c r="Q91" s="14">
        <f t="shared" si="21"/>
        <v>0</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6"/>
      <c r="E92" s="14">
        <f t="shared" ref="E92:E155" si="30">(SUMIF($8:$8,D92,$9:$9)-SUMIF($8:$8,$D$27,$9:$9)+100)/100</f>
        <v>0.18</v>
      </c>
      <c r="F92" s="706"/>
      <c r="G92" s="14">
        <f t="shared" ref="G92:G155" si="31">(SUMIF($10:$10,F92,$11:$11)-SUMIF($10:$10,$F$27,$11:$11)+100)/100</f>
        <v>1</v>
      </c>
      <c r="H92" s="706"/>
      <c r="I92" s="14">
        <f t="shared" ref="I92:I155" si="32">(SUMIF($12:$12,H92,$13:$13)-SUMIF($12:$12,$H$27,$13:$13)+100)/100</f>
        <v>0.08</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6"/>
      <c r="E93" s="14">
        <f t="shared" si="30"/>
        <v>0.18</v>
      </c>
      <c r="F93" s="706"/>
      <c r="G93" s="14">
        <f t="shared" si="31"/>
        <v>1</v>
      </c>
      <c r="H93" s="706"/>
      <c r="I93" s="14">
        <f t="shared" si="32"/>
        <v>0.08</v>
      </c>
      <c r="J93" s="706"/>
      <c r="K93" s="14">
        <f t="shared" si="33"/>
        <v>1</v>
      </c>
      <c r="L93" s="706"/>
      <c r="M93" s="14">
        <f t="shared" si="34"/>
        <v>1</v>
      </c>
      <c r="N93" s="706"/>
      <c r="O93" s="14">
        <f t="shared" si="35"/>
        <v>1</v>
      </c>
      <c r="P93" s="706"/>
      <c r="Q93" s="14">
        <f t="shared" si="36"/>
        <v>0</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6"/>
      <c r="E94" s="14">
        <f t="shared" si="30"/>
        <v>0.18</v>
      </c>
      <c r="F94" s="706"/>
      <c r="G94" s="14">
        <f t="shared" si="31"/>
        <v>1</v>
      </c>
      <c r="H94" s="706"/>
      <c r="I94" s="14">
        <f t="shared" si="32"/>
        <v>0.08</v>
      </c>
      <c r="J94" s="706"/>
      <c r="K94" s="14">
        <f t="shared" si="33"/>
        <v>1</v>
      </c>
      <c r="L94" s="706"/>
      <c r="M94" s="14">
        <f t="shared" si="34"/>
        <v>1</v>
      </c>
      <c r="N94" s="706"/>
      <c r="O94" s="14">
        <f t="shared" si="35"/>
        <v>1</v>
      </c>
      <c r="P94" s="706"/>
      <c r="Q94" s="14">
        <f t="shared" si="36"/>
        <v>0</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6"/>
      <c r="E95" s="14">
        <f t="shared" si="30"/>
        <v>0.18</v>
      </c>
      <c r="F95" s="706"/>
      <c r="G95" s="14">
        <f t="shared" si="31"/>
        <v>1</v>
      </c>
      <c r="H95" s="706"/>
      <c r="I95" s="14">
        <f t="shared" si="32"/>
        <v>0.08</v>
      </c>
      <c r="J95" s="706"/>
      <c r="K95" s="14">
        <f t="shared" si="33"/>
        <v>1</v>
      </c>
      <c r="L95" s="706"/>
      <c r="M95" s="14">
        <f t="shared" si="34"/>
        <v>1</v>
      </c>
      <c r="N95" s="706"/>
      <c r="O95" s="14">
        <f t="shared" si="35"/>
        <v>1</v>
      </c>
      <c r="P95" s="706"/>
      <c r="Q95" s="14">
        <f t="shared" si="36"/>
        <v>0</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6"/>
      <c r="E96" s="14">
        <f t="shared" si="30"/>
        <v>0.18</v>
      </c>
      <c r="F96" s="706"/>
      <c r="G96" s="14">
        <f t="shared" si="31"/>
        <v>1</v>
      </c>
      <c r="H96" s="706"/>
      <c r="I96" s="14">
        <f t="shared" si="32"/>
        <v>0.08</v>
      </c>
      <c r="J96" s="706"/>
      <c r="K96" s="14">
        <f t="shared" si="33"/>
        <v>1</v>
      </c>
      <c r="L96" s="706"/>
      <c r="M96" s="14">
        <f t="shared" si="34"/>
        <v>1</v>
      </c>
      <c r="N96" s="706"/>
      <c r="O96" s="14">
        <f t="shared" si="35"/>
        <v>1</v>
      </c>
      <c r="P96" s="706"/>
      <c r="Q96" s="14">
        <f t="shared" si="36"/>
        <v>0</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6"/>
      <c r="E97" s="14">
        <f t="shared" si="30"/>
        <v>0.18</v>
      </c>
      <c r="F97" s="706"/>
      <c r="G97" s="14">
        <f t="shared" si="31"/>
        <v>1</v>
      </c>
      <c r="H97" s="706"/>
      <c r="I97" s="14">
        <f t="shared" si="32"/>
        <v>0.08</v>
      </c>
      <c r="J97" s="706"/>
      <c r="K97" s="14">
        <f t="shared" si="33"/>
        <v>1</v>
      </c>
      <c r="L97" s="706"/>
      <c r="M97" s="14">
        <f t="shared" si="34"/>
        <v>1</v>
      </c>
      <c r="N97" s="706"/>
      <c r="O97" s="14">
        <f t="shared" si="35"/>
        <v>1</v>
      </c>
      <c r="P97" s="706"/>
      <c r="Q97" s="14">
        <f t="shared" si="36"/>
        <v>0</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6"/>
      <c r="E98" s="14">
        <f t="shared" si="30"/>
        <v>0.18</v>
      </c>
      <c r="F98" s="706"/>
      <c r="G98" s="14">
        <f t="shared" si="31"/>
        <v>1</v>
      </c>
      <c r="H98" s="706"/>
      <c r="I98" s="14">
        <f t="shared" si="32"/>
        <v>0.08</v>
      </c>
      <c r="J98" s="706"/>
      <c r="K98" s="14">
        <f t="shared" si="33"/>
        <v>1</v>
      </c>
      <c r="L98" s="706"/>
      <c r="M98" s="14">
        <f t="shared" si="34"/>
        <v>1</v>
      </c>
      <c r="N98" s="706"/>
      <c r="O98" s="14">
        <f t="shared" si="35"/>
        <v>1</v>
      </c>
      <c r="P98" s="706"/>
      <c r="Q98" s="14">
        <f t="shared" si="36"/>
        <v>0</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6"/>
      <c r="E99" s="14">
        <f t="shared" si="30"/>
        <v>0.18</v>
      </c>
      <c r="F99" s="706"/>
      <c r="G99" s="14">
        <f t="shared" si="31"/>
        <v>1</v>
      </c>
      <c r="H99" s="706"/>
      <c r="I99" s="14">
        <f t="shared" si="32"/>
        <v>0.08</v>
      </c>
      <c r="J99" s="706"/>
      <c r="K99" s="14">
        <f t="shared" si="33"/>
        <v>1</v>
      </c>
      <c r="L99" s="706"/>
      <c r="M99" s="14">
        <f t="shared" si="34"/>
        <v>1</v>
      </c>
      <c r="N99" s="706"/>
      <c r="O99" s="14">
        <f t="shared" si="35"/>
        <v>1</v>
      </c>
      <c r="P99" s="706"/>
      <c r="Q99" s="14">
        <f t="shared" si="36"/>
        <v>0</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6"/>
      <c r="E100" s="14">
        <f t="shared" si="30"/>
        <v>0.18</v>
      </c>
      <c r="F100" s="706"/>
      <c r="G100" s="14">
        <f t="shared" si="31"/>
        <v>1</v>
      </c>
      <c r="H100" s="706"/>
      <c r="I100" s="14">
        <f t="shared" si="32"/>
        <v>0.08</v>
      </c>
      <c r="J100" s="706"/>
      <c r="K100" s="14">
        <f t="shared" si="33"/>
        <v>1</v>
      </c>
      <c r="L100" s="706"/>
      <c r="M100" s="14">
        <f t="shared" si="34"/>
        <v>1</v>
      </c>
      <c r="N100" s="706"/>
      <c r="O100" s="14">
        <f t="shared" si="35"/>
        <v>1</v>
      </c>
      <c r="P100" s="706"/>
      <c r="Q100" s="14">
        <f t="shared" si="36"/>
        <v>0</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6"/>
      <c r="E101" s="14">
        <f t="shared" si="30"/>
        <v>0.18</v>
      </c>
      <c r="F101" s="706"/>
      <c r="G101" s="14">
        <f t="shared" si="31"/>
        <v>1</v>
      </c>
      <c r="H101" s="706"/>
      <c r="I101" s="14">
        <f t="shared" si="32"/>
        <v>0.08</v>
      </c>
      <c r="J101" s="706"/>
      <c r="K101" s="14">
        <f t="shared" si="33"/>
        <v>1</v>
      </c>
      <c r="L101" s="706"/>
      <c r="M101" s="14">
        <f t="shared" si="34"/>
        <v>1</v>
      </c>
      <c r="N101" s="706"/>
      <c r="O101" s="14">
        <f t="shared" si="35"/>
        <v>1</v>
      </c>
      <c r="P101" s="706"/>
      <c r="Q101" s="14">
        <f t="shared" si="36"/>
        <v>0</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6"/>
      <c r="E102" s="14">
        <f t="shared" si="30"/>
        <v>0.18</v>
      </c>
      <c r="F102" s="706"/>
      <c r="G102" s="14">
        <f t="shared" si="31"/>
        <v>1</v>
      </c>
      <c r="H102" s="706"/>
      <c r="I102" s="14">
        <f t="shared" si="32"/>
        <v>0.08</v>
      </c>
      <c r="J102" s="706"/>
      <c r="K102" s="14">
        <f t="shared" si="33"/>
        <v>1</v>
      </c>
      <c r="L102" s="706"/>
      <c r="M102" s="14">
        <f t="shared" si="34"/>
        <v>1</v>
      </c>
      <c r="N102" s="706"/>
      <c r="O102" s="14">
        <f t="shared" si="35"/>
        <v>1</v>
      </c>
      <c r="P102" s="706"/>
      <c r="Q102" s="14">
        <f t="shared" si="36"/>
        <v>0</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6"/>
      <c r="E103" s="14">
        <f t="shared" si="30"/>
        <v>0.18</v>
      </c>
      <c r="F103" s="706"/>
      <c r="G103" s="14">
        <f t="shared" si="31"/>
        <v>1</v>
      </c>
      <c r="H103" s="706"/>
      <c r="I103" s="14">
        <f t="shared" si="32"/>
        <v>0.08</v>
      </c>
      <c r="J103" s="706"/>
      <c r="K103" s="14">
        <f t="shared" si="33"/>
        <v>1</v>
      </c>
      <c r="L103" s="706"/>
      <c r="M103" s="14">
        <f t="shared" si="34"/>
        <v>1</v>
      </c>
      <c r="N103" s="706"/>
      <c r="O103" s="14">
        <f t="shared" si="35"/>
        <v>1</v>
      </c>
      <c r="P103" s="706"/>
      <c r="Q103" s="14">
        <f t="shared" si="36"/>
        <v>0</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6"/>
      <c r="E104" s="14">
        <f t="shared" si="30"/>
        <v>0.18</v>
      </c>
      <c r="F104" s="706"/>
      <c r="G104" s="14">
        <f t="shared" si="31"/>
        <v>1</v>
      </c>
      <c r="H104" s="706"/>
      <c r="I104" s="14">
        <f t="shared" si="32"/>
        <v>0.08</v>
      </c>
      <c r="J104" s="706"/>
      <c r="K104" s="14">
        <f t="shared" si="33"/>
        <v>1</v>
      </c>
      <c r="L104" s="706"/>
      <c r="M104" s="14">
        <f t="shared" si="34"/>
        <v>1</v>
      </c>
      <c r="N104" s="706"/>
      <c r="O104" s="14">
        <f t="shared" si="35"/>
        <v>1</v>
      </c>
      <c r="P104" s="706"/>
      <c r="Q104" s="14">
        <f t="shared" si="36"/>
        <v>0</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6"/>
      <c r="E105" s="14">
        <f t="shared" si="30"/>
        <v>0.18</v>
      </c>
      <c r="F105" s="706"/>
      <c r="G105" s="14">
        <f t="shared" si="31"/>
        <v>1</v>
      </c>
      <c r="H105" s="706"/>
      <c r="I105" s="14">
        <f t="shared" si="32"/>
        <v>0.08</v>
      </c>
      <c r="J105" s="706"/>
      <c r="K105" s="14">
        <f t="shared" si="33"/>
        <v>1</v>
      </c>
      <c r="L105" s="706"/>
      <c r="M105" s="14">
        <f t="shared" si="34"/>
        <v>1</v>
      </c>
      <c r="N105" s="706"/>
      <c r="O105" s="14">
        <f t="shared" si="35"/>
        <v>1</v>
      </c>
      <c r="P105" s="706"/>
      <c r="Q105" s="14">
        <f t="shared" si="36"/>
        <v>0</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6"/>
      <c r="E106" s="14">
        <f t="shared" si="30"/>
        <v>0.18</v>
      </c>
      <c r="F106" s="706"/>
      <c r="G106" s="14">
        <f t="shared" si="31"/>
        <v>1</v>
      </c>
      <c r="H106" s="706"/>
      <c r="I106" s="14">
        <f t="shared" si="32"/>
        <v>0.08</v>
      </c>
      <c r="J106" s="706"/>
      <c r="K106" s="14">
        <f t="shared" si="33"/>
        <v>1</v>
      </c>
      <c r="L106" s="706"/>
      <c r="M106" s="14">
        <f t="shared" si="34"/>
        <v>1</v>
      </c>
      <c r="N106" s="706"/>
      <c r="O106" s="14">
        <f t="shared" si="35"/>
        <v>1</v>
      </c>
      <c r="P106" s="706"/>
      <c r="Q106" s="14">
        <f t="shared" si="36"/>
        <v>0</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6"/>
      <c r="E107" s="14">
        <f t="shared" si="30"/>
        <v>0.18</v>
      </c>
      <c r="F107" s="706"/>
      <c r="G107" s="14">
        <f t="shared" si="31"/>
        <v>1</v>
      </c>
      <c r="H107" s="706"/>
      <c r="I107" s="14">
        <f t="shared" si="32"/>
        <v>0.08</v>
      </c>
      <c r="J107" s="706"/>
      <c r="K107" s="14">
        <f t="shared" si="33"/>
        <v>1</v>
      </c>
      <c r="L107" s="706"/>
      <c r="M107" s="14">
        <f t="shared" si="34"/>
        <v>1</v>
      </c>
      <c r="N107" s="706"/>
      <c r="O107" s="14">
        <f t="shared" si="35"/>
        <v>1</v>
      </c>
      <c r="P107" s="706"/>
      <c r="Q107" s="14">
        <f t="shared" si="36"/>
        <v>0</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6"/>
      <c r="E108" s="14">
        <f t="shared" si="30"/>
        <v>0.18</v>
      </c>
      <c r="F108" s="706"/>
      <c r="G108" s="14">
        <f t="shared" si="31"/>
        <v>1</v>
      </c>
      <c r="H108" s="706"/>
      <c r="I108" s="14">
        <f t="shared" si="32"/>
        <v>0.08</v>
      </c>
      <c r="J108" s="706"/>
      <c r="K108" s="14">
        <f t="shared" si="33"/>
        <v>1</v>
      </c>
      <c r="L108" s="706"/>
      <c r="M108" s="14">
        <f t="shared" si="34"/>
        <v>1</v>
      </c>
      <c r="N108" s="706"/>
      <c r="O108" s="14">
        <f t="shared" si="35"/>
        <v>1</v>
      </c>
      <c r="P108" s="706"/>
      <c r="Q108" s="14">
        <f t="shared" si="36"/>
        <v>0</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6"/>
      <c r="E109" s="14">
        <f t="shared" si="30"/>
        <v>0.18</v>
      </c>
      <c r="F109" s="706"/>
      <c r="G109" s="14">
        <f t="shared" si="31"/>
        <v>1</v>
      </c>
      <c r="H109" s="706"/>
      <c r="I109" s="14">
        <f t="shared" si="32"/>
        <v>0.08</v>
      </c>
      <c r="J109" s="706"/>
      <c r="K109" s="14">
        <f t="shared" si="33"/>
        <v>1</v>
      </c>
      <c r="L109" s="706"/>
      <c r="M109" s="14">
        <f t="shared" si="34"/>
        <v>1</v>
      </c>
      <c r="N109" s="706"/>
      <c r="O109" s="14">
        <f t="shared" si="35"/>
        <v>1</v>
      </c>
      <c r="P109" s="706"/>
      <c r="Q109" s="14">
        <f t="shared" si="36"/>
        <v>0</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6"/>
      <c r="E110" s="14">
        <f t="shared" si="30"/>
        <v>0.18</v>
      </c>
      <c r="F110" s="706"/>
      <c r="G110" s="14">
        <f t="shared" si="31"/>
        <v>1</v>
      </c>
      <c r="H110" s="706"/>
      <c r="I110" s="14">
        <f t="shared" si="32"/>
        <v>0.08</v>
      </c>
      <c r="J110" s="706"/>
      <c r="K110" s="14">
        <f t="shared" si="33"/>
        <v>1</v>
      </c>
      <c r="L110" s="706"/>
      <c r="M110" s="14">
        <f t="shared" si="34"/>
        <v>1</v>
      </c>
      <c r="N110" s="706"/>
      <c r="O110" s="14">
        <f t="shared" si="35"/>
        <v>1</v>
      </c>
      <c r="P110" s="706"/>
      <c r="Q110" s="14">
        <f t="shared" si="36"/>
        <v>0</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6"/>
      <c r="E111" s="14">
        <f t="shared" si="30"/>
        <v>0.18</v>
      </c>
      <c r="F111" s="706"/>
      <c r="G111" s="14">
        <f t="shared" si="31"/>
        <v>1</v>
      </c>
      <c r="H111" s="706"/>
      <c r="I111" s="14">
        <f t="shared" si="32"/>
        <v>0.08</v>
      </c>
      <c r="J111" s="706"/>
      <c r="K111" s="14">
        <f t="shared" si="33"/>
        <v>1</v>
      </c>
      <c r="L111" s="706"/>
      <c r="M111" s="14">
        <f t="shared" si="34"/>
        <v>1</v>
      </c>
      <c r="N111" s="706"/>
      <c r="O111" s="14">
        <f t="shared" si="35"/>
        <v>1</v>
      </c>
      <c r="P111" s="706"/>
      <c r="Q111" s="14">
        <f t="shared" si="36"/>
        <v>0</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6"/>
      <c r="E112" s="14">
        <f t="shared" si="30"/>
        <v>0.18</v>
      </c>
      <c r="F112" s="706"/>
      <c r="G112" s="14">
        <f t="shared" si="31"/>
        <v>1</v>
      </c>
      <c r="H112" s="706"/>
      <c r="I112" s="14">
        <f t="shared" si="32"/>
        <v>0.08</v>
      </c>
      <c r="J112" s="706"/>
      <c r="K112" s="14">
        <f t="shared" si="33"/>
        <v>1</v>
      </c>
      <c r="L112" s="706"/>
      <c r="M112" s="14">
        <f t="shared" si="34"/>
        <v>1</v>
      </c>
      <c r="N112" s="706"/>
      <c r="O112" s="14">
        <f t="shared" si="35"/>
        <v>1</v>
      </c>
      <c r="P112" s="706"/>
      <c r="Q112" s="14">
        <f t="shared" si="36"/>
        <v>0</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6"/>
      <c r="E113" s="14">
        <f t="shared" si="30"/>
        <v>0.18</v>
      </c>
      <c r="F113" s="706"/>
      <c r="G113" s="14">
        <f t="shared" si="31"/>
        <v>1</v>
      </c>
      <c r="H113" s="706"/>
      <c r="I113" s="14">
        <f t="shared" si="32"/>
        <v>0.08</v>
      </c>
      <c r="J113" s="706"/>
      <c r="K113" s="14">
        <f t="shared" si="33"/>
        <v>1</v>
      </c>
      <c r="L113" s="706"/>
      <c r="M113" s="14">
        <f t="shared" si="34"/>
        <v>1</v>
      </c>
      <c r="N113" s="706"/>
      <c r="O113" s="14">
        <f t="shared" si="35"/>
        <v>1</v>
      </c>
      <c r="P113" s="706"/>
      <c r="Q113" s="14">
        <f t="shared" si="36"/>
        <v>0</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6"/>
      <c r="E114" s="14">
        <f t="shared" si="30"/>
        <v>0.18</v>
      </c>
      <c r="F114" s="706"/>
      <c r="G114" s="14">
        <f t="shared" si="31"/>
        <v>1</v>
      </c>
      <c r="H114" s="706"/>
      <c r="I114" s="14">
        <f t="shared" si="32"/>
        <v>0.08</v>
      </c>
      <c r="J114" s="706"/>
      <c r="K114" s="14">
        <f t="shared" si="33"/>
        <v>1</v>
      </c>
      <c r="L114" s="706"/>
      <c r="M114" s="14">
        <f t="shared" si="34"/>
        <v>1</v>
      </c>
      <c r="N114" s="706"/>
      <c r="O114" s="14">
        <f t="shared" si="35"/>
        <v>1</v>
      </c>
      <c r="P114" s="706"/>
      <c r="Q114" s="14">
        <f t="shared" si="36"/>
        <v>0</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6"/>
      <c r="E115" s="14">
        <f t="shared" si="30"/>
        <v>0.18</v>
      </c>
      <c r="F115" s="706"/>
      <c r="G115" s="14">
        <f t="shared" si="31"/>
        <v>1</v>
      </c>
      <c r="H115" s="706"/>
      <c r="I115" s="14">
        <f t="shared" si="32"/>
        <v>0.08</v>
      </c>
      <c r="J115" s="706"/>
      <c r="K115" s="14">
        <f t="shared" si="33"/>
        <v>1</v>
      </c>
      <c r="L115" s="706"/>
      <c r="M115" s="14">
        <f t="shared" si="34"/>
        <v>1</v>
      </c>
      <c r="N115" s="706"/>
      <c r="O115" s="14">
        <f t="shared" si="35"/>
        <v>1</v>
      </c>
      <c r="P115" s="706"/>
      <c r="Q115" s="14">
        <f t="shared" si="36"/>
        <v>0</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6"/>
      <c r="E116" s="14">
        <f t="shared" si="30"/>
        <v>0.18</v>
      </c>
      <c r="F116" s="706"/>
      <c r="G116" s="14">
        <f t="shared" si="31"/>
        <v>1</v>
      </c>
      <c r="H116" s="706"/>
      <c r="I116" s="14">
        <f t="shared" si="32"/>
        <v>0.08</v>
      </c>
      <c r="J116" s="706"/>
      <c r="K116" s="14">
        <f t="shared" si="33"/>
        <v>1</v>
      </c>
      <c r="L116" s="706"/>
      <c r="M116" s="14">
        <f t="shared" si="34"/>
        <v>1</v>
      </c>
      <c r="N116" s="706"/>
      <c r="O116" s="14">
        <f t="shared" si="35"/>
        <v>1</v>
      </c>
      <c r="P116" s="706"/>
      <c r="Q116" s="14">
        <f t="shared" si="36"/>
        <v>0</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6"/>
      <c r="E117" s="14">
        <f t="shared" si="30"/>
        <v>0.18</v>
      </c>
      <c r="F117" s="706"/>
      <c r="G117" s="14">
        <f t="shared" si="31"/>
        <v>1</v>
      </c>
      <c r="H117" s="706"/>
      <c r="I117" s="14">
        <f t="shared" si="32"/>
        <v>0.08</v>
      </c>
      <c r="J117" s="706"/>
      <c r="K117" s="14">
        <f t="shared" si="33"/>
        <v>1</v>
      </c>
      <c r="L117" s="706"/>
      <c r="M117" s="14">
        <f t="shared" si="34"/>
        <v>1</v>
      </c>
      <c r="N117" s="706"/>
      <c r="O117" s="14">
        <f t="shared" si="35"/>
        <v>1</v>
      </c>
      <c r="P117" s="706"/>
      <c r="Q117" s="14">
        <f t="shared" si="36"/>
        <v>0</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6"/>
      <c r="E118" s="14">
        <f t="shared" si="30"/>
        <v>0.18</v>
      </c>
      <c r="F118" s="706"/>
      <c r="G118" s="14">
        <f t="shared" si="31"/>
        <v>1</v>
      </c>
      <c r="H118" s="706"/>
      <c r="I118" s="14">
        <f t="shared" si="32"/>
        <v>0.08</v>
      </c>
      <c r="J118" s="706"/>
      <c r="K118" s="14">
        <f t="shared" si="33"/>
        <v>1</v>
      </c>
      <c r="L118" s="706"/>
      <c r="M118" s="14">
        <f t="shared" si="34"/>
        <v>1</v>
      </c>
      <c r="N118" s="706"/>
      <c r="O118" s="14">
        <f t="shared" si="35"/>
        <v>1</v>
      </c>
      <c r="P118" s="706"/>
      <c r="Q118" s="14">
        <f t="shared" si="36"/>
        <v>0</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6"/>
      <c r="E119" s="14">
        <f t="shared" si="30"/>
        <v>0.18</v>
      </c>
      <c r="F119" s="706"/>
      <c r="G119" s="14">
        <f t="shared" si="31"/>
        <v>1</v>
      </c>
      <c r="H119" s="706"/>
      <c r="I119" s="14">
        <f t="shared" si="32"/>
        <v>0.08</v>
      </c>
      <c r="J119" s="706"/>
      <c r="K119" s="14">
        <f t="shared" si="33"/>
        <v>1</v>
      </c>
      <c r="L119" s="706"/>
      <c r="M119" s="14">
        <f t="shared" si="34"/>
        <v>1</v>
      </c>
      <c r="N119" s="706"/>
      <c r="O119" s="14">
        <f t="shared" si="35"/>
        <v>1</v>
      </c>
      <c r="P119" s="706"/>
      <c r="Q119" s="14">
        <f t="shared" si="36"/>
        <v>0</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6"/>
      <c r="E120" s="14">
        <f t="shared" si="30"/>
        <v>0.18</v>
      </c>
      <c r="F120" s="706"/>
      <c r="G120" s="14">
        <f t="shared" si="31"/>
        <v>1</v>
      </c>
      <c r="H120" s="706"/>
      <c r="I120" s="14">
        <f t="shared" si="32"/>
        <v>0.08</v>
      </c>
      <c r="J120" s="706"/>
      <c r="K120" s="14">
        <f t="shared" si="33"/>
        <v>1</v>
      </c>
      <c r="L120" s="706"/>
      <c r="M120" s="14">
        <f t="shared" si="34"/>
        <v>1</v>
      </c>
      <c r="N120" s="706"/>
      <c r="O120" s="14">
        <f t="shared" si="35"/>
        <v>1</v>
      </c>
      <c r="P120" s="706"/>
      <c r="Q120" s="14">
        <f t="shared" si="36"/>
        <v>0</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6"/>
      <c r="E121" s="14">
        <f t="shared" si="30"/>
        <v>0.18</v>
      </c>
      <c r="F121" s="706"/>
      <c r="G121" s="14">
        <f t="shared" si="31"/>
        <v>1</v>
      </c>
      <c r="H121" s="706"/>
      <c r="I121" s="14">
        <f t="shared" si="32"/>
        <v>0.08</v>
      </c>
      <c r="J121" s="706"/>
      <c r="K121" s="14">
        <f t="shared" si="33"/>
        <v>1</v>
      </c>
      <c r="L121" s="706"/>
      <c r="M121" s="14">
        <f t="shared" si="34"/>
        <v>1</v>
      </c>
      <c r="N121" s="706"/>
      <c r="O121" s="14">
        <f t="shared" si="35"/>
        <v>1</v>
      </c>
      <c r="P121" s="706"/>
      <c r="Q121" s="14">
        <f t="shared" si="36"/>
        <v>0</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6"/>
      <c r="E122" s="14">
        <f t="shared" si="30"/>
        <v>0.18</v>
      </c>
      <c r="F122" s="706"/>
      <c r="G122" s="14">
        <f t="shared" si="31"/>
        <v>1</v>
      </c>
      <c r="H122" s="706"/>
      <c r="I122" s="14">
        <f t="shared" si="32"/>
        <v>0.08</v>
      </c>
      <c r="J122" s="706"/>
      <c r="K122" s="14">
        <f t="shared" si="33"/>
        <v>1</v>
      </c>
      <c r="L122" s="706"/>
      <c r="M122" s="14">
        <f t="shared" si="34"/>
        <v>1</v>
      </c>
      <c r="N122" s="706"/>
      <c r="O122" s="14">
        <f t="shared" si="35"/>
        <v>1</v>
      </c>
      <c r="P122" s="706"/>
      <c r="Q122" s="14">
        <f t="shared" si="36"/>
        <v>0</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6"/>
      <c r="E123" s="14">
        <f t="shared" si="30"/>
        <v>0.18</v>
      </c>
      <c r="F123" s="706"/>
      <c r="G123" s="14">
        <f t="shared" si="31"/>
        <v>1</v>
      </c>
      <c r="H123" s="706"/>
      <c r="I123" s="14">
        <f t="shared" si="32"/>
        <v>0.08</v>
      </c>
      <c r="J123" s="706"/>
      <c r="K123" s="14">
        <f t="shared" si="33"/>
        <v>1</v>
      </c>
      <c r="L123" s="706"/>
      <c r="M123" s="14">
        <f t="shared" si="34"/>
        <v>1</v>
      </c>
      <c r="N123" s="706"/>
      <c r="O123" s="14">
        <f t="shared" si="35"/>
        <v>1</v>
      </c>
      <c r="P123" s="706"/>
      <c r="Q123" s="14">
        <f t="shared" si="36"/>
        <v>0</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6"/>
      <c r="E124" s="14">
        <f t="shared" si="30"/>
        <v>0.18</v>
      </c>
      <c r="F124" s="706"/>
      <c r="G124" s="14">
        <f t="shared" si="31"/>
        <v>1</v>
      </c>
      <c r="H124" s="706"/>
      <c r="I124" s="14">
        <f t="shared" si="32"/>
        <v>0.08</v>
      </c>
      <c r="J124" s="706"/>
      <c r="K124" s="14">
        <f t="shared" si="33"/>
        <v>1</v>
      </c>
      <c r="L124" s="706"/>
      <c r="M124" s="14">
        <f t="shared" si="34"/>
        <v>1</v>
      </c>
      <c r="N124" s="706"/>
      <c r="O124" s="14">
        <f t="shared" si="35"/>
        <v>1</v>
      </c>
      <c r="P124" s="706"/>
      <c r="Q124" s="14">
        <f t="shared" si="36"/>
        <v>0</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6"/>
      <c r="E125" s="14">
        <f t="shared" si="30"/>
        <v>0.18</v>
      </c>
      <c r="F125" s="706"/>
      <c r="G125" s="14">
        <f t="shared" si="31"/>
        <v>1</v>
      </c>
      <c r="H125" s="706"/>
      <c r="I125" s="14">
        <f t="shared" si="32"/>
        <v>0.08</v>
      </c>
      <c r="J125" s="706"/>
      <c r="K125" s="14">
        <f t="shared" si="33"/>
        <v>1</v>
      </c>
      <c r="L125" s="706"/>
      <c r="M125" s="14">
        <f t="shared" si="34"/>
        <v>1</v>
      </c>
      <c r="N125" s="706"/>
      <c r="O125" s="14">
        <f t="shared" si="35"/>
        <v>1</v>
      </c>
      <c r="P125" s="706"/>
      <c r="Q125" s="14">
        <f t="shared" si="36"/>
        <v>0</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6"/>
      <c r="E126" s="14">
        <f t="shared" si="30"/>
        <v>0.18</v>
      </c>
      <c r="F126" s="706"/>
      <c r="G126" s="14">
        <f t="shared" si="31"/>
        <v>1</v>
      </c>
      <c r="H126" s="706"/>
      <c r="I126" s="14">
        <f t="shared" si="32"/>
        <v>0.08</v>
      </c>
      <c r="J126" s="706"/>
      <c r="K126" s="14">
        <f t="shared" si="33"/>
        <v>1</v>
      </c>
      <c r="L126" s="706"/>
      <c r="M126" s="14">
        <f t="shared" si="34"/>
        <v>1</v>
      </c>
      <c r="N126" s="706"/>
      <c r="O126" s="14">
        <f t="shared" si="35"/>
        <v>1</v>
      </c>
      <c r="P126" s="706"/>
      <c r="Q126" s="14">
        <f t="shared" si="36"/>
        <v>0</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6"/>
      <c r="E127" s="14">
        <f t="shared" si="30"/>
        <v>0.18</v>
      </c>
      <c r="F127" s="706"/>
      <c r="G127" s="14">
        <f t="shared" si="31"/>
        <v>1</v>
      </c>
      <c r="H127" s="706"/>
      <c r="I127" s="14">
        <f t="shared" si="32"/>
        <v>0.08</v>
      </c>
      <c r="J127" s="706"/>
      <c r="K127" s="14">
        <f t="shared" si="33"/>
        <v>1</v>
      </c>
      <c r="L127" s="706"/>
      <c r="M127" s="14">
        <f t="shared" si="34"/>
        <v>1</v>
      </c>
      <c r="N127" s="706"/>
      <c r="O127" s="14">
        <f t="shared" si="35"/>
        <v>1</v>
      </c>
      <c r="P127" s="706"/>
      <c r="Q127" s="14">
        <f t="shared" si="36"/>
        <v>0</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6"/>
      <c r="E128" s="14">
        <f t="shared" si="30"/>
        <v>0.18</v>
      </c>
      <c r="F128" s="706"/>
      <c r="G128" s="14">
        <f t="shared" si="31"/>
        <v>1</v>
      </c>
      <c r="H128" s="706"/>
      <c r="I128" s="14">
        <f t="shared" si="32"/>
        <v>0.08</v>
      </c>
      <c r="J128" s="706"/>
      <c r="K128" s="14">
        <f t="shared" si="33"/>
        <v>1</v>
      </c>
      <c r="L128" s="706"/>
      <c r="M128" s="14">
        <f t="shared" si="34"/>
        <v>1</v>
      </c>
      <c r="N128" s="706"/>
      <c r="O128" s="14">
        <f t="shared" si="35"/>
        <v>1</v>
      </c>
      <c r="P128" s="706"/>
      <c r="Q128" s="14">
        <f t="shared" si="36"/>
        <v>0</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6"/>
      <c r="E129" s="14">
        <f t="shared" si="30"/>
        <v>0.18</v>
      </c>
      <c r="F129" s="706"/>
      <c r="G129" s="14">
        <f t="shared" si="31"/>
        <v>1</v>
      </c>
      <c r="H129" s="706"/>
      <c r="I129" s="14">
        <f t="shared" si="32"/>
        <v>0.08</v>
      </c>
      <c r="J129" s="706"/>
      <c r="K129" s="14">
        <f t="shared" si="33"/>
        <v>1</v>
      </c>
      <c r="L129" s="706"/>
      <c r="M129" s="14">
        <f t="shared" si="34"/>
        <v>1</v>
      </c>
      <c r="N129" s="706"/>
      <c r="O129" s="14">
        <f t="shared" si="35"/>
        <v>1</v>
      </c>
      <c r="P129" s="706"/>
      <c r="Q129" s="14">
        <f t="shared" si="36"/>
        <v>0</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6"/>
      <c r="E130" s="14">
        <f t="shared" si="30"/>
        <v>0.18</v>
      </c>
      <c r="F130" s="706"/>
      <c r="G130" s="14">
        <f t="shared" si="31"/>
        <v>1</v>
      </c>
      <c r="H130" s="706"/>
      <c r="I130" s="14">
        <f t="shared" si="32"/>
        <v>0.08</v>
      </c>
      <c r="J130" s="706"/>
      <c r="K130" s="14">
        <f t="shared" si="33"/>
        <v>1</v>
      </c>
      <c r="L130" s="706"/>
      <c r="M130" s="14">
        <f t="shared" si="34"/>
        <v>1</v>
      </c>
      <c r="N130" s="706"/>
      <c r="O130" s="14">
        <f t="shared" si="35"/>
        <v>1</v>
      </c>
      <c r="P130" s="706"/>
      <c r="Q130" s="14">
        <f t="shared" si="36"/>
        <v>0</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6"/>
      <c r="E131" s="14">
        <f t="shared" si="30"/>
        <v>0.18</v>
      </c>
      <c r="F131" s="706"/>
      <c r="G131" s="14">
        <f t="shared" si="31"/>
        <v>1</v>
      </c>
      <c r="H131" s="706"/>
      <c r="I131" s="14">
        <f t="shared" si="32"/>
        <v>0.08</v>
      </c>
      <c r="J131" s="706"/>
      <c r="K131" s="14">
        <f t="shared" si="33"/>
        <v>1</v>
      </c>
      <c r="L131" s="706"/>
      <c r="M131" s="14">
        <f t="shared" si="34"/>
        <v>1</v>
      </c>
      <c r="N131" s="706"/>
      <c r="O131" s="14">
        <f t="shared" si="35"/>
        <v>1</v>
      </c>
      <c r="P131" s="706"/>
      <c r="Q131" s="14">
        <f t="shared" si="36"/>
        <v>0</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6"/>
      <c r="E132" s="14">
        <f t="shared" si="30"/>
        <v>0.18</v>
      </c>
      <c r="F132" s="706"/>
      <c r="G132" s="14">
        <f t="shared" si="31"/>
        <v>1</v>
      </c>
      <c r="H132" s="706"/>
      <c r="I132" s="14">
        <f t="shared" si="32"/>
        <v>0.08</v>
      </c>
      <c r="J132" s="706"/>
      <c r="K132" s="14">
        <f t="shared" si="33"/>
        <v>1</v>
      </c>
      <c r="L132" s="706"/>
      <c r="M132" s="14">
        <f t="shared" si="34"/>
        <v>1</v>
      </c>
      <c r="N132" s="706"/>
      <c r="O132" s="14">
        <f t="shared" si="35"/>
        <v>1</v>
      </c>
      <c r="P132" s="706"/>
      <c r="Q132" s="14">
        <f t="shared" si="36"/>
        <v>0</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6"/>
      <c r="E133" s="14">
        <f t="shared" si="30"/>
        <v>0.18</v>
      </c>
      <c r="F133" s="706"/>
      <c r="G133" s="14">
        <f t="shared" si="31"/>
        <v>1</v>
      </c>
      <c r="H133" s="706"/>
      <c r="I133" s="14">
        <f t="shared" si="32"/>
        <v>0.08</v>
      </c>
      <c r="J133" s="706"/>
      <c r="K133" s="14">
        <f t="shared" si="33"/>
        <v>1</v>
      </c>
      <c r="L133" s="706"/>
      <c r="M133" s="14">
        <f t="shared" si="34"/>
        <v>1</v>
      </c>
      <c r="N133" s="706"/>
      <c r="O133" s="14">
        <f t="shared" si="35"/>
        <v>1</v>
      </c>
      <c r="P133" s="706"/>
      <c r="Q133" s="14">
        <f t="shared" si="36"/>
        <v>0</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6"/>
      <c r="E134" s="14">
        <f t="shared" si="30"/>
        <v>0.18</v>
      </c>
      <c r="F134" s="706"/>
      <c r="G134" s="14">
        <f t="shared" si="31"/>
        <v>1</v>
      </c>
      <c r="H134" s="706"/>
      <c r="I134" s="14">
        <f t="shared" si="32"/>
        <v>0.08</v>
      </c>
      <c r="J134" s="706"/>
      <c r="K134" s="14">
        <f t="shared" si="33"/>
        <v>1</v>
      </c>
      <c r="L134" s="706"/>
      <c r="M134" s="14">
        <f t="shared" si="34"/>
        <v>1</v>
      </c>
      <c r="N134" s="706"/>
      <c r="O134" s="14">
        <f t="shared" si="35"/>
        <v>1</v>
      </c>
      <c r="P134" s="706"/>
      <c r="Q134" s="14">
        <f t="shared" si="36"/>
        <v>0</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6"/>
      <c r="E135" s="14">
        <f t="shared" si="30"/>
        <v>0.18</v>
      </c>
      <c r="F135" s="706"/>
      <c r="G135" s="14">
        <f t="shared" si="31"/>
        <v>1</v>
      </c>
      <c r="H135" s="706"/>
      <c r="I135" s="14">
        <f t="shared" si="32"/>
        <v>0.08</v>
      </c>
      <c r="J135" s="706"/>
      <c r="K135" s="14">
        <f t="shared" si="33"/>
        <v>1</v>
      </c>
      <c r="L135" s="706"/>
      <c r="M135" s="14">
        <f t="shared" si="34"/>
        <v>1</v>
      </c>
      <c r="N135" s="706"/>
      <c r="O135" s="14">
        <f t="shared" si="35"/>
        <v>1</v>
      </c>
      <c r="P135" s="706"/>
      <c r="Q135" s="14">
        <f t="shared" si="36"/>
        <v>0</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6"/>
      <c r="E136" s="14">
        <f t="shared" si="30"/>
        <v>0.18</v>
      </c>
      <c r="F136" s="706"/>
      <c r="G136" s="14">
        <f t="shared" si="31"/>
        <v>1</v>
      </c>
      <c r="H136" s="706"/>
      <c r="I136" s="14">
        <f t="shared" si="32"/>
        <v>0.08</v>
      </c>
      <c r="J136" s="706"/>
      <c r="K136" s="14">
        <f t="shared" si="33"/>
        <v>1</v>
      </c>
      <c r="L136" s="706"/>
      <c r="M136" s="14">
        <f t="shared" si="34"/>
        <v>1</v>
      </c>
      <c r="N136" s="706"/>
      <c r="O136" s="14">
        <f t="shared" si="35"/>
        <v>1</v>
      </c>
      <c r="P136" s="706"/>
      <c r="Q136" s="14">
        <f t="shared" si="36"/>
        <v>0</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6"/>
      <c r="E137" s="14">
        <f t="shared" si="30"/>
        <v>0.18</v>
      </c>
      <c r="F137" s="706"/>
      <c r="G137" s="14">
        <f t="shared" si="31"/>
        <v>1</v>
      </c>
      <c r="H137" s="706"/>
      <c r="I137" s="14">
        <f t="shared" si="32"/>
        <v>0.08</v>
      </c>
      <c r="J137" s="706"/>
      <c r="K137" s="14">
        <f t="shared" si="33"/>
        <v>1</v>
      </c>
      <c r="L137" s="706"/>
      <c r="M137" s="14">
        <f t="shared" si="34"/>
        <v>1</v>
      </c>
      <c r="N137" s="706"/>
      <c r="O137" s="14">
        <f t="shared" si="35"/>
        <v>1</v>
      </c>
      <c r="P137" s="706"/>
      <c r="Q137" s="14">
        <f t="shared" si="36"/>
        <v>0</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6"/>
      <c r="E138" s="14">
        <f t="shared" si="30"/>
        <v>0.18</v>
      </c>
      <c r="F138" s="706"/>
      <c r="G138" s="14">
        <f t="shared" si="31"/>
        <v>1</v>
      </c>
      <c r="H138" s="706"/>
      <c r="I138" s="14">
        <f t="shared" si="32"/>
        <v>0.08</v>
      </c>
      <c r="J138" s="706"/>
      <c r="K138" s="14">
        <f t="shared" si="33"/>
        <v>1</v>
      </c>
      <c r="L138" s="706"/>
      <c r="M138" s="14">
        <f t="shared" si="34"/>
        <v>1</v>
      </c>
      <c r="N138" s="706"/>
      <c r="O138" s="14">
        <f t="shared" si="35"/>
        <v>1</v>
      </c>
      <c r="P138" s="706"/>
      <c r="Q138" s="14">
        <f t="shared" si="36"/>
        <v>0</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6"/>
      <c r="E139" s="14">
        <f t="shared" si="30"/>
        <v>0.18</v>
      </c>
      <c r="F139" s="706"/>
      <c r="G139" s="14">
        <f t="shared" si="31"/>
        <v>1</v>
      </c>
      <c r="H139" s="706"/>
      <c r="I139" s="14">
        <f t="shared" si="32"/>
        <v>0.08</v>
      </c>
      <c r="J139" s="706"/>
      <c r="K139" s="14">
        <f t="shared" si="33"/>
        <v>1</v>
      </c>
      <c r="L139" s="706"/>
      <c r="M139" s="14">
        <f t="shared" si="34"/>
        <v>1</v>
      </c>
      <c r="N139" s="706"/>
      <c r="O139" s="14">
        <f t="shared" si="35"/>
        <v>1</v>
      </c>
      <c r="P139" s="706"/>
      <c r="Q139" s="14">
        <f t="shared" si="36"/>
        <v>0</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6"/>
      <c r="E140" s="14">
        <f t="shared" si="30"/>
        <v>0.18</v>
      </c>
      <c r="F140" s="706"/>
      <c r="G140" s="14">
        <f t="shared" si="31"/>
        <v>1</v>
      </c>
      <c r="H140" s="706"/>
      <c r="I140" s="14">
        <f t="shared" si="32"/>
        <v>0.08</v>
      </c>
      <c r="J140" s="706"/>
      <c r="K140" s="14">
        <f t="shared" si="33"/>
        <v>1</v>
      </c>
      <c r="L140" s="706"/>
      <c r="M140" s="14">
        <f t="shared" si="34"/>
        <v>1</v>
      </c>
      <c r="N140" s="706"/>
      <c r="O140" s="14">
        <f t="shared" si="35"/>
        <v>1</v>
      </c>
      <c r="P140" s="706"/>
      <c r="Q140" s="14">
        <f t="shared" si="36"/>
        <v>0</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6"/>
      <c r="E141" s="14">
        <f t="shared" si="30"/>
        <v>0.18</v>
      </c>
      <c r="F141" s="706"/>
      <c r="G141" s="14">
        <f t="shared" si="31"/>
        <v>1</v>
      </c>
      <c r="H141" s="706"/>
      <c r="I141" s="14">
        <f t="shared" si="32"/>
        <v>0.08</v>
      </c>
      <c r="J141" s="706"/>
      <c r="K141" s="14">
        <f t="shared" si="33"/>
        <v>1</v>
      </c>
      <c r="L141" s="706"/>
      <c r="M141" s="14">
        <f t="shared" si="34"/>
        <v>1</v>
      </c>
      <c r="N141" s="706"/>
      <c r="O141" s="14">
        <f t="shared" si="35"/>
        <v>1</v>
      </c>
      <c r="P141" s="706"/>
      <c r="Q141" s="14">
        <f t="shared" si="36"/>
        <v>0</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6"/>
      <c r="E142" s="14">
        <f t="shared" si="30"/>
        <v>0.18</v>
      </c>
      <c r="F142" s="706"/>
      <c r="G142" s="14">
        <f t="shared" si="31"/>
        <v>1</v>
      </c>
      <c r="H142" s="706"/>
      <c r="I142" s="14">
        <f t="shared" si="32"/>
        <v>0.08</v>
      </c>
      <c r="J142" s="706"/>
      <c r="K142" s="14">
        <f t="shared" si="33"/>
        <v>1</v>
      </c>
      <c r="L142" s="706"/>
      <c r="M142" s="14">
        <f t="shared" si="34"/>
        <v>1</v>
      </c>
      <c r="N142" s="706"/>
      <c r="O142" s="14">
        <f t="shared" si="35"/>
        <v>1</v>
      </c>
      <c r="P142" s="706"/>
      <c r="Q142" s="14">
        <f t="shared" si="36"/>
        <v>0</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6"/>
      <c r="E143" s="14">
        <f t="shared" si="30"/>
        <v>0.18</v>
      </c>
      <c r="F143" s="706"/>
      <c r="G143" s="14">
        <f t="shared" si="31"/>
        <v>1</v>
      </c>
      <c r="H143" s="706"/>
      <c r="I143" s="14">
        <f t="shared" si="32"/>
        <v>0.08</v>
      </c>
      <c r="J143" s="706"/>
      <c r="K143" s="14">
        <f t="shared" si="33"/>
        <v>1</v>
      </c>
      <c r="L143" s="706"/>
      <c r="M143" s="14">
        <f t="shared" si="34"/>
        <v>1</v>
      </c>
      <c r="N143" s="706"/>
      <c r="O143" s="14">
        <f t="shared" si="35"/>
        <v>1</v>
      </c>
      <c r="P143" s="706"/>
      <c r="Q143" s="14">
        <f t="shared" si="36"/>
        <v>0</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6"/>
      <c r="E144" s="14">
        <f t="shared" si="30"/>
        <v>0.18</v>
      </c>
      <c r="F144" s="706"/>
      <c r="G144" s="14">
        <f t="shared" si="31"/>
        <v>1</v>
      </c>
      <c r="H144" s="706"/>
      <c r="I144" s="14">
        <f t="shared" si="32"/>
        <v>0.08</v>
      </c>
      <c r="J144" s="706"/>
      <c r="K144" s="14">
        <f t="shared" si="33"/>
        <v>1</v>
      </c>
      <c r="L144" s="706"/>
      <c r="M144" s="14">
        <f t="shared" si="34"/>
        <v>1</v>
      </c>
      <c r="N144" s="706"/>
      <c r="O144" s="14">
        <f t="shared" si="35"/>
        <v>1</v>
      </c>
      <c r="P144" s="706"/>
      <c r="Q144" s="14">
        <f t="shared" si="36"/>
        <v>0</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6"/>
      <c r="E145" s="14">
        <f t="shared" si="30"/>
        <v>0.18</v>
      </c>
      <c r="F145" s="706"/>
      <c r="G145" s="14">
        <f t="shared" si="31"/>
        <v>1</v>
      </c>
      <c r="H145" s="706"/>
      <c r="I145" s="14">
        <f t="shared" si="32"/>
        <v>0.08</v>
      </c>
      <c r="J145" s="706"/>
      <c r="K145" s="14">
        <f t="shared" si="33"/>
        <v>1</v>
      </c>
      <c r="L145" s="706"/>
      <c r="M145" s="14">
        <f t="shared" si="34"/>
        <v>1</v>
      </c>
      <c r="N145" s="706"/>
      <c r="O145" s="14">
        <f t="shared" si="35"/>
        <v>1</v>
      </c>
      <c r="P145" s="706"/>
      <c r="Q145" s="14">
        <f t="shared" si="36"/>
        <v>0</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6"/>
      <c r="E146" s="14">
        <f t="shared" si="30"/>
        <v>0.18</v>
      </c>
      <c r="F146" s="706"/>
      <c r="G146" s="14">
        <f t="shared" si="31"/>
        <v>1</v>
      </c>
      <c r="H146" s="706"/>
      <c r="I146" s="14">
        <f t="shared" si="32"/>
        <v>0.08</v>
      </c>
      <c r="J146" s="706"/>
      <c r="K146" s="14">
        <f t="shared" si="33"/>
        <v>1</v>
      </c>
      <c r="L146" s="706"/>
      <c r="M146" s="14">
        <f t="shared" si="34"/>
        <v>1</v>
      </c>
      <c r="N146" s="706"/>
      <c r="O146" s="14">
        <f t="shared" si="35"/>
        <v>1</v>
      </c>
      <c r="P146" s="706"/>
      <c r="Q146" s="14">
        <f t="shared" si="36"/>
        <v>0</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6"/>
      <c r="E147" s="14">
        <f t="shared" si="30"/>
        <v>0.18</v>
      </c>
      <c r="F147" s="706"/>
      <c r="G147" s="14">
        <f t="shared" si="31"/>
        <v>1</v>
      </c>
      <c r="H147" s="706"/>
      <c r="I147" s="14">
        <f t="shared" si="32"/>
        <v>0.08</v>
      </c>
      <c r="J147" s="706"/>
      <c r="K147" s="14">
        <f t="shared" si="33"/>
        <v>1</v>
      </c>
      <c r="L147" s="706"/>
      <c r="M147" s="14">
        <f t="shared" si="34"/>
        <v>1</v>
      </c>
      <c r="N147" s="706"/>
      <c r="O147" s="14">
        <f t="shared" si="35"/>
        <v>1</v>
      </c>
      <c r="P147" s="706"/>
      <c r="Q147" s="14">
        <f t="shared" si="36"/>
        <v>0</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6"/>
      <c r="E148" s="14">
        <f t="shared" si="30"/>
        <v>0.18</v>
      </c>
      <c r="F148" s="706"/>
      <c r="G148" s="14">
        <f t="shared" si="31"/>
        <v>1</v>
      </c>
      <c r="H148" s="706"/>
      <c r="I148" s="14">
        <f t="shared" si="32"/>
        <v>0.08</v>
      </c>
      <c r="J148" s="706"/>
      <c r="K148" s="14">
        <f t="shared" si="33"/>
        <v>1</v>
      </c>
      <c r="L148" s="706"/>
      <c r="M148" s="14">
        <f t="shared" si="34"/>
        <v>1</v>
      </c>
      <c r="N148" s="706"/>
      <c r="O148" s="14">
        <f t="shared" si="35"/>
        <v>1</v>
      </c>
      <c r="P148" s="706"/>
      <c r="Q148" s="14">
        <f t="shared" si="36"/>
        <v>0</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6"/>
      <c r="E149" s="14">
        <f t="shared" si="30"/>
        <v>0.18</v>
      </c>
      <c r="F149" s="706"/>
      <c r="G149" s="14">
        <f t="shared" si="31"/>
        <v>1</v>
      </c>
      <c r="H149" s="706"/>
      <c r="I149" s="14">
        <f t="shared" si="32"/>
        <v>0.08</v>
      </c>
      <c r="J149" s="706"/>
      <c r="K149" s="14">
        <f t="shared" si="33"/>
        <v>1</v>
      </c>
      <c r="L149" s="706"/>
      <c r="M149" s="14">
        <f t="shared" si="34"/>
        <v>1</v>
      </c>
      <c r="N149" s="706"/>
      <c r="O149" s="14">
        <f t="shared" si="35"/>
        <v>1</v>
      </c>
      <c r="P149" s="706"/>
      <c r="Q149" s="14">
        <f t="shared" si="36"/>
        <v>0</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6"/>
      <c r="E150" s="14">
        <f t="shared" si="30"/>
        <v>0.18</v>
      </c>
      <c r="F150" s="706"/>
      <c r="G150" s="14">
        <f t="shared" si="31"/>
        <v>1</v>
      </c>
      <c r="H150" s="706"/>
      <c r="I150" s="14">
        <f t="shared" si="32"/>
        <v>0.08</v>
      </c>
      <c r="J150" s="706"/>
      <c r="K150" s="14">
        <f t="shared" si="33"/>
        <v>1</v>
      </c>
      <c r="L150" s="706"/>
      <c r="M150" s="14">
        <f t="shared" si="34"/>
        <v>1</v>
      </c>
      <c r="N150" s="706"/>
      <c r="O150" s="14">
        <f t="shared" si="35"/>
        <v>1</v>
      </c>
      <c r="P150" s="706"/>
      <c r="Q150" s="14">
        <f t="shared" si="36"/>
        <v>0</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6"/>
      <c r="E151" s="14">
        <f t="shared" si="30"/>
        <v>0.18</v>
      </c>
      <c r="F151" s="706"/>
      <c r="G151" s="14">
        <f t="shared" si="31"/>
        <v>1</v>
      </c>
      <c r="H151" s="706"/>
      <c r="I151" s="14">
        <f t="shared" si="32"/>
        <v>0.08</v>
      </c>
      <c r="J151" s="706"/>
      <c r="K151" s="14">
        <f t="shared" si="33"/>
        <v>1</v>
      </c>
      <c r="L151" s="706"/>
      <c r="M151" s="14">
        <f t="shared" si="34"/>
        <v>1</v>
      </c>
      <c r="N151" s="706"/>
      <c r="O151" s="14">
        <f t="shared" si="35"/>
        <v>1</v>
      </c>
      <c r="P151" s="706"/>
      <c r="Q151" s="14">
        <f t="shared" si="36"/>
        <v>0</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6"/>
      <c r="E152" s="14">
        <f t="shared" si="30"/>
        <v>0.18</v>
      </c>
      <c r="F152" s="706"/>
      <c r="G152" s="14">
        <f t="shared" si="31"/>
        <v>1</v>
      </c>
      <c r="H152" s="706"/>
      <c r="I152" s="14">
        <f t="shared" si="32"/>
        <v>0.08</v>
      </c>
      <c r="J152" s="706"/>
      <c r="K152" s="14">
        <f t="shared" si="33"/>
        <v>1</v>
      </c>
      <c r="L152" s="706"/>
      <c r="M152" s="14">
        <f t="shared" si="34"/>
        <v>1</v>
      </c>
      <c r="N152" s="706"/>
      <c r="O152" s="14">
        <f t="shared" si="35"/>
        <v>1</v>
      </c>
      <c r="P152" s="706"/>
      <c r="Q152" s="14">
        <f t="shared" si="36"/>
        <v>0</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6"/>
      <c r="E153" s="14">
        <f t="shared" si="30"/>
        <v>0.18</v>
      </c>
      <c r="F153" s="706"/>
      <c r="G153" s="14">
        <f t="shared" si="31"/>
        <v>1</v>
      </c>
      <c r="H153" s="706"/>
      <c r="I153" s="14">
        <f t="shared" si="32"/>
        <v>0.08</v>
      </c>
      <c r="J153" s="706"/>
      <c r="K153" s="14">
        <f t="shared" si="33"/>
        <v>1</v>
      </c>
      <c r="L153" s="706"/>
      <c r="M153" s="14">
        <f t="shared" si="34"/>
        <v>1</v>
      </c>
      <c r="N153" s="706"/>
      <c r="O153" s="14">
        <f t="shared" si="35"/>
        <v>1</v>
      </c>
      <c r="P153" s="706"/>
      <c r="Q153" s="14">
        <f t="shared" si="36"/>
        <v>0</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6"/>
      <c r="E154" s="14">
        <f t="shared" si="30"/>
        <v>0.18</v>
      </c>
      <c r="F154" s="706"/>
      <c r="G154" s="14">
        <f t="shared" si="31"/>
        <v>1</v>
      </c>
      <c r="H154" s="706"/>
      <c r="I154" s="14">
        <f t="shared" si="32"/>
        <v>0.08</v>
      </c>
      <c r="J154" s="706"/>
      <c r="K154" s="14">
        <f t="shared" si="33"/>
        <v>1</v>
      </c>
      <c r="L154" s="706"/>
      <c r="M154" s="14">
        <f t="shared" si="34"/>
        <v>1</v>
      </c>
      <c r="N154" s="706"/>
      <c r="O154" s="14">
        <f t="shared" si="35"/>
        <v>1</v>
      </c>
      <c r="P154" s="706"/>
      <c r="Q154" s="14">
        <f t="shared" si="36"/>
        <v>0</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6"/>
      <c r="E155" s="14">
        <f t="shared" si="30"/>
        <v>0.18</v>
      </c>
      <c r="F155" s="706"/>
      <c r="G155" s="14">
        <f t="shared" si="31"/>
        <v>1</v>
      </c>
      <c r="H155" s="706"/>
      <c r="I155" s="14">
        <f t="shared" si="32"/>
        <v>0.08</v>
      </c>
      <c r="J155" s="706"/>
      <c r="K155" s="14">
        <f t="shared" si="33"/>
        <v>1</v>
      </c>
      <c r="L155" s="706"/>
      <c r="M155" s="14">
        <f t="shared" si="34"/>
        <v>1</v>
      </c>
      <c r="N155" s="706"/>
      <c r="O155" s="14">
        <f t="shared" si="35"/>
        <v>1</v>
      </c>
      <c r="P155" s="706"/>
      <c r="Q155" s="14">
        <f t="shared" si="36"/>
        <v>0</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6"/>
      <c r="E156" s="14">
        <f t="shared" ref="E156:E219" si="45">(SUMIF($8:$8,D156,$9:$9)-SUMIF($8:$8,$D$27,$9:$9)+100)/100</f>
        <v>0.18</v>
      </c>
      <c r="F156" s="706"/>
      <c r="G156" s="14">
        <f t="shared" ref="G156:G219" si="46">(SUMIF($10:$10,F156,$11:$11)-SUMIF($10:$10,$F$27,$11:$11)+100)/100</f>
        <v>1</v>
      </c>
      <c r="H156" s="706"/>
      <c r="I156" s="14">
        <f t="shared" ref="I156:I219" si="47">(SUMIF($12:$12,H156,$13:$13)-SUMIF($12:$12,$H$27,$13:$13)+100)/100</f>
        <v>0.08</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6"/>
      <c r="E157" s="14">
        <f t="shared" si="45"/>
        <v>0.18</v>
      </c>
      <c r="F157" s="706"/>
      <c r="G157" s="14">
        <f t="shared" si="46"/>
        <v>1</v>
      </c>
      <c r="H157" s="706"/>
      <c r="I157" s="14">
        <f t="shared" si="47"/>
        <v>0.08</v>
      </c>
      <c r="J157" s="706"/>
      <c r="K157" s="14">
        <f t="shared" si="48"/>
        <v>1</v>
      </c>
      <c r="L157" s="706"/>
      <c r="M157" s="14">
        <f t="shared" si="49"/>
        <v>1</v>
      </c>
      <c r="N157" s="706"/>
      <c r="O157" s="14">
        <f t="shared" si="50"/>
        <v>1</v>
      </c>
      <c r="P157" s="706"/>
      <c r="Q157" s="14">
        <f t="shared" si="51"/>
        <v>0</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6"/>
      <c r="E158" s="14">
        <f t="shared" si="45"/>
        <v>0.18</v>
      </c>
      <c r="F158" s="706"/>
      <c r="G158" s="14">
        <f t="shared" si="46"/>
        <v>1</v>
      </c>
      <c r="H158" s="706"/>
      <c r="I158" s="14">
        <f t="shared" si="47"/>
        <v>0.08</v>
      </c>
      <c r="J158" s="706"/>
      <c r="K158" s="14">
        <f t="shared" si="48"/>
        <v>1</v>
      </c>
      <c r="L158" s="706"/>
      <c r="M158" s="14">
        <f t="shared" si="49"/>
        <v>1</v>
      </c>
      <c r="N158" s="706"/>
      <c r="O158" s="14">
        <f t="shared" si="50"/>
        <v>1</v>
      </c>
      <c r="P158" s="706"/>
      <c r="Q158" s="14">
        <f t="shared" si="51"/>
        <v>0</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6"/>
      <c r="E159" s="14">
        <f t="shared" si="45"/>
        <v>0.18</v>
      </c>
      <c r="F159" s="706"/>
      <c r="G159" s="14">
        <f t="shared" si="46"/>
        <v>1</v>
      </c>
      <c r="H159" s="706"/>
      <c r="I159" s="14">
        <f t="shared" si="47"/>
        <v>0.08</v>
      </c>
      <c r="J159" s="706"/>
      <c r="K159" s="14">
        <f t="shared" si="48"/>
        <v>1</v>
      </c>
      <c r="L159" s="706"/>
      <c r="M159" s="14">
        <f t="shared" si="49"/>
        <v>1</v>
      </c>
      <c r="N159" s="706"/>
      <c r="O159" s="14">
        <f t="shared" si="50"/>
        <v>1</v>
      </c>
      <c r="P159" s="706"/>
      <c r="Q159" s="14">
        <f t="shared" si="51"/>
        <v>0</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6"/>
      <c r="E160" s="14">
        <f t="shared" si="45"/>
        <v>0.18</v>
      </c>
      <c r="F160" s="706"/>
      <c r="G160" s="14">
        <f t="shared" si="46"/>
        <v>1</v>
      </c>
      <c r="H160" s="706"/>
      <c r="I160" s="14">
        <f t="shared" si="47"/>
        <v>0.08</v>
      </c>
      <c r="J160" s="706"/>
      <c r="K160" s="14">
        <f t="shared" si="48"/>
        <v>1</v>
      </c>
      <c r="L160" s="706"/>
      <c r="M160" s="14">
        <f t="shared" si="49"/>
        <v>1</v>
      </c>
      <c r="N160" s="706"/>
      <c r="O160" s="14">
        <f t="shared" si="50"/>
        <v>1</v>
      </c>
      <c r="P160" s="706"/>
      <c r="Q160" s="14">
        <f t="shared" si="51"/>
        <v>0</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6"/>
      <c r="E161" s="14">
        <f t="shared" si="45"/>
        <v>0.18</v>
      </c>
      <c r="F161" s="706"/>
      <c r="G161" s="14">
        <f t="shared" si="46"/>
        <v>1</v>
      </c>
      <c r="H161" s="706"/>
      <c r="I161" s="14">
        <f t="shared" si="47"/>
        <v>0.08</v>
      </c>
      <c r="J161" s="706"/>
      <c r="K161" s="14">
        <f t="shared" si="48"/>
        <v>1</v>
      </c>
      <c r="L161" s="706"/>
      <c r="M161" s="14">
        <f t="shared" si="49"/>
        <v>1</v>
      </c>
      <c r="N161" s="706"/>
      <c r="O161" s="14">
        <f t="shared" si="50"/>
        <v>1</v>
      </c>
      <c r="P161" s="706"/>
      <c r="Q161" s="14">
        <f t="shared" si="51"/>
        <v>0</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6"/>
      <c r="E162" s="14">
        <f t="shared" si="45"/>
        <v>0.18</v>
      </c>
      <c r="F162" s="706"/>
      <c r="G162" s="14">
        <f t="shared" si="46"/>
        <v>1</v>
      </c>
      <c r="H162" s="706"/>
      <c r="I162" s="14">
        <f t="shared" si="47"/>
        <v>0.08</v>
      </c>
      <c r="J162" s="706"/>
      <c r="K162" s="14">
        <f t="shared" si="48"/>
        <v>1</v>
      </c>
      <c r="L162" s="706"/>
      <c r="M162" s="14">
        <f t="shared" si="49"/>
        <v>1</v>
      </c>
      <c r="N162" s="706"/>
      <c r="O162" s="14">
        <f t="shared" si="50"/>
        <v>1</v>
      </c>
      <c r="P162" s="706"/>
      <c r="Q162" s="14">
        <f t="shared" si="51"/>
        <v>0</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6"/>
      <c r="E163" s="14">
        <f t="shared" si="45"/>
        <v>0.18</v>
      </c>
      <c r="F163" s="706"/>
      <c r="G163" s="14">
        <f t="shared" si="46"/>
        <v>1</v>
      </c>
      <c r="H163" s="706"/>
      <c r="I163" s="14">
        <f t="shared" si="47"/>
        <v>0.08</v>
      </c>
      <c r="J163" s="706"/>
      <c r="K163" s="14">
        <f t="shared" si="48"/>
        <v>1</v>
      </c>
      <c r="L163" s="706"/>
      <c r="M163" s="14">
        <f t="shared" si="49"/>
        <v>1</v>
      </c>
      <c r="N163" s="706"/>
      <c r="O163" s="14">
        <f t="shared" si="50"/>
        <v>1</v>
      </c>
      <c r="P163" s="706"/>
      <c r="Q163" s="14">
        <f t="shared" si="51"/>
        <v>0</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6"/>
      <c r="E164" s="14">
        <f t="shared" si="45"/>
        <v>0.18</v>
      </c>
      <c r="F164" s="706"/>
      <c r="G164" s="14">
        <f t="shared" si="46"/>
        <v>1</v>
      </c>
      <c r="H164" s="706"/>
      <c r="I164" s="14">
        <f t="shared" si="47"/>
        <v>0.08</v>
      </c>
      <c r="J164" s="706"/>
      <c r="K164" s="14">
        <f t="shared" si="48"/>
        <v>1</v>
      </c>
      <c r="L164" s="706"/>
      <c r="M164" s="14">
        <f t="shared" si="49"/>
        <v>1</v>
      </c>
      <c r="N164" s="706"/>
      <c r="O164" s="14">
        <f t="shared" si="50"/>
        <v>1</v>
      </c>
      <c r="P164" s="706"/>
      <c r="Q164" s="14">
        <f t="shared" si="51"/>
        <v>0</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6"/>
      <c r="E165" s="14">
        <f t="shared" si="45"/>
        <v>0.18</v>
      </c>
      <c r="F165" s="706"/>
      <c r="G165" s="14">
        <f t="shared" si="46"/>
        <v>1</v>
      </c>
      <c r="H165" s="706"/>
      <c r="I165" s="14">
        <f t="shared" si="47"/>
        <v>0.08</v>
      </c>
      <c r="J165" s="706"/>
      <c r="K165" s="14">
        <f t="shared" si="48"/>
        <v>1</v>
      </c>
      <c r="L165" s="706"/>
      <c r="M165" s="14">
        <f t="shared" si="49"/>
        <v>1</v>
      </c>
      <c r="N165" s="706"/>
      <c r="O165" s="14">
        <f t="shared" si="50"/>
        <v>1</v>
      </c>
      <c r="P165" s="706"/>
      <c r="Q165" s="14">
        <f t="shared" si="51"/>
        <v>0</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6"/>
      <c r="E166" s="14">
        <f t="shared" si="45"/>
        <v>0.18</v>
      </c>
      <c r="F166" s="706"/>
      <c r="G166" s="14">
        <f t="shared" si="46"/>
        <v>1</v>
      </c>
      <c r="H166" s="706"/>
      <c r="I166" s="14">
        <f t="shared" si="47"/>
        <v>0.08</v>
      </c>
      <c r="J166" s="706"/>
      <c r="K166" s="14">
        <f t="shared" si="48"/>
        <v>1</v>
      </c>
      <c r="L166" s="706"/>
      <c r="M166" s="14">
        <f t="shared" si="49"/>
        <v>1</v>
      </c>
      <c r="N166" s="706"/>
      <c r="O166" s="14">
        <f t="shared" si="50"/>
        <v>1</v>
      </c>
      <c r="P166" s="706"/>
      <c r="Q166" s="14">
        <f t="shared" si="51"/>
        <v>0</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6"/>
      <c r="E167" s="14">
        <f t="shared" si="45"/>
        <v>0.18</v>
      </c>
      <c r="F167" s="706"/>
      <c r="G167" s="14">
        <f t="shared" si="46"/>
        <v>1</v>
      </c>
      <c r="H167" s="706"/>
      <c r="I167" s="14">
        <f t="shared" si="47"/>
        <v>0.08</v>
      </c>
      <c r="J167" s="706"/>
      <c r="K167" s="14">
        <f t="shared" si="48"/>
        <v>1</v>
      </c>
      <c r="L167" s="706"/>
      <c r="M167" s="14">
        <f t="shared" si="49"/>
        <v>1</v>
      </c>
      <c r="N167" s="706"/>
      <c r="O167" s="14">
        <f t="shared" si="50"/>
        <v>1</v>
      </c>
      <c r="P167" s="706"/>
      <c r="Q167" s="14">
        <f t="shared" si="51"/>
        <v>0</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6"/>
      <c r="E168" s="14">
        <f t="shared" si="45"/>
        <v>0.18</v>
      </c>
      <c r="F168" s="706"/>
      <c r="G168" s="14">
        <f t="shared" si="46"/>
        <v>1</v>
      </c>
      <c r="H168" s="706"/>
      <c r="I168" s="14">
        <f t="shared" si="47"/>
        <v>0.08</v>
      </c>
      <c r="J168" s="706"/>
      <c r="K168" s="14">
        <f t="shared" si="48"/>
        <v>1</v>
      </c>
      <c r="L168" s="706"/>
      <c r="M168" s="14">
        <f t="shared" si="49"/>
        <v>1</v>
      </c>
      <c r="N168" s="706"/>
      <c r="O168" s="14">
        <f t="shared" si="50"/>
        <v>1</v>
      </c>
      <c r="P168" s="706"/>
      <c r="Q168" s="14">
        <f t="shared" si="51"/>
        <v>0</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6"/>
      <c r="E169" s="14">
        <f t="shared" si="45"/>
        <v>0.18</v>
      </c>
      <c r="F169" s="706"/>
      <c r="G169" s="14">
        <f t="shared" si="46"/>
        <v>1</v>
      </c>
      <c r="H169" s="706"/>
      <c r="I169" s="14">
        <f t="shared" si="47"/>
        <v>0.08</v>
      </c>
      <c r="J169" s="706"/>
      <c r="K169" s="14">
        <f t="shared" si="48"/>
        <v>1</v>
      </c>
      <c r="L169" s="706"/>
      <c r="M169" s="14">
        <f t="shared" si="49"/>
        <v>1</v>
      </c>
      <c r="N169" s="706"/>
      <c r="O169" s="14">
        <f t="shared" si="50"/>
        <v>1</v>
      </c>
      <c r="P169" s="706"/>
      <c r="Q169" s="14">
        <f t="shared" si="51"/>
        <v>0</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6"/>
      <c r="E170" s="14">
        <f t="shared" si="45"/>
        <v>0.18</v>
      </c>
      <c r="F170" s="706"/>
      <c r="G170" s="14">
        <f t="shared" si="46"/>
        <v>1</v>
      </c>
      <c r="H170" s="706"/>
      <c r="I170" s="14">
        <f t="shared" si="47"/>
        <v>0.08</v>
      </c>
      <c r="J170" s="706"/>
      <c r="K170" s="14">
        <f t="shared" si="48"/>
        <v>1</v>
      </c>
      <c r="L170" s="706"/>
      <c r="M170" s="14">
        <f t="shared" si="49"/>
        <v>1</v>
      </c>
      <c r="N170" s="706"/>
      <c r="O170" s="14">
        <f t="shared" si="50"/>
        <v>1</v>
      </c>
      <c r="P170" s="706"/>
      <c r="Q170" s="14">
        <f t="shared" si="51"/>
        <v>0</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6"/>
      <c r="E171" s="14">
        <f t="shared" si="45"/>
        <v>0.18</v>
      </c>
      <c r="F171" s="706"/>
      <c r="G171" s="14">
        <f t="shared" si="46"/>
        <v>1</v>
      </c>
      <c r="H171" s="706"/>
      <c r="I171" s="14">
        <f t="shared" si="47"/>
        <v>0.08</v>
      </c>
      <c r="J171" s="706"/>
      <c r="K171" s="14">
        <f t="shared" si="48"/>
        <v>1</v>
      </c>
      <c r="L171" s="706"/>
      <c r="M171" s="14">
        <f t="shared" si="49"/>
        <v>1</v>
      </c>
      <c r="N171" s="706"/>
      <c r="O171" s="14">
        <f t="shared" si="50"/>
        <v>1</v>
      </c>
      <c r="P171" s="706"/>
      <c r="Q171" s="14">
        <f t="shared" si="51"/>
        <v>0</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6"/>
      <c r="E172" s="14">
        <f t="shared" si="45"/>
        <v>0.18</v>
      </c>
      <c r="F172" s="706"/>
      <c r="G172" s="14">
        <f t="shared" si="46"/>
        <v>1</v>
      </c>
      <c r="H172" s="706"/>
      <c r="I172" s="14">
        <f t="shared" si="47"/>
        <v>0.08</v>
      </c>
      <c r="J172" s="706"/>
      <c r="K172" s="14">
        <f t="shared" si="48"/>
        <v>1</v>
      </c>
      <c r="L172" s="706"/>
      <c r="M172" s="14">
        <f t="shared" si="49"/>
        <v>1</v>
      </c>
      <c r="N172" s="706"/>
      <c r="O172" s="14">
        <f t="shared" si="50"/>
        <v>1</v>
      </c>
      <c r="P172" s="706"/>
      <c r="Q172" s="14">
        <f t="shared" si="51"/>
        <v>0</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6"/>
      <c r="E173" s="14">
        <f t="shared" si="45"/>
        <v>0.18</v>
      </c>
      <c r="F173" s="706"/>
      <c r="G173" s="14">
        <f t="shared" si="46"/>
        <v>1</v>
      </c>
      <c r="H173" s="706"/>
      <c r="I173" s="14">
        <f t="shared" si="47"/>
        <v>0.08</v>
      </c>
      <c r="J173" s="706"/>
      <c r="K173" s="14">
        <f t="shared" si="48"/>
        <v>1</v>
      </c>
      <c r="L173" s="706"/>
      <c r="M173" s="14">
        <f t="shared" si="49"/>
        <v>1</v>
      </c>
      <c r="N173" s="706"/>
      <c r="O173" s="14">
        <f t="shared" si="50"/>
        <v>1</v>
      </c>
      <c r="P173" s="706"/>
      <c r="Q173" s="14">
        <f t="shared" si="51"/>
        <v>0</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6"/>
      <c r="E174" s="14">
        <f t="shared" si="45"/>
        <v>0.18</v>
      </c>
      <c r="F174" s="706"/>
      <c r="G174" s="14">
        <f t="shared" si="46"/>
        <v>1</v>
      </c>
      <c r="H174" s="706"/>
      <c r="I174" s="14">
        <f t="shared" si="47"/>
        <v>0.08</v>
      </c>
      <c r="J174" s="706"/>
      <c r="K174" s="14">
        <f t="shared" si="48"/>
        <v>1</v>
      </c>
      <c r="L174" s="706"/>
      <c r="M174" s="14">
        <f t="shared" si="49"/>
        <v>1</v>
      </c>
      <c r="N174" s="706"/>
      <c r="O174" s="14">
        <f t="shared" si="50"/>
        <v>1</v>
      </c>
      <c r="P174" s="706"/>
      <c r="Q174" s="14">
        <f t="shared" si="51"/>
        <v>0</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6"/>
      <c r="E175" s="14">
        <f t="shared" si="45"/>
        <v>0.18</v>
      </c>
      <c r="F175" s="706"/>
      <c r="G175" s="14">
        <f t="shared" si="46"/>
        <v>1</v>
      </c>
      <c r="H175" s="706"/>
      <c r="I175" s="14">
        <f t="shared" si="47"/>
        <v>0.08</v>
      </c>
      <c r="J175" s="706"/>
      <c r="K175" s="14">
        <f t="shared" si="48"/>
        <v>1</v>
      </c>
      <c r="L175" s="706"/>
      <c r="M175" s="14">
        <f t="shared" si="49"/>
        <v>1</v>
      </c>
      <c r="N175" s="706"/>
      <c r="O175" s="14">
        <f t="shared" si="50"/>
        <v>1</v>
      </c>
      <c r="P175" s="706"/>
      <c r="Q175" s="14">
        <f t="shared" si="51"/>
        <v>0</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6"/>
      <c r="E176" s="14">
        <f t="shared" si="45"/>
        <v>0.18</v>
      </c>
      <c r="F176" s="706"/>
      <c r="G176" s="14">
        <f t="shared" si="46"/>
        <v>1</v>
      </c>
      <c r="H176" s="706"/>
      <c r="I176" s="14">
        <f t="shared" si="47"/>
        <v>0.08</v>
      </c>
      <c r="J176" s="706"/>
      <c r="K176" s="14">
        <f t="shared" si="48"/>
        <v>1</v>
      </c>
      <c r="L176" s="706"/>
      <c r="M176" s="14">
        <f t="shared" si="49"/>
        <v>1</v>
      </c>
      <c r="N176" s="706"/>
      <c r="O176" s="14">
        <f t="shared" si="50"/>
        <v>1</v>
      </c>
      <c r="P176" s="706"/>
      <c r="Q176" s="14">
        <f t="shared" si="51"/>
        <v>0</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6"/>
      <c r="E177" s="14">
        <f t="shared" si="45"/>
        <v>0.18</v>
      </c>
      <c r="F177" s="706"/>
      <c r="G177" s="14">
        <f t="shared" si="46"/>
        <v>1</v>
      </c>
      <c r="H177" s="706"/>
      <c r="I177" s="14">
        <f t="shared" si="47"/>
        <v>0.08</v>
      </c>
      <c r="J177" s="706"/>
      <c r="K177" s="14">
        <f t="shared" si="48"/>
        <v>1</v>
      </c>
      <c r="L177" s="706"/>
      <c r="M177" s="14">
        <f t="shared" si="49"/>
        <v>1</v>
      </c>
      <c r="N177" s="706"/>
      <c r="O177" s="14">
        <f t="shared" si="50"/>
        <v>1</v>
      </c>
      <c r="P177" s="706"/>
      <c r="Q177" s="14">
        <f t="shared" si="51"/>
        <v>0</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6"/>
      <c r="E178" s="14">
        <f t="shared" si="45"/>
        <v>0.18</v>
      </c>
      <c r="F178" s="706"/>
      <c r="G178" s="14">
        <f t="shared" si="46"/>
        <v>1</v>
      </c>
      <c r="H178" s="706"/>
      <c r="I178" s="14">
        <f t="shared" si="47"/>
        <v>0.08</v>
      </c>
      <c r="J178" s="706"/>
      <c r="K178" s="14">
        <f t="shared" si="48"/>
        <v>1</v>
      </c>
      <c r="L178" s="706"/>
      <c r="M178" s="14">
        <f t="shared" si="49"/>
        <v>1</v>
      </c>
      <c r="N178" s="706"/>
      <c r="O178" s="14">
        <f t="shared" si="50"/>
        <v>1</v>
      </c>
      <c r="P178" s="706"/>
      <c r="Q178" s="14">
        <f t="shared" si="51"/>
        <v>0</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6"/>
      <c r="E179" s="14">
        <f t="shared" si="45"/>
        <v>0.18</v>
      </c>
      <c r="F179" s="706"/>
      <c r="G179" s="14">
        <f t="shared" si="46"/>
        <v>1</v>
      </c>
      <c r="H179" s="706"/>
      <c r="I179" s="14">
        <f t="shared" si="47"/>
        <v>0.08</v>
      </c>
      <c r="J179" s="706"/>
      <c r="K179" s="14">
        <f t="shared" si="48"/>
        <v>1</v>
      </c>
      <c r="L179" s="706"/>
      <c r="M179" s="14">
        <f t="shared" si="49"/>
        <v>1</v>
      </c>
      <c r="N179" s="706"/>
      <c r="O179" s="14">
        <f t="shared" si="50"/>
        <v>1</v>
      </c>
      <c r="P179" s="706"/>
      <c r="Q179" s="14">
        <f t="shared" si="51"/>
        <v>0</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6"/>
      <c r="E180" s="14">
        <f t="shared" si="45"/>
        <v>0.18</v>
      </c>
      <c r="F180" s="706"/>
      <c r="G180" s="14">
        <f t="shared" si="46"/>
        <v>1</v>
      </c>
      <c r="H180" s="706"/>
      <c r="I180" s="14">
        <f t="shared" si="47"/>
        <v>0.08</v>
      </c>
      <c r="J180" s="706"/>
      <c r="K180" s="14">
        <f t="shared" si="48"/>
        <v>1</v>
      </c>
      <c r="L180" s="706"/>
      <c r="M180" s="14">
        <f t="shared" si="49"/>
        <v>1</v>
      </c>
      <c r="N180" s="706"/>
      <c r="O180" s="14">
        <f t="shared" si="50"/>
        <v>1</v>
      </c>
      <c r="P180" s="706"/>
      <c r="Q180" s="14">
        <f t="shared" si="51"/>
        <v>0</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6"/>
      <c r="E181" s="14">
        <f t="shared" si="45"/>
        <v>0.18</v>
      </c>
      <c r="F181" s="706"/>
      <c r="G181" s="14">
        <f t="shared" si="46"/>
        <v>1</v>
      </c>
      <c r="H181" s="706"/>
      <c r="I181" s="14">
        <f t="shared" si="47"/>
        <v>0.08</v>
      </c>
      <c r="J181" s="706"/>
      <c r="K181" s="14">
        <f t="shared" si="48"/>
        <v>1</v>
      </c>
      <c r="L181" s="706"/>
      <c r="M181" s="14">
        <f t="shared" si="49"/>
        <v>1</v>
      </c>
      <c r="N181" s="706"/>
      <c r="O181" s="14">
        <f t="shared" si="50"/>
        <v>1</v>
      </c>
      <c r="P181" s="706"/>
      <c r="Q181" s="14">
        <f t="shared" si="51"/>
        <v>0</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6"/>
      <c r="E182" s="14">
        <f t="shared" si="45"/>
        <v>0.18</v>
      </c>
      <c r="F182" s="706"/>
      <c r="G182" s="14">
        <f t="shared" si="46"/>
        <v>1</v>
      </c>
      <c r="H182" s="706"/>
      <c r="I182" s="14">
        <f t="shared" si="47"/>
        <v>0.08</v>
      </c>
      <c r="J182" s="706"/>
      <c r="K182" s="14">
        <f t="shared" si="48"/>
        <v>1</v>
      </c>
      <c r="L182" s="706"/>
      <c r="M182" s="14">
        <f t="shared" si="49"/>
        <v>1</v>
      </c>
      <c r="N182" s="706"/>
      <c r="O182" s="14">
        <f t="shared" si="50"/>
        <v>1</v>
      </c>
      <c r="P182" s="706"/>
      <c r="Q182" s="14">
        <f t="shared" si="51"/>
        <v>0</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6"/>
      <c r="E183" s="14">
        <f t="shared" si="45"/>
        <v>0.18</v>
      </c>
      <c r="F183" s="706"/>
      <c r="G183" s="14">
        <f t="shared" si="46"/>
        <v>1</v>
      </c>
      <c r="H183" s="706"/>
      <c r="I183" s="14">
        <f t="shared" si="47"/>
        <v>0.08</v>
      </c>
      <c r="J183" s="706"/>
      <c r="K183" s="14">
        <f t="shared" si="48"/>
        <v>1</v>
      </c>
      <c r="L183" s="706"/>
      <c r="M183" s="14">
        <f t="shared" si="49"/>
        <v>1</v>
      </c>
      <c r="N183" s="706"/>
      <c r="O183" s="14">
        <f t="shared" si="50"/>
        <v>1</v>
      </c>
      <c r="P183" s="706"/>
      <c r="Q183" s="14">
        <f t="shared" si="51"/>
        <v>0</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6"/>
      <c r="E184" s="14">
        <f t="shared" si="45"/>
        <v>0.18</v>
      </c>
      <c r="F184" s="706"/>
      <c r="G184" s="14">
        <f t="shared" si="46"/>
        <v>1</v>
      </c>
      <c r="H184" s="706"/>
      <c r="I184" s="14">
        <f t="shared" si="47"/>
        <v>0.08</v>
      </c>
      <c r="J184" s="706"/>
      <c r="K184" s="14">
        <f t="shared" si="48"/>
        <v>1</v>
      </c>
      <c r="L184" s="706"/>
      <c r="M184" s="14">
        <f t="shared" si="49"/>
        <v>1</v>
      </c>
      <c r="N184" s="706"/>
      <c r="O184" s="14">
        <f t="shared" si="50"/>
        <v>1</v>
      </c>
      <c r="P184" s="706"/>
      <c r="Q184" s="14">
        <f t="shared" si="51"/>
        <v>0</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6"/>
      <c r="E185" s="14">
        <f t="shared" si="45"/>
        <v>0.18</v>
      </c>
      <c r="F185" s="706"/>
      <c r="G185" s="14">
        <f t="shared" si="46"/>
        <v>1</v>
      </c>
      <c r="H185" s="706"/>
      <c r="I185" s="14">
        <f t="shared" si="47"/>
        <v>0.08</v>
      </c>
      <c r="J185" s="706"/>
      <c r="K185" s="14">
        <f t="shared" si="48"/>
        <v>1</v>
      </c>
      <c r="L185" s="706"/>
      <c r="M185" s="14">
        <f t="shared" si="49"/>
        <v>1</v>
      </c>
      <c r="N185" s="706"/>
      <c r="O185" s="14">
        <f t="shared" si="50"/>
        <v>1</v>
      </c>
      <c r="P185" s="706"/>
      <c r="Q185" s="14">
        <f t="shared" si="51"/>
        <v>0</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6"/>
      <c r="E186" s="14">
        <f t="shared" si="45"/>
        <v>0.18</v>
      </c>
      <c r="F186" s="706"/>
      <c r="G186" s="14">
        <f t="shared" si="46"/>
        <v>1</v>
      </c>
      <c r="H186" s="706"/>
      <c r="I186" s="14">
        <f t="shared" si="47"/>
        <v>0.08</v>
      </c>
      <c r="J186" s="706"/>
      <c r="K186" s="14">
        <f t="shared" si="48"/>
        <v>1</v>
      </c>
      <c r="L186" s="706"/>
      <c r="M186" s="14">
        <f t="shared" si="49"/>
        <v>1</v>
      </c>
      <c r="N186" s="706"/>
      <c r="O186" s="14">
        <f t="shared" si="50"/>
        <v>1</v>
      </c>
      <c r="P186" s="706"/>
      <c r="Q186" s="14">
        <f t="shared" si="51"/>
        <v>0</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6"/>
      <c r="E187" s="14">
        <f t="shared" si="45"/>
        <v>0.18</v>
      </c>
      <c r="F187" s="706"/>
      <c r="G187" s="14">
        <f t="shared" si="46"/>
        <v>1</v>
      </c>
      <c r="H187" s="706"/>
      <c r="I187" s="14">
        <f t="shared" si="47"/>
        <v>0.08</v>
      </c>
      <c r="J187" s="706"/>
      <c r="K187" s="14">
        <f t="shared" si="48"/>
        <v>1</v>
      </c>
      <c r="L187" s="706"/>
      <c r="M187" s="14">
        <f t="shared" si="49"/>
        <v>1</v>
      </c>
      <c r="N187" s="706"/>
      <c r="O187" s="14">
        <f t="shared" si="50"/>
        <v>1</v>
      </c>
      <c r="P187" s="706"/>
      <c r="Q187" s="14">
        <f t="shared" si="51"/>
        <v>0</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6"/>
      <c r="E188" s="14">
        <f t="shared" si="45"/>
        <v>0.18</v>
      </c>
      <c r="F188" s="706"/>
      <c r="G188" s="14">
        <f t="shared" si="46"/>
        <v>1</v>
      </c>
      <c r="H188" s="706"/>
      <c r="I188" s="14">
        <f t="shared" si="47"/>
        <v>0.08</v>
      </c>
      <c r="J188" s="706"/>
      <c r="K188" s="14">
        <f t="shared" si="48"/>
        <v>1</v>
      </c>
      <c r="L188" s="706"/>
      <c r="M188" s="14">
        <f t="shared" si="49"/>
        <v>1</v>
      </c>
      <c r="N188" s="706"/>
      <c r="O188" s="14">
        <f t="shared" si="50"/>
        <v>1</v>
      </c>
      <c r="P188" s="706"/>
      <c r="Q188" s="14">
        <f t="shared" si="51"/>
        <v>0</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6"/>
      <c r="E189" s="14">
        <f t="shared" si="45"/>
        <v>0.18</v>
      </c>
      <c r="F189" s="706"/>
      <c r="G189" s="14">
        <f t="shared" si="46"/>
        <v>1</v>
      </c>
      <c r="H189" s="706"/>
      <c r="I189" s="14">
        <f t="shared" si="47"/>
        <v>0.08</v>
      </c>
      <c r="J189" s="706"/>
      <c r="K189" s="14">
        <f t="shared" si="48"/>
        <v>1</v>
      </c>
      <c r="L189" s="706"/>
      <c r="M189" s="14">
        <f t="shared" si="49"/>
        <v>1</v>
      </c>
      <c r="N189" s="706"/>
      <c r="O189" s="14">
        <f t="shared" si="50"/>
        <v>1</v>
      </c>
      <c r="P189" s="706"/>
      <c r="Q189" s="14">
        <f t="shared" si="51"/>
        <v>0</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6"/>
      <c r="E190" s="14">
        <f t="shared" si="45"/>
        <v>0.18</v>
      </c>
      <c r="F190" s="706"/>
      <c r="G190" s="14">
        <f t="shared" si="46"/>
        <v>1</v>
      </c>
      <c r="H190" s="706"/>
      <c r="I190" s="14">
        <f t="shared" si="47"/>
        <v>0.08</v>
      </c>
      <c r="J190" s="706"/>
      <c r="K190" s="14">
        <f t="shared" si="48"/>
        <v>1</v>
      </c>
      <c r="L190" s="706"/>
      <c r="M190" s="14">
        <f t="shared" si="49"/>
        <v>1</v>
      </c>
      <c r="N190" s="706"/>
      <c r="O190" s="14">
        <f t="shared" si="50"/>
        <v>1</v>
      </c>
      <c r="P190" s="706"/>
      <c r="Q190" s="14">
        <f t="shared" si="51"/>
        <v>0</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6"/>
      <c r="E191" s="14">
        <f t="shared" si="45"/>
        <v>0.18</v>
      </c>
      <c r="F191" s="706"/>
      <c r="G191" s="14">
        <f t="shared" si="46"/>
        <v>1</v>
      </c>
      <c r="H191" s="706"/>
      <c r="I191" s="14">
        <f t="shared" si="47"/>
        <v>0.08</v>
      </c>
      <c r="J191" s="706"/>
      <c r="K191" s="14">
        <f t="shared" si="48"/>
        <v>1</v>
      </c>
      <c r="L191" s="706"/>
      <c r="M191" s="14">
        <f t="shared" si="49"/>
        <v>1</v>
      </c>
      <c r="N191" s="706"/>
      <c r="O191" s="14">
        <f t="shared" si="50"/>
        <v>1</v>
      </c>
      <c r="P191" s="706"/>
      <c r="Q191" s="14">
        <f t="shared" si="51"/>
        <v>0</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6"/>
      <c r="E192" s="14">
        <f t="shared" si="45"/>
        <v>0.18</v>
      </c>
      <c r="F192" s="706"/>
      <c r="G192" s="14">
        <f t="shared" si="46"/>
        <v>1</v>
      </c>
      <c r="H192" s="706"/>
      <c r="I192" s="14">
        <f t="shared" si="47"/>
        <v>0.08</v>
      </c>
      <c r="J192" s="706"/>
      <c r="K192" s="14">
        <f t="shared" si="48"/>
        <v>1</v>
      </c>
      <c r="L192" s="706"/>
      <c r="M192" s="14">
        <f t="shared" si="49"/>
        <v>1</v>
      </c>
      <c r="N192" s="706"/>
      <c r="O192" s="14">
        <f t="shared" si="50"/>
        <v>1</v>
      </c>
      <c r="P192" s="706"/>
      <c r="Q192" s="14">
        <f t="shared" si="51"/>
        <v>0</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6"/>
      <c r="E193" s="14">
        <f t="shared" si="45"/>
        <v>0.18</v>
      </c>
      <c r="F193" s="706"/>
      <c r="G193" s="14">
        <f t="shared" si="46"/>
        <v>1</v>
      </c>
      <c r="H193" s="706"/>
      <c r="I193" s="14">
        <f t="shared" si="47"/>
        <v>0.08</v>
      </c>
      <c r="J193" s="706"/>
      <c r="K193" s="14">
        <f t="shared" si="48"/>
        <v>1</v>
      </c>
      <c r="L193" s="706"/>
      <c r="M193" s="14">
        <f t="shared" si="49"/>
        <v>1</v>
      </c>
      <c r="N193" s="706"/>
      <c r="O193" s="14">
        <f t="shared" si="50"/>
        <v>1</v>
      </c>
      <c r="P193" s="706"/>
      <c r="Q193" s="14">
        <f t="shared" si="51"/>
        <v>0</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6"/>
      <c r="E194" s="14">
        <f t="shared" si="45"/>
        <v>0.18</v>
      </c>
      <c r="F194" s="706"/>
      <c r="G194" s="14">
        <f t="shared" si="46"/>
        <v>1</v>
      </c>
      <c r="H194" s="706"/>
      <c r="I194" s="14">
        <f t="shared" si="47"/>
        <v>0.08</v>
      </c>
      <c r="J194" s="706"/>
      <c r="K194" s="14">
        <f t="shared" si="48"/>
        <v>1</v>
      </c>
      <c r="L194" s="706"/>
      <c r="M194" s="14">
        <f t="shared" si="49"/>
        <v>1</v>
      </c>
      <c r="N194" s="706"/>
      <c r="O194" s="14">
        <f t="shared" si="50"/>
        <v>1</v>
      </c>
      <c r="P194" s="706"/>
      <c r="Q194" s="14">
        <f t="shared" si="51"/>
        <v>0</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6"/>
      <c r="E195" s="14">
        <f t="shared" si="45"/>
        <v>0.18</v>
      </c>
      <c r="F195" s="706"/>
      <c r="G195" s="14">
        <f t="shared" si="46"/>
        <v>1</v>
      </c>
      <c r="H195" s="706"/>
      <c r="I195" s="14">
        <f t="shared" si="47"/>
        <v>0.08</v>
      </c>
      <c r="J195" s="706"/>
      <c r="K195" s="14">
        <f t="shared" si="48"/>
        <v>1</v>
      </c>
      <c r="L195" s="706"/>
      <c r="M195" s="14">
        <f t="shared" si="49"/>
        <v>1</v>
      </c>
      <c r="N195" s="706"/>
      <c r="O195" s="14">
        <f t="shared" si="50"/>
        <v>1</v>
      </c>
      <c r="P195" s="706"/>
      <c r="Q195" s="14">
        <f t="shared" si="51"/>
        <v>0</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6"/>
      <c r="E196" s="14">
        <f t="shared" si="45"/>
        <v>0.18</v>
      </c>
      <c r="F196" s="706"/>
      <c r="G196" s="14">
        <f t="shared" si="46"/>
        <v>1</v>
      </c>
      <c r="H196" s="706"/>
      <c r="I196" s="14">
        <f t="shared" si="47"/>
        <v>0.08</v>
      </c>
      <c r="J196" s="706"/>
      <c r="K196" s="14">
        <f t="shared" si="48"/>
        <v>1</v>
      </c>
      <c r="L196" s="706"/>
      <c r="M196" s="14">
        <f t="shared" si="49"/>
        <v>1</v>
      </c>
      <c r="N196" s="706"/>
      <c r="O196" s="14">
        <f t="shared" si="50"/>
        <v>1</v>
      </c>
      <c r="P196" s="706"/>
      <c r="Q196" s="14">
        <f t="shared" si="51"/>
        <v>0</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6"/>
      <c r="E197" s="14">
        <f t="shared" si="45"/>
        <v>0.18</v>
      </c>
      <c r="F197" s="706"/>
      <c r="G197" s="14">
        <f t="shared" si="46"/>
        <v>1</v>
      </c>
      <c r="H197" s="706"/>
      <c r="I197" s="14">
        <f t="shared" si="47"/>
        <v>0.08</v>
      </c>
      <c r="J197" s="706"/>
      <c r="K197" s="14">
        <f t="shared" si="48"/>
        <v>1</v>
      </c>
      <c r="L197" s="706"/>
      <c r="M197" s="14">
        <f t="shared" si="49"/>
        <v>1</v>
      </c>
      <c r="N197" s="706"/>
      <c r="O197" s="14">
        <f t="shared" si="50"/>
        <v>1</v>
      </c>
      <c r="P197" s="706"/>
      <c r="Q197" s="14">
        <f t="shared" si="51"/>
        <v>0</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6"/>
      <c r="E198" s="14">
        <f t="shared" si="45"/>
        <v>0.18</v>
      </c>
      <c r="F198" s="706"/>
      <c r="G198" s="14">
        <f t="shared" si="46"/>
        <v>1</v>
      </c>
      <c r="H198" s="706"/>
      <c r="I198" s="14">
        <f t="shared" si="47"/>
        <v>0.08</v>
      </c>
      <c r="J198" s="706"/>
      <c r="K198" s="14">
        <f t="shared" si="48"/>
        <v>1</v>
      </c>
      <c r="L198" s="706"/>
      <c r="M198" s="14">
        <f t="shared" si="49"/>
        <v>1</v>
      </c>
      <c r="N198" s="706"/>
      <c r="O198" s="14">
        <f t="shared" si="50"/>
        <v>1</v>
      </c>
      <c r="P198" s="706"/>
      <c r="Q198" s="14">
        <f t="shared" si="51"/>
        <v>0</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6"/>
      <c r="E199" s="14">
        <f t="shared" si="45"/>
        <v>0.18</v>
      </c>
      <c r="F199" s="706"/>
      <c r="G199" s="14">
        <f t="shared" si="46"/>
        <v>1</v>
      </c>
      <c r="H199" s="706"/>
      <c r="I199" s="14">
        <f t="shared" si="47"/>
        <v>0.08</v>
      </c>
      <c r="J199" s="706"/>
      <c r="K199" s="14">
        <f t="shared" si="48"/>
        <v>1</v>
      </c>
      <c r="L199" s="706"/>
      <c r="M199" s="14">
        <f t="shared" si="49"/>
        <v>1</v>
      </c>
      <c r="N199" s="706"/>
      <c r="O199" s="14">
        <f t="shared" si="50"/>
        <v>1</v>
      </c>
      <c r="P199" s="706"/>
      <c r="Q199" s="14">
        <f t="shared" si="51"/>
        <v>0</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6"/>
      <c r="E200" s="14">
        <f t="shared" si="45"/>
        <v>0.18</v>
      </c>
      <c r="F200" s="706"/>
      <c r="G200" s="14">
        <f t="shared" si="46"/>
        <v>1</v>
      </c>
      <c r="H200" s="706"/>
      <c r="I200" s="14">
        <f t="shared" si="47"/>
        <v>0.08</v>
      </c>
      <c r="J200" s="706"/>
      <c r="K200" s="14">
        <f t="shared" si="48"/>
        <v>1</v>
      </c>
      <c r="L200" s="706"/>
      <c r="M200" s="14">
        <f t="shared" si="49"/>
        <v>1</v>
      </c>
      <c r="N200" s="706"/>
      <c r="O200" s="14">
        <f t="shared" si="50"/>
        <v>1</v>
      </c>
      <c r="P200" s="706"/>
      <c r="Q200" s="14">
        <f t="shared" si="51"/>
        <v>0</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6"/>
      <c r="E201" s="14">
        <f t="shared" si="45"/>
        <v>0.18</v>
      </c>
      <c r="F201" s="706"/>
      <c r="G201" s="14">
        <f t="shared" si="46"/>
        <v>1</v>
      </c>
      <c r="H201" s="706"/>
      <c r="I201" s="14">
        <f t="shared" si="47"/>
        <v>0.08</v>
      </c>
      <c r="J201" s="706"/>
      <c r="K201" s="14">
        <f t="shared" si="48"/>
        <v>1</v>
      </c>
      <c r="L201" s="706"/>
      <c r="M201" s="14">
        <f t="shared" si="49"/>
        <v>1</v>
      </c>
      <c r="N201" s="706"/>
      <c r="O201" s="14">
        <f t="shared" si="50"/>
        <v>1</v>
      </c>
      <c r="P201" s="706"/>
      <c r="Q201" s="14">
        <f t="shared" si="51"/>
        <v>0</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6"/>
      <c r="E202" s="14">
        <f t="shared" si="45"/>
        <v>0.18</v>
      </c>
      <c r="F202" s="706"/>
      <c r="G202" s="14">
        <f t="shared" si="46"/>
        <v>1</v>
      </c>
      <c r="H202" s="706"/>
      <c r="I202" s="14">
        <f t="shared" si="47"/>
        <v>0.08</v>
      </c>
      <c r="J202" s="706"/>
      <c r="K202" s="14">
        <f t="shared" si="48"/>
        <v>1</v>
      </c>
      <c r="L202" s="706"/>
      <c r="M202" s="14">
        <f t="shared" si="49"/>
        <v>1</v>
      </c>
      <c r="N202" s="706"/>
      <c r="O202" s="14">
        <f t="shared" si="50"/>
        <v>1</v>
      </c>
      <c r="P202" s="706"/>
      <c r="Q202" s="14">
        <f t="shared" si="51"/>
        <v>0</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6"/>
      <c r="E203" s="14">
        <f t="shared" si="45"/>
        <v>0.18</v>
      </c>
      <c r="F203" s="706"/>
      <c r="G203" s="14">
        <f t="shared" si="46"/>
        <v>1</v>
      </c>
      <c r="H203" s="706"/>
      <c r="I203" s="14">
        <f t="shared" si="47"/>
        <v>0.08</v>
      </c>
      <c r="J203" s="706"/>
      <c r="K203" s="14">
        <f t="shared" si="48"/>
        <v>1</v>
      </c>
      <c r="L203" s="706"/>
      <c r="M203" s="14">
        <f t="shared" si="49"/>
        <v>1</v>
      </c>
      <c r="N203" s="706"/>
      <c r="O203" s="14">
        <f t="shared" si="50"/>
        <v>1</v>
      </c>
      <c r="P203" s="706"/>
      <c r="Q203" s="14">
        <f t="shared" si="51"/>
        <v>0</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6"/>
      <c r="E204" s="14">
        <f t="shared" si="45"/>
        <v>0.18</v>
      </c>
      <c r="F204" s="706"/>
      <c r="G204" s="14">
        <f t="shared" si="46"/>
        <v>1</v>
      </c>
      <c r="H204" s="706"/>
      <c r="I204" s="14">
        <f t="shared" si="47"/>
        <v>0.08</v>
      </c>
      <c r="J204" s="706"/>
      <c r="K204" s="14">
        <f t="shared" si="48"/>
        <v>1</v>
      </c>
      <c r="L204" s="706"/>
      <c r="M204" s="14">
        <f t="shared" si="49"/>
        <v>1</v>
      </c>
      <c r="N204" s="706"/>
      <c r="O204" s="14">
        <f t="shared" si="50"/>
        <v>1</v>
      </c>
      <c r="P204" s="706"/>
      <c r="Q204" s="14">
        <f t="shared" si="51"/>
        <v>0</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6"/>
      <c r="E205" s="14">
        <f t="shared" si="45"/>
        <v>0.18</v>
      </c>
      <c r="F205" s="706"/>
      <c r="G205" s="14">
        <f t="shared" si="46"/>
        <v>1</v>
      </c>
      <c r="H205" s="706"/>
      <c r="I205" s="14">
        <f t="shared" si="47"/>
        <v>0.08</v>
      </c>
      <c r="J205" s="706"/>
      <c r="K205" s="14">
        <f t="shared" si="48"/>
        <v>1</v>
      </c>
      <c r="L205" s="706"/>
      <c r="M205" s="14">
        <f t="shared" si="49"/>
        <v>1</v>
      </c>
      <c r="N205" s="706"/>
      <c r="O205" s="14">
        <f t="shared" si="50"/>
        <v>1</v>
      </c>
      <c r="P205" s="706"/>
      <c r="Q205" s="14">
        <f t="shared" si="51"/>
        <v>0</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6"/>
      <c r="E206" s="14">
        <f t="shared" si="45"/>
        <v>0.18</v>
      </c>
      <c r="F206" s="706"/>
      <c r="G206" s="14">
        <f t="shared" si="46"/>
        <v>1</v>
      </c>
      <c r="H206" s="706"/>
      <c r="I206" s="14">
        <f t="shared" si="47"/>
        <v>0.08</v>
      </c>
      <c r="J206" s="706"/>
      <c r="K206" s="14">
        <f t="shared" si="48"/>
        <v>1</v>
      </c>
      <c r="L206" s="706"/>
      <c r="M206" s="14">
        <f t="shared" si="49"/>
        <v>1</v>
      </c>
      <c r="N206" s="706"/>
      <c r="O206" s="14">
        <f t="shared" si="50"/>
        <v>1</v>
      </c>
      <c r="P206" s="706"/>
      <c r="Q206" s="14">
        <f t="shared" si="51"/>
        <v>0</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6"/>
      <c r="E207" s="14">
        <f t="shared" si="45"/>
        <v>0.18</v>
      </c>
      <c r="F207" s="706"/>
      <c r="G207" s="14">
        <f t="shared" si="46"/>
        <v>1</v>
      </c>
      <c r="H207" s="706"/>
      <c r="I207" s="14">
        <f t="shared" si="47"/>
        <v>0.08</v>
      </c>
      <c r="J207" s="706"/>
      <c r="K207" s="14">
        <f t="shared" si="48"/>
        <v>1</v>
      </c>
      <c r="L207" s="706"/>
      <c r="M207" s="14">
        <f t="shared" si="49"/>
        <v>1</v>
      </c>
      <c r="N207" s="706"/>
      <c r="O207" s="14">
        <f t="shared" si="50"/>
        <v>1</v>
      </c>
      <c r="P207" s="706"/>
      <c r="Q207" s="14">
        <f t="shared" si="51"/>
        <v>0</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6"/>
      <c r="E208" s="14">
        <f t="shared" si="45"/>
        <v>0.18</v>
      </c>
      <c r="F208" s="706"/>
      <c r="G208" s="14">
        <f t="shared" si="46"/>
        <v>1</v>
      </c>
      <c r="H208" s="706"/>
      <c r="I208" s="14">
        <f t="shared" si="47"/>
        <v>0.08</v>
      </c>
      <c r="J208" s="706"/>
      <c r="K208" s="14">
        <f t="shared" si="48"/>
        <v>1</v>
      </c>
      <c r="L208" s="706"/>
      <c r="M208" s="14">
        <f t="shared" si="49"/>
        <v>1</v>
      </c>
      <c r="N208" s="706"/>
      <c r="O208" s="14">
        <f t="shared" si="50"/>
        <v>1</v>
      </c>
      <c r="P208" s="706"/>
      <c r="Q208" s="14">
        <f t="shared" si="51"/>
        <v>0</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6"/>
      <c r="E209" s="14">
        <f t="shared" si="45"/>
        <v>0.18</v>
      </c>
      <c r="F209" s="706"/>
      <c r="G209" s="14">
        <f t="shared" si="46"/>
        <v>1</v>
      </c>
      <c r="H209" s="706"/>
      <c r="I209" s="14">
        <f t="shared" si="47"/>
        <v>0.08</v>
      </c>
      <c r="J209" s="706"/>
      <c r="K209" s="14">
        <f t="shared" si="48"/>
        <v>1</v>
      </c>
      <c r="L209" s="706"/>
      <c r="M209" s="14">
        <f t="shared" si="49"/>
        <v>1</v>
      </c>
      <c r="N209" s="706"/>
      <c r="O209" s="14">
        <f t="shared" si="50"/>
        <v>1</v>
      </c>
      <c r="P209" s="706"/>
      <c r="Q209" s="14">
        <f t="shared" si="51"/>
        <v>0</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6"/>
      <c r="E210" s="14">
        <f t="shared" si="45"/>
        <v>0.18</v>
      </c>
      <c r="F210" s="706"/>
      <c r="G210" s="14">
        <f t="shared" si="46"/>
        <v>1</v>
      </c>
      <c r="H210" s="706"/>
      <c r="I210" s="14">
        <f t="shared" si="47"/>
        <v>0.08</v>
      </c>
      <c r="J210" s="706"/>
      <c r="K210" s="14">
        <f t="shared" si="48"/>
        <v>1</v>
      </c>
      <c r="L210" s="706"/>
      <c r="M210" s="14">
        <f t="shared" si="49"/>
        <v>1</v>
      </c>
      <c r="N210" s="706"/>
      <c r="O210" s="14">
        <f t="shared" si="50"/>
        <v>1</v>
      </c>
      <c r="P210" s="706"/>
      <c r="Q210" s="14">
        <f t="shared" si="51"/>
        <v>0</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6"/>
      <c r="E211" s="14">
        <f t="shared" si="45"/>
        <v>0.18</v>
      </c>
      <c r="F211" s="706"/>
      <c r="G211" s="14">
        <f t="shared" si="46"/>
        <v>1</v>
      </c>
      <c r="H211" s="706"/>
      <c r="I211" s="14">
        <f t="shared" si="47"/>
        <v>0.08</v>
      </c>
      <c r="J211" s="706"/>
      <c r="K211" s="14">
        <f t="shared" si="48"/>
        <v>1</v>
      </c>
      <c r="L211" s="706"/>
      <c r="M211" s="14">
        <f t="shared" si="49"/>
        <v>1</v>
      </c>
      <c r="N211" s="706"/>
      <c r="O211" s="14">
        <f t="shared" si="50"/>
        <v>1</v>
      </c>
      <c r="P211" s="706"/>
      <c r="Q211" s="14">
        <f t="shared" si="51"/>
        <v>0</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6"/>
      <c r="E212" s="14">
        <f t="shared" si="45"/>
        <v>0.18</v>
      </c>
      <c r="F212" s="706"/>
      <c r="G212" s="14">
        <f t="shared" si="46"/>
        <v>1</v>
      </c>
      <c r="H212" s="706"/>
      <c r="I212" s="14">
        <f t="shared" si="47"/>
        <v>0.08</v>
      </c>
      <c r="J212" s="706"/>
      <c r="K212" s="14">
        <f t="shared" si="48"/>
        <v>1</v>
      </c>
      <c r="L212" s="706"/>
      <c r="M212" s="14">
        <f t="shared" si="49"/>
        <v>1</v>
      </c>
      <c r="N212" s="706"/>
      <c r="O212" s="14">
        <f t="shared" si="50"/>
        <v>1</v>
      </c>
      <c r="P212" s="706"/>
      <c r="Q212" s="14">
        <f t="shared" si="51"/>
        <v>0</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6"/>
      <c r="E213" s="14">
        <f t="shared" si="45"/>
        <v>0.18</v>
      </c>
      <c r="F213" s="706"/>
      <c r="G213" s="14">
        <f t="shared" si="46"/>
        <v>1</v>
      </c>
      <c r="H213" s="706"/>
      <c r="I213" s="14">
        <f t="shared" si="47"/>
        <v>0.08</v>
      </c>
      <c r="J213" s="706"/>
      <c r="K213" s="14">
        <f t="shared" si="48"/>
        <v>1</v>
      </c>
      <c r="L213" s="706"/>
      <c r="M213" s="14">
        <f t="shared" si="49"/>
        <v>1</v>
      </c>
      <c r="N213" s="706"/>
      <c r="O213" s="14">
        <f t="shared" si="50"/>
        <v>1</v>
      </c>
      <c r="P213" s="706"/>
      <c r="Q213" s="14">
        <f t="shared" si="51"/>
        <v>0</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6"/>
      <c r="E214" s="14">
        <f t="shared" si="45"/>
        <v>0.18</v>
      </c>
      <c r="F214" s="706"/>
      <c r="G214" s="14">
        <f t="shared" si="46"/>
        <v>1</v>
      </c>
      <c r="H214" s="706"/>
      <c r="I214" s="14">
        <f t="shared" si="47"/>
        <v>0.08</v>
      </c>
      <c r="J214" s="706"/>
      <c r="K214" s="14">
        <f t="shared" si="48"/>
        <v>1</v>
      </c>
      <c r="L214" s="706"/>
      <c r="M214" s="14">
        <f t="shared" si="49"/>
        <v>1</v>
      </c>
      <c r="N214" s="706"/>
      <c r="O214" s="14">
        <f t="shared" si="50"/>
        <v>1</v>
      </c>
      <c r="P214" s="706"/>
      <c r="Q214" s="14">
        <f t="shared" si="51"/>
        <v>0</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6"/>
      <c r="E215" s="14">
        <f t="shared" si="45"/>
        <v>0.18</v>
      </c>
      <c r="F215" s="706"/>
      <c r="G215" s="14">
        <f t="shared" si="46"/>
        <v>1</v>
      </c>
      <c r="H215" s="706"/>
      <c r="I215" s="14">
        <f t="shared" si="47"/>
        <v>0.08</v>
      </c>
      <c r="J215" s="706"/>
      <c r="K215" s="14">
        <f t="shared" si="48"/>
        <v>1</v>
      </c>
      <c r="L215" s="706"/>
      <c r="M215" s="14">
        <f t="shared" si="49"/>
        <v>1</v>
      </c>
      <c r="N215" s="706"/>
      <c r="O215" s="14">
        <f t="shared" si="50"/>
        <v>1</v>
      </c>
      <c r="P215" s="706"/>
      <c r="Q215" s="14">
        <f t="shared" si="51"/>
        <v>0</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6"/>
      <c r="E216" s="14">
        <f t="shared" si="45"/>
        <v>0.18</v>
      </c>
      <c r="F216" s="706"/>
      <c r="G216" s="14">
        <f t="shared" si="46"/>
        <v>1</v>
      </c>
      <c r="H216" s="706"/>
      <c r="I216" s="14">
        <f t="shared" si="47"/>
        <v>0.08</v>
      </c>
      <c r="J216" s="706"/>
      <c r="K216" s="14">
        <f t="shared" si="48"/>
        <v>1</v>
      </c>
      <c r="L216" s="706"/>
      <c r="M216" s="14">
        <f t="shared" si="49"/>
        <v>1</v>
      </c>
      <c r="N216" s="706"/>
      <c r="O216" s="14">
        <f t="shared" si="50"/>
        <v>1</v>
      </c>
      <c r="P216" s="706"/>
      <c r="Q216" s="14">
        <f t="shared" si="51"/>
        <v>0</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6"/>
      <c r="E217" s="14">
        <f t="shared" si="45"/>
        <v>0.18</v>
      </c>
      <c r="F217" s="706"/>
      <c r="G217" s="14">
        <f t="shared" si="46"/>
        <v>1</v>
      </c>
      <c r="H217" s="706"/>
      <c r="I217" s="14">
        <f t="shared" si="47"/>
        <v>0.08</v>
      </c>
      <c r="J217" s="706"/>
      <c r="K217" s="14">
        <f t="shared" si="48"/>
        <v>1</v>
      </c>
      <c r="L217" s="706"/>
      <c r="M217" s="14">
        <f t="shared" si="49"/>
        <v>1</v>
      </c>
      <c r="N217" s="706"/>
      <c r="O217" s="14">
        <f t="shared" si="50"/>
        <v>1</v>
      </c>
      <c r="P217" s="706"/>
      <c r="Q217" s="14">
        <f t="shared" si="51"/>
        <v>0</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6"/>
      <c r="E218" s="14">
        <f t="shared" si="45"/>
        <v>0.18</v>
      </c>
      <c r="F218" s="706"/>
      <c r="G218" s="14">
        <f t="shared" si="46"/>
        <v>1</v>
      </c>
      <c r="H218" s="706"/>
      <c r="I218" s="14">
        <f t="shared" si="47"/>
        <v>0.08</v>
      </c>
      <c r="J218" s="706"/>
      <c r="K218" s="14">
        <f t="shared" si="48"/>
        <v>1</v>
      </c>
      <c r="L218" s="706"/>
      <c r="M218" s="14">
        <f t="shared" si="49"/>
        <v>1</v>
      </c>
      <c r="N218" s="706"/>
      <c r="O218" s="14">
        <f t="shared" si="50"/>
        <v>1</v>
      </c>
      <c r="P218" s="706"/>
      <c r="Q218" s="14">
        <f t="shared" si="51"/>
        <v>0</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6"/>
      <c r="E219" s="14">
        <f t="shared" si="45"/>
        <v>0.18</v>
      </c>
      <c r="F219" s="706"/>
      <c r="G219" s="14">
        <f t="shared" si="46"/>
        <v>1</v>
      </c>
      <c r="H219" s="706"/>
      <c r="I219" s="14">
        <f t="shared" si="47"/>
        <v>0.08</v>
      </c>
      <c r="J219" s="706"/>
      <c r="K219" s="14">
        <f t="shared" si="48"/>
        <v>1</v>
      </c>
      <c r="L219" s="706"/>
      <c r="M219" s="14">
        <f t="shared" si="49"/>
        <v>1</v>
      </c>
      <c r="N219" s="706"/>
      <c r="O219" s="14">
        <f t="shared" si="50"/>
        <v>1</v>
      </c>
      <c r="P219" s="706"/>
      <c r="Q219" s="14">
        <f t="shared" si="51"/>
        <v>0</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6"/>
      <c r="E220" s="14">
        <f t="shared" ref="E220:E283" si="60">(SUMIF($8:$8,D220,$9:$9)-SUMIF($8:$8,$D$27,$9:$9)+100)/100</f>
        <v>0.18</v>
      </c>
      <c r="F220" s="706"/>
      <c r="G220" s="14">
        <f t="shared" ref="G220:G283" si="61">(SUMIF($10:$10,F220,$11:$11)-SUMIF($10:$10,$F$27,$11:$11)+100)/100</f>
        <v>1</v>
      </c>
      <c r="H220" s="706"/>
      <c r="I220" s="14">
        <f t="shared" ref="I220:I283" si="62">(SUMIF($12:$12,H220,$13:$13)-SUMIF($12:$12,$H$27,$13:$13)+100)/100</f>
        <v>0.08</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6"/>
      <c r="E221" s="14">
        <f t="shared" si="60"/>
        <v>0.18</v>
      </c>
      <c r="F221" s="706"/>
      <c r="G221" s="14">
        <f t="shared" si="61"/>
        <v>1</v>
      </c>
      <c r="H221" s="706"/>
      <c r="I221" s="14">
        <f t="shared" si="62"/>
        <v>0.08</v>
      </c>
      <c r="J221" s="706"/>
      <c r="K221" s="14">
        <f t="shared" si="63"/>
        <v>1</v>
      </c>
      <c r="L221" s="706"/>
      <c r="M221" s="14">
        <f t="shared" si="64"/>
        <v>1</v>
      </c>
      <c r="N221" s="706"/>
      <c r="O221" s="14">
        <f t="shared" si="65"/>
        <v>1</v>
      </c>
      <c r="P221" s="706"/>
      <c r="Q221" s="14">
        <f t="shared" si="66"/>
        <v>0</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6"/>
      <c r="E222" s="14">
        <f t="shared" si="60"/>
        <v>0.18</v>
      </c>
      <c r="F222" s="706"/>
      <c r="G222" s="14">
        <f t="shared" si="61"/>
        <v>1</v>
      </c>
      <c r="H222" s="706"/>
      <c r="I222" s="14">
        <f t="shared" si="62"/>
        <v>0.08</v>
      </c>
      <c r="J222" s="706"/>
      <c r="K222" s="14">
        <f t="shared" si="63"/>
        <v>1</v>
      </c>
      <c r="L222" s="706"/>
      <c r="M222" s="14">
        <f t="shared" si="64"/>
        <v>1</v>
      </c>
      <c r="N222" s="706"/>
      <c r="O222" s="14">
        <f t="shared" si="65"/>
        <v>1</v>
      </c>
      <c r="P222" s="706"/>
      <c r="Q222" s="14">
        <f t="shared" si="66"/>
        <v>0</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6"/>
      <c r="E223" s="14">
        <f t="shared" si="60"/>
        <v>0.18</v>
      </c>
      <c r="F223" s="706"/>
      <c r="G223" s="14">
        <f t="shared" si="61"/>
        <v>1</v>
      </c>
      <c r="H223" s="706"/>
      <c r="I223" s="14">
        <f t="shared" si="62"/>
        <v>0.08</v>
      </c>
      <c r="J223" s="706"/>
      <c r="K223" s="14">
        <f t="shared" si="63"/>
        <v>1</v>
      </c>
      <c r="L223" s="706"/>
      <c r="M223" s="14">
        <f t="shared" si="64"/>
        <v>1</v>
      </c>
      <c r="N223" s="706"/>
      <c r="O223" s="14">
        <f t="shared" si="65"/>
        <v>1</v>
      </c>
      <c r="P223" s="706"/>
      <c r="Q223" s="14">
        <f t="shared" si="66"/>
        <v>0</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6"/>
      <c r="E224" s="14">
        <f t="shared" si="60"/>
        <v>0.18</v>
      </c>
      <c r="F224" s="706"/>
      <c r="G224" s="14">
        <f t="shared" si="61"/>
        <v>1</v>
      </c>
      <c r="H224" s="706"/>
      <c r="I224" s="14">
        <f t="shared" si="62"/>
        <v>0.08</v>
      </c>
      <c r="J224" s="706"/>
      <c r="K224" s="14">
        <f t="shared" si="63"/>
        <v>1</v>
      </c>
      <c r="L224" s="706"/>
      <c r="M224" s="14">
        <f t="shared" si="64"/>
        <v>1</v>
      </c>
      <c r="N224" s="706"/>
      <c r="O224" s="14">
        <f t="shared" si="65"/>
        <v>1</v>
      </c>
      <c r="P224" s="706"/>
      <c r="Q224" s="14">
        <f t="shared" si="66"/>
        <v>0</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6"/>
      <c r="E225" s="14">
        <f t="shared" si="60"/>
        <v>0.18</v>
      </c>
      <c r="F225" s="706"/>
      <c r="G225" s="14">
        <f t="shared" si="61"/>
        <v>1</v>
      </c>
      <c r="H225" s="706"/>
      <c r="I225" s="14">
        <f t="shared" si="62"/>
        <v>0.08</v>
      </c>
      <c r="J225" s="706"/>
      <c r="K225" s="14">
        <f t="shared" si="63"/>
        <v>1</v>
      </c>
      <c r="L225" s="706"/>
      <c r="M225" s="14">
        <f t="shared" si="64"/>
        <v>1</v>
      </c>
      <c r="N225" s="706"/>
      <c r="O225" s="14">
        <f t="shared" si="65"/>
        <v>1</v>
      </c>
      <c r="P225" s="706"/>
      <c r="Q225" s="14">
        <f t="shared" si="66"/>
        <v>0</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6"/>
      <c r="E226" s="14">
        <f t="shared" si="60"/>
        <v>0.18</v>
      </c>
      <c r="F226" s="706"/>
      <c r="G226" s="14">
        <f t="shared" si="61"/>
        <v>1</v>
      </c>
      <c r="H226" s="706"/>
      <c r="I226" s="14">
        <f t="shared" si="62"/>
        <v>0.08</v>
      </c>
      <c r="J226" s="706"/>
      <c r="K226" s="14">
        <f t="shared" si="63"/>
        <v>1</v>
      </c>
      <c r="L226" s="706"/>
      <c r="M226" s="14">
        <f t="shared" si="64"/>
        <v>1</v>
      </c>
      <c r="N226" s="706"/>
      <c r="O226" s="14">
        <f t="shared" si="65"/>
        <v>1</v>
      </c>
      <c r="P226" s="706"/>
      <c r="Q226" s="14">
        <f t="shared" si="66"/>
        <v>0</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6"/>
      <c r="E227" s="14">
        <f t="shared" si="60"/>
        <v>0.18</v>
      </c>
      <c r="F227" s="706"/>
      <c r="G227" s="14">
        <f t="shared" si="61"/>
        <v>1</v>
      </c>
      <c r="H227" s="706"/>
      <c r="I227" s="14">
        <f t="shared" si="62"/>
        <v>0.08</v>
      </c>
      <c r="J227" s="706"/>
      <c r="K227" s="14">
        <f t="shared" si="63"/>
        <v>1</v>
      </c>
      <c r="L227" s="706"/>
      <c r="M227" s="14">
        <f t="shared" si="64"/>
        <v>1</v>
      </c>
      <c r="N227" s="706"/>
      <c r="O227" s="14">
        <f t="shared" si="65"/>
        <v>1</v>
      </c>
      <c r="P227" s="706"/>
      <c r="Q227" s="14">
        <f t="shared" si="66"/>
        <v>0</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6"/>
      <c r="E228" s="14">
        <f t="shared" si="60"/>
        <v>0.18</v>
      </c>
      <c r="F228" s="706"/>
      <c r="G228" s="14">
        <f t="shared" si="61"/>
        <v>1</v>
      </c>
      <c r="H228" s="706"/>
      <c r="I228" s="14">
        <f t="shared" si="62"/>
        <v>0.08</v>
      </c>
      <c r="J228" s="706"/>
      <c r="K228" s="14">
        <f t="shared" si="63"/>
        <v>1</v>
      </c>
      <c r="L228" s="706"/>
      <c r="M228" s="14">
        <f t="shared" si="64"/>
        <v>1</v>
      </c>
      <c r="N228" s="706"/>
      <c r="O228" s="14">
        <f t="shared" si="65"/>
        <v>1</v>
      </c>
      <c r="P228" s="706"/>
      <c r="Q228" s="14">
        <f t="shared" si="66"/>
        <v>0</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6"/>
      <c r="E229" s="14">
        <f t="shared" si="60"/>
        <v>0.18</v>
      </c>
      <c r="F229" s="706"/>
      <c r="G229" s="14">
        <f t="shared" si="61"/>
        <v>1</v>
      </c>
      <c r="H229" s="706"/>
      <c r="I229" s="14">
        <f t="shared" si="62"/>
        <v>0.08</v>
      </c>
      <c r="J229" s="706"/>
      <c r="K229" s="14">
        <f t="shared" si="63"/>
        <v>1</v>
      </c>
      <c r="L229" s="706"/>
      <c r="M229" s="14">
        <f t="shared" si="64"/>
        <v>1</v>
      </c>
      <c r="N229" s="706"/>
      <c r="O229" s="14">
        <f t="shared" si="65"/>
        <v>1</v>
      </c>
      <c r="P229" s="706"/>
      <c r="Q229" s="14">
        <f t="shared" si="66"/>
        <v>0</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6"/>
      <c r="E230" s="14">
        <f t="shared" si="60"/>
        <v>0.18</v>
      </c>
      <c r="F230" s="706"/>
      <c r="G230" s="14">
        <f t="shared" si="61"/>
        <v>1</v>
      </c>
      <c r="H230" s="706"/>
      <c r="I230" s="14">
        <f t="shared" si="62"/>
        <v>0.08</v>
      </c>
      <c r="J230" s="706"/>
      <c r="K230" s="14">
        <f t="shared" si="63"/>
        <v>1</v>
      </c>
      <c r="L230" s="706"/>
      <c r="M230" s="14">
        <f t="shared" si="64"/>
        <v>1</v>
      </c>
      <c r="N230" s="706"/>
      <c r="O230" s="14">
        <f t="shared" si="65"/>
        <v>1</v>
      </c>
      <c r="P230" s="706"/>
      <c r="Q230" s="14">
        <f t="shared" si="66"/>
        <v>0</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6"/>
      <c r="E231" s="14">
        <f t="shared" si="60"/>
        <v>0.18</v>
      </c>
      <c r="F231" s="706"/>
      <c r="G231" s="14">
        <f t="shared" si="61"/>
        <v>1</v>
      </c>
      <c r="H231" s="706"/>
      <c r="I231" s="14">
        <f t="shared" si="62"/>
        <v>0.08</v>
      </c>
      <c r="J231" s="706"/>
      <c r="K231" s="14">
        <f t="shared" si="63"/>
        <v>1</v>
      </c>
      <c r="L231" s="706"/>
      <c r="M231" s="14">
        <f t="shared" si="64"/>
        <v>1</v>
      </c>
      <c r="N231" s="706"/>
      <c r="O231" s="14">
        <f t="shared" si="65"/>
        <v>1</v>
      </c>
      <c r="P231" s="706"/>
      <c r="Q231" s="14">
        <f t="shared" si="66"/>
        <v>0</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6"/>
      <c r="E232" s="14">
        <f t="shared" si="60"/>
        <v>0.18</v>
      </c>
      <c r="F232" s="706"/>
      <c r="G232" s="14">
        <f t="shared" si="61"/>
        <v>1</v>
      </c>
      <c r="H232" s="706"/>
      <c r="I232" s="14">
        <f t="shared" si="62"/>
        <v>0.08</v>
      </c>
      <c r="J232" s="706"/>
      <c r="K232" s="14">
        <f t="shared" si="63"/>
        <v>1</v>
      </c>
      <c r="L232" s="706"/>
      <c r="M232" s="14">
        <f t="shared" si="64"/>
        <v>1</v>
      </c>
      <c r="N232" s="706"/>
      <c r="O232" s="14">
        <f t="shared" si="65"/>
        <v>1</v>
      </c>
      <c r="P232" s="706"/>
      <c r="Q232" s="14">
        <f t="shared" si="66"/>
        <v>0</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6"/>
      <c r="E233" s="14">
        <f t="shared" si="60"/>
        <v>0.18</v>
      </c>
      <c r="F233" s="706"/>
      <c r="G233" s="14">
        <f t="shared" si="61"/>
        <v>1</v>
      </c>
      <c r="H233" s="706"/>
      <c r="I233" s="14">
        <f t="shared" si="62"/>
        <v>0.08</v>
      </c>
      <c r="J233" s="706"/>
      <c r="K233" s="14">
        <f t="shared" si="63"/>
        <v>1</v>
      </c>
      <c r="L233" s="706"/>
      <c r="M233" s="14">
        <f t="shared" si="64"/>
        <v>1</v>
      </c>
      <c r="N233" s="706"/>
      <c r="O233" s="14">
        <f t="shared" si="65"/>
        <v>1</v>
      </c>
      <c r="P233" s="706"/>
      <c r="Q233" s="14">
        <f t="shared" si="66"/>
        <v>0</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6"/>
      <c r="E234" s="14">
        <f t="shared" si="60"/>
        <v>0.18</v>
      </c>
      <c r="F234" s="706"/>
      <c r="G234" s="14">
        <f t="shared" si="61"/>
        <v>1</v>
      </c>
      <c r="H234" s="706"/>
      <c r="I234" s="14">
        <f t="shared" si="62"/>
        <v>0.08</v>
      </c>
      <c r="J234" s="706"/>
      <c r="K234" s="14">
        <f t="shared" si="63"/>
        <v>1</v>
      </c>
      <c r="L234" s="706"/>
      <c r="M234" s="14">
        <f t="shared" si="64"/>
        <v>1</v>
      </c>
      <c r="N234" s="706"/>
      <c r="O234" s="14">
        <f t="shared" si="65"/>
        <v>1</v>
      </c>
      <c r="P234" s="706"/>
      <c r="Q234" s="14">
        <f t="shared" si="66"/>
        <v>0</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6"/>
      <c r="E235" s="14">
        <f t="shared" si="60"/>
        <v>0.18</v>
      </c>
      <c r="F235" s="706"/>
      <c r="G235" s="14">
        <f t="shared" si="61"/>
        <v>1</v>
      </c>
      <c r="H235" s="706"/>
      <c r="I235" s="14">
        <f t="shared" si="62"/>
        <v>0.08</v>
      </c>
      <c r="J235" s="706"/>
      <c r="K235" s="14">
        <f t="shared" si="63"/>
        <v>1</v>
      </c>
      <c r="L235" s="706"/>
      <c r="M235" s="14">
        <f t="shared" si="64"/>
        <v>1</v>
      </c>
      <c r="N235" s="706"/>
      <c r="O235" s="14">
        <f t="shared" si="65"/>
        <v>1</v>
      </c>
      <c r="P235" s="706"/>
      <c r="Q235" s="14">
        <f t="shared" si="66"/>
        <v>0</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6"/>
      <c r="E236" s="14">
        <f t="shared" si="60"/>
        <v>0.18</v>
      </c>
      <c r="F236" s="706"/>
      <c r="G236" s="14">
        <f t="shared" si="61"/>
        <v>1</v>
      </c>
      <c r="H236" s="706"/>
      <c r="I236" s="14">
        <f t="shared" si="62"/>
        <v>0.08</v>
      </c>
      <c r="J236" s="706"/>
      <c r="K236" s="14">
        <f t="shared" si="63"/>
        <v>1</v>
      </c>
      <c r="L236" s="706"/>
      <c r="M236" s="14">
        <f t="shared" si="64"/>
        <v>1</v>
      </c>
      <c r="N236" s="706"/>
      <c r="O236" s="14">
        <f t="shared" si="65"/>
        <v>1</v>
      </c>
      <c r="P236" s="706"/>
      <c r="Q236" s="14">
        <f t="shared" si="66"/>
        <v>0</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6"/>
      <c r="E237" s="14">
        <f t="shared" si="60"/>
        <v>0.18</v>
      </c>
      <c r="F237" s="706"/>
      <c r="G237" s="14">
        <f t="shared" si="61"/>
        <v>1</v>
      </c>
      <c r="H237" s="706"/>
      <c r="I237" s="14">
        <f t="shared" si="62"/>
        <v>0.08</v>
      </c>
      <c r="J237" s="706"/>
      <c r="K237" s="14">
        <f t="shared" si="63"/>
        <v>1</v>
      </c>
      <c r="L237" s="706"/>
      <c r="M237" s="14">
        <f t="shared" si="64"/>
        <v>1</v>
      </c>
      <c r="N237" s="706"/>
      <c r="O237" s="14">
        <f t="shared" si="65"/>
        <v>1</v>
      </c>
      <c r="P237" s="706"/>
      <c r="Q237" s="14">
        <f t="shared" si="66"/>
        <v>0</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6"/>
      <c r="E238" s="14">
        <f t="shared" si="60"/>
        <v>0.18</v>
      </c>
      <c r="F238" s="706"/>
      <c r="G238" s="14">
        <f t="shared" si="61"/>
        <v>1</v>
      </c>
      <c r="H238" s="706"/>
      <c r="I238" s="14">
        <f t="shared" si="62"/>
        <v>0.08</v>
      </c>
      <c r="J238" s="706"/>
      <c r="K238" s="14">
        <f t="shared" si="63"/>
        <v>1</v>
      </c>
      <c r="L238" s="706"/>
      <c r="M238" s="14">
        <f t="shared" si="64"/>
        <v>1</v>
      </c>
      <c r="N238" s="706"/>
      <c r="O238" s="14">
        <f t="shared" si="65"/>
        <v>1</v>
      </c>
      <c r="P238" s="706"/>
      <c r="Q238" s="14">
        <f t="shared" si="66"/>
        <v>0</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6"/>
      <c r="E239" s="14">
        <f t="shared" si="60"/>
        <v>0.18</v>
      </c>
      <c r="F239" s="706"/>
      <c r="G239" s="14">
        <f t="shared" si="61"/>
        <v>1</v>
      </c>
      <c r="H239" s="706"/>
      <c r="I239" s="14">
        <f t="shared" si="62"/>
        <v>0.08</v>
      </c>
      <c r="J239" s="706"/>
      <c r="K239" s="14">
        <f t="shared" si="63"/>
        <v>1</v>
      </c>
      <c r="L239" s="706"/>
      <c r="M239" s="14">
        <f t="shared" si="64"/>
        <v>1</v>
      </c>
      <c r="N239" s="706"/>
      <c r="O239" s="14">
        <f t="shared" si="65"/>
        <v>1</v>
      </c>
      <c r="P239" s="706"/>
      <c r="Q239" s="14">
        <f t="shared" si="66"/>
        <v>0</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6"/>
      <c r="E240" s="14">
        <f t="shared" si="60"/>
        <v>0.18</v>
      </c>
      <c r="F240" s="706"/>
      <c r="G240" s="14">
        <f t="shared" si="61"/>
        <v>1</v>
      </c>
      <c r="H240" s="706"/>
      <c r="I240" s="14">
        <f t="shared" si="62"/>
        <v>0.08</v>
      </c>
      <c r="J240" s="706"/>
      <c r="K240" s="14">
        <f t="shared" si="63"/>
        <v>1</v>
      </c>
      <c r="L240" s="706"/>
      <c r="M240" s="14">
        <f t="shared" si="64"/>
        <v>1</v>
      </c>
      <c r="N240" s="706"/>
      <c r="O240" s="14">
        <f t="shared" si="65"/>
        <v>1</v>
      </c>
      <c r="P240" s="706"/>
      <c r="Q240" s="14">
        <f t="shared" si="66"/>
        <v>0</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6"/>
      <c r="E241" s="14">
        <f t="shared" si="60"/>
        <v>0.18</v>
      </c>
      <c r="F241" s="706"/>
      <c r="G241" s="14">
        <f t="shared" si="61"/>
        <v>1</v>
      </c>
      <c r="H241" s="706"/>
      <c r="I241" s="14">
        <f t="shared" si="62"/>
        <v>0.08</v>
      </c>
      <c r="J241" s="706"/>
      <c r="K241" s="14">
        <f t="shared" si="63"/>
        <v>1</v>
      </c>
      <c r="L241" s="706"/>
      <c r="M241" s="14">
        <f t="shared" si="64"/>
        <v>1</v>
      </c>
      <c r="N241" s="706"/>
      <c r="O241" s="14">
        <f t="shared" si="65"/>
        <v>1</v>
      </c>
      <c r="P241" s="706"/>
      <c r="Q241" s="14">
        <f t="shared" si="66"/>
        <v>0</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6"/>
      <c r="E242" s="14">
        <f t="shared" si="60"/>
        <v>0.18</v>
      </c>
      <c r="F242" s="706"/>
      <c r="G242" s="14">
        <f t="shared" si="61"/>
        <v>1</v>
      </c>
      <c r="H242" s="706"/>
      <c r="I242" s="14">
        <f t="shared" si="62"/>
        <v>0.08</v>
      </c>
      <c r="J242" s="706"/>
      <c r="K242" s="14">
        <f t="shared" si="63"/>
        <v>1</v>
      </c>
      <c r="L242" s="706"/>
      <c r="M242" s="14">
        <f t="shared" si="64"/>
        <v>1</v>
      </c>
      <c r="N242" s="706"/>
      <c r="O242" s="14">
        <f t="shared" si="65"/>
        <v>1</v>
      </c>
      <c r="P242" s="706"/>
      <c r="Q242" s="14">
        <f t="shared" si="66"/>
        <v>0</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6"/>
      <c r="E243" s="14">
        <f t="shared" si="60"/>
        <v>0.18</v>
      </c>
      <c r="F243" s="706"/>
      <c r="G243" s="14">
        <f t="shared" si="61"/>
        <v>1</v>
      </c>
      <c r="H243" s="706"/>
      <c r="I243" s="14">
        <f t="shared" si="62"/>
        <v>0.08</v>
      </c>
      <c r="J243" s="706"/>
      <c r="K243" s="14">
        <f t="shared" si="63"/>
        <v>1</v>
      </c>
      <c r="L243" s="706"/>
      <c r="M243" s="14">
        <f t="shared" si="64"/>
        <v>1</v>
      </c>
      <c r="N243" s="706"/>
      <c r="O243" s="14">
        <f t="shared" si="65"/>
        <v>1</v>
      </c>
      <c r="P243" s="706"/>
      <c r="Q243" s="14">
        <f t="shared" si="66"/>
        <v>0</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6"/>
      <c r="E244" s="14">
        <f t="shared" si="60"/>
        <v>0.18</v>
      </c>
      <c r="F244" s="706"/>
      <c r="G244" s="14">
        <f t="shared" si="61"/>
        <v>1</v>
      </c>
      <c r="H244" s="706"/>
      <c r="I244" s="14">
        <f t="shared" si="62"/>
        <v>0.08</v>
      </c>
      <c r="J244" s="706"/>
      <c r="K244" s="14">
        <f t="shared" si="63"/>
        <v>1</v>
      </c>
      <c r="L244" s="706"/>
      <c r="M244" s="14">
        <f t="shared" si="64"/>
        <v>1</v>
      </c>
      <c r="N244" s="706"/>
      <c r="O244" s="14">
        <f t="shared" si="65"/>
        <v>1</v>
      </c>
      <c r="P244" s="706"/>
      <c r="Q244" s="14">
        <f t="shared" si="66"/>
        <v>0</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6"/>
      <c r="E245" s="14">
        <f t="shared" si="60"/>
        <v>0.18</v>
      </c>
      <c r="F245" s="706"/>
      <c r="G245" s="14">
        <f t="shared" si="61"/>
        <v>1</v>
      </c>
      <c r="H245" s="706"/>
      <c r="I245" s="14">
        <f t="shared" si="62"/>
        <v>0.08</v>
      </c>
      <c r="J245" s="706"/>
      <c r="K245" s="14">
        <f t="shared" si="63"/>
        <v>1</v>
      </c>
      <c r="L245" s="706"/>
      <c r="M245" s="14">
        <f t="shared" si="64"/>
        <v>1</v>
      </c>
      <c r="N245" s="706"/>
      <c r="O245" s="14">
        <f t="shared" si="65"/>
        <v>1</v>
      </c>
      <c r="P245" s="706"/>
      <c r="Q245" s="14">
        <f t="shared" si="66"/>
        <v>0</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6"/>
      <c r="E246" s="14">
        <f t="shared" si="60"/>
        <v>0.18</v>
      </c>
      <c r="F246" s="706"/>
      <c r="G246" s="14">
        <f t="shared" si="61"/>
        <v>1</v>
      </c>
      <c r="H246" s="706"/>
      <c r="I246" s="14">
        <f t="shared" si="62"/>
        <v>0.08</v>
      </c>
      <c r="J246" s="706"/>
      <c r="K246" s="14">
        <f t="shared" si="63"/>
        <v>1</v>
      </c>
      <c r="L246" s="706"/>
      <c r="M246" s="14">
        <f t="shared" si="64"/>
        <v>1</v>
      </c>
      <c r="N246" s="706"/>
      <c r="O246" s="14">
        <f t="shared" si="65"/>
        <v>1</v>
      </c>
      <c r="P246" s="706"/>
      <c r="Q246" s="14">
        <f t="shared" si="66"/>
        <v>0</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6"/>
      <c r="E247" s="14">
        <f t="shared" si="60"/>
        <v>0.18</v>
      </c>
      <c r="F247" s="706"/>
      <c r="G247" s="14">
        <f t="shared" si="61"/>
        <v>1</v>
      </c>
      <c r="H247" s="706"/>
      <c r="I247" s="14">
        <f t="shared" si="62"/>
        <v>0.08</v>
      </c>
      <c r="J247" s="706"/>
      <c r="K247" s="14">
        <f t="shared" si="63"/>
        <v>1</v>
      </c>
      <c r="L247" s="706"/>
      <c r="M247" s="14">
        <f t="shared" si="64"/>
        <v>1</v>
      </c>
      <c r="N247" s="706"/>
      <c r="O247" s="14">
        <f t="shared" si="65"/>
        <v>1</v>
      </c>
      <c r="P247" s="706"/>
      <c r="Q247" s="14">
        <f t="shared" si="66"/>
        <v>0</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6"/>
      <c r="E248" s="14">
        <f t="shared" si="60"/>
        <v>0.18</v>
      </c>
      <c r="F248" s="706"/>
      <c r="G248" s="14">
        <f t="shared" si="61"/>
        <v>1</v>
      </c>
      <c r="H248" s="706"/>
      <c r="I248" s="14">
        <f t="shared" si="62"/>
        <v>0.08</v>
      </c>
      <c r="J248" s="706"/>
      <c r="K248" s="14">
        <f t="shared" si="63"/>
        <v>1</v>
      </c>
      <c r="L248" s="706"/>
      <c r="M248" s="14">
        <f t="shared" si="64"/>
        <v>1</v>
      </c>
      <c r="N248" s="706"/>
      <c r="O248" s="14">
        <f t="shared" si="65"/>
        <v>1</v>
      </c>
      <c r="P248" s="706"/>
      <c r="Q248" s="14">
        <f t="shared" si="66"/>
        <v>0</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6"/>
      <c r="E249" s="14">
        <f t="shared" si="60"/>
        <v>0.18</v>
      </c>
      <c r="F249" s="706"/>
      <c r="G249" s="14">
        <f t="shared" si="61"/>
        <v>1</v>
      </c>
      <c r="H249" s="706"/>
      <c r="I249" s="14">
        <f t="shared" si="62"/>
        <v>0.08</v>
      </c>
      <c r="J249" s="706"/>
      <c r="K249" s="14">
        <f t="shared" si="63"/>
        <v>1</v>
      </c>
      <c r="L249" s="706"/>
      <c r="M249" s="14">
        <f t="shared" si="64"/>
        <v>1</v>
      </c>
      <c r="N249" s="706"/>
      <c r="O249" s="14">
        <f t="shared" si="65"/>
        <v>1</v>
      </c>
      <c r="P249" s="706"/>
      <c r="Q249" s="14">
        <f t="shared" si="66"/>
        <v>0</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6"/>
      <c r="E250" s="14">
        <f t="shared" si="60"/>
        <v>0.18</v>
      </c>
      <c r="F250" s="706"/>
      <c r="G250" s="14">
        <f t="shared" si="61"/>
        <v>1</v>
      </c>
      <c r="H250" s="706"/>
      <c r="I250" s="14">
        <f t="shared" si="62"/>
        <v>0.08</v>
      </c>
      <c r="J250" s="706"/>
      <c r="K250" s="14">
        <f t="shared" si="63"/>
        <v>1</v>
      </c>
      <c r="L250" s="706"/>
      <c r="M250" s="14">
        <f t="shared" si="64"/>
        <v>1</v>
      </c>
      <c r="N250" s="706"/>
      <c r="O250" s="14">
        <f t="shared" si="65"/>
        <v>1</v>
      </c>
      <c r="P250" s="706"/>
      <c r="Q250" s="14">
        <f t="shared" si="66"/>
        <v>0</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6"/>
      <c r="E251" s="14">
        <f t="shared" si="60"/>
        <v>0.18</v>
      </c>
      <c r="F251" s="706"/>
      <c r="G251" s="14">
        <f t="shared" si="61"/>
        <v>1</v>
      </c>
      <c r="H251" s="706"/>
      <c r="I251" s="14">
        <f t="shared" si="62"/>
        <v>0.08</v>
      </c>
      <c r="J251" s="706"/>
      <c r="K251" s="14">
        <f t="shared" si="63"/>
        <v>1</v>
      </c>
      <c r="L251" s="706"/>
      <c r="M251" s="14">
        <f t="shared" si="64"/>
        <v>1</v>
      </c>
      <c r="N251" s="706"/>
      <c r="O251" s="14">
        <f t="shared" si="65"/>
        <v>1</v>
      </c>
      <c r="P251" s="706"/>
      <c r="Q251" s="14">
        <f t="shared" si="66"/>
        <v>0</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6"/>
      <c r="E252" s="14">
        <f t="shared" si="60"/>
        <v>0.18</v>
      </c>
      <c r="F252" s="706"/>
      <c r="G252" s="14">
        <f t="shared" si="61"/>
        <v>1</v>
      </c>
      <c r="H252" s="706"/>
      <c r="I252" s="14">
        <f t="shared" si="62"/>
        <v>0.08</v>
      </c>
      <c r="J252" s="706"/>
      <c r="K252" s="14">
        <f t="shared" si="63"/>
        <v>1</v>
      </c>
      <c r="L252" s="706"/>
      <c r="M252" s="14">
        <f t="shared" si="64"/>
        <v>1</v>
      </c>
      <c r="N252" s="706"/>
      <c r="O252" s="14">
        <f t="shared" si="65"/>
        <v>1</v>
      </c>
      <c r="P252" s="706"/>
      <c r="Q252" s="14">
        <f t="shared" si="66"/>
        <v>0</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6"/>
      <c r="E253" s="14">
        <f t="shared" si="60"/>
        <v>0.18</v>
      </c>
      <c r="F253" s="706"/>
      <c r="G253" s="14">
        <f t="shared" si="61"/>
        <v>1</v>
      </c>
      <c r="H253" s="706"/>
      <c r="I253" s="14">
        <f t="shared" si="62"/>
        <v>0.08</v>
      </c>
      <c r="J253" s="706"/>
      <c r="K253" s="14">
        <f t="shared" si="63"/>
        <v>1</v>
      </c>
      <c r="L253" s="706"/>
      <c r="M253" s="14">
        <f t="shared" si="64"/>
        <v>1</v>
      </c>
      <c r="N253" s="706"/>
      <c r="O253" s="14">
        <f t="shared" si="65"/>
        <v>1</v>
      </c>
      <c r="P253" s="706"/>
      <c r="Q253" s="14">
        <f t="shared" si="66"/>
        <v>0</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6"/>
      <c r="E254" s="14">
        <f t="shared" si="60"/>
        <v>0.18</v>
      </c>
      <c r="F254" s="706"/>
      <c r="G254" s="14">
        <f t="shared" si="61"/>
        <v>1</v>
      </c>
      <c r="H254" s="706"/>
      <c r="I254" s="14">
        <f t="shared" si="62"/>
        <v>0.08</v>
      </c>
      <c r="J254" s="706"/>
      <c r="K254" s="14">
        <f t="shared" si="63"/>
        <v>1</v>
      </c>
      <c r="L254" s="706"/>
      <c r="M254" s="14">
        <f t="shared" si="64"/>
        <v>1</v>
      </c>
      <c r="N254" s="706"/>
      <c r="O254" s="14">
        <f t="shared" si="65"/>
        <v>1</v>
      </c>
      <c r="P254" s="706"/>
      <c r="Q254" s="14">
        <f t="shared" si="66"/>
        <v>0</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6"/>
      <c r="E255" s="14">
        <f t="shared" si="60"/>
        <v>0.18</v>
      </c>
      <c r="F255" s="706"/>
      <c r="G255" s="14">
        <f t="shared" si="61"/>
        <v>1</v>
      </c>
      <c r="H255" s="706"/>
      <c r="I255" s="14">
        <f t="shared" si="62"/>
        <v>0.08</v>
      </c>
      <c r="J255" s="706"/>
      <c r="K255" s="14">
        <f t="shared" si="63"/>
        <v>1</v>
      </c>
      <c r="L255" s="706"/>
      <c r="M255" s="14">
        <f t="shared" si="64"/>
        <v>1</v>
      </c>
      <c r="N255" s="706"/>
      <c r="O255" s="14">
        <f t="shared" si="65"/>
        <v>1</v>
      </c>
      <c r="P255" s="706"/>
      <c r="Q255" s="14">
        <f t="shared" si="66"/>
        <v>0</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6"/>
      <c r="E256" s="14">
        <f t="shared" si="60"/>
        <v>0.18</v>
      </c>
      <c r="F256" s="706"/>
      <c r="G256" s="14">
        <f t="shared" si="61"/>
        <v>1</v>
      </c>
      <c r="H256" s="706"/>
      <c r="I256" s="14">
        <f t="shared" si="62"/>
        <v>0.08</v>
      </c>
      <c r="J256" s="706"/>
      <c r="K256" s="14">
        <f t="shared" si="63"/>
        <v>1</v>
      </c>
      <c r="L256" s="706"/>
      <c r="M256" s="14">
        <f t="shared" si="64"/>
        <v>1</v>
      </c>
      <c r="N256" s="706"/>
      <c r="O256" s="14">
        <f t="shared" si="65"/>
        <v>1</v>
      </c>
      <c r="P256" s="706"/>
      <c r="Q256" s="14">
        <f t="shared" si="66"/>
        <v>0</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6"/>
      <c r="E257" s="14">
        <f t="shared" si="60"/>
        <v>0.18</v>
      </c>
      <c r="F257" s="706"/>
      <c r="G257" s="14">
        <f t="shared" si="61"/>
        <v>1</v>
      </c>
      <c r="H257" s="706"/>
      <c r="I257" s="14">
        <f t="shared" si="62"/>
        <v>0.08</v>
      </c>
      <c r="J257" s="706"/>
      <c r="K257" s="14">
        <f t="shared" si="63"/>
        <v>1</v>
      </c>
      <c r="L257" s="706"/>
      <c r="M257" s="14">
        <f t="shared" si="64"/>
        <v>1</v>
      </c>
      <c r="N257" s="706"/>
      <c r="O257" s="14">
        <f t="shared" si="65"/>
        <v>1</v>
      </c>
      <c r="P257" s="706"/>
      <c r="Q257" s="14">
        <f t="shared" si="66"/>
        <v>0</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6"/>
      <c r="E258" s="14">
        <f t="shared" si="60"/>
        <v>0.18</v>
      </c>
      <c r="F258" s="706"/>
      <c r="G258" s="14">
        <f t="shared" si="61"/>
        <v>1</v>
      </c>
      <c r="H258" s="706"/>
      <c r="I258" s="14">
        <f t="shared" si="62"/>
        <v>0.08</v>
      </c>
      <c r="J258" s="706"/>
      <c r="K258" s="14">
        <f t="shared" si="63"/>
        <v>1</v>
      </c>
      <c r="L258" s="706"/>
      <c r="M258" s="14">
        <f t="shared" si="64"/>
        <v>1</v>
      </c>
      <c r="N258" s="706"/>
      <c r="O258" s="14">
        <f t="shared" si="65"/>
        <v>1</v>
      </c>
      <c r="P258" s="706"/>
      <c r="Q258" s="14">
        <f t="shared" si="66"/>
        <v>0</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6"/>
      <c r="E259" s="14">
        <f t="shared" si="60"/>
        <v>0.18</v>
      </c>
      <c r="F259" s="706"/>
      <c r="G259" s="14">
        <f t="shared" si="61"/>
        <v>1</v>
      </c>
      <c r="H259" s="706"/>
      <c r="I259" s="14">
        <f t="shared" si="62"/>
        <v>0.08</v>
      </c>
      <c r="J259" s="706"/>
      <c r="K259" s="14">
        <f t="shared" si="63"/>
        <v>1</v>
      </c>
      <c r="L259" s="706"/>
      <c r="M259" s="14">
        <f t="shared" si="64"/>
        <v>1</v>
      </c>
      <c r="N259" s="706"/>
      <c r="O259" s="14">
        <f t="shared" si="65"/>
        <v>1</v>
      </c>
      <c r="P259" s="706"/>
      <c r="Q259" s="14">
        <f t="shared" si="66"/>
        <v>0</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6"/>
      <c r="E260" s="14">
        <f t="shared" si="60"/>
        <v>0.18</v>
      </c>
      <c r="F260" s="706"/>
      <c r="G260" s="14">
        <f t="shared" si="61"/>
        <v>1</v>
      </c>
      <c r="H260" s="706"/>
      <c r="I260" s="14">
        <f t="shared" si="62"/>
        <v>0.08</v>
      </c>
      <c r="J260" s="706"/>
      <c r="K260" s="14">
        <f t="shared" si="63"/>
        <v>1</v>
      </c>
      <c r="L260" s="706"/>
      <c r="M260" s="14">
        <f t="shared" si="64"/>
        <v>1</v>
      </c>
      <c r="N260" s="706"/>
      <c r="O260" s="14">
        <f t="shared" si="65"/>
        <v>1</v>
      </c>
      <c r="P260" s="706"/>
      <c r="Q260" s="14">
        <f t="shared" si="66"/>
        <v>0</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6"/>
      <c r="E261" s="14">
        <f t="shared" si="60"/>
        <v>0.18</v>
      </c>
      <c r="F261" s="706"/>
      <c r="G261" s="14">
        <f t="shared" si="61"/>
        <v>1</v>
      </c>
      <c r="H261" s="706"/>
      <c r="I261" s="14">
        <f t="shared" si="62"/>
        <v>0.08</v>
      </c>
      <c r="J261" s="706"/>
      <c r="K261" s="14">
        <f t="shared" si="63"/>
        <v>1</v>
      </c>
      <c r="L261" s="706"/>
      <c r="M261" s="14">
        <f t="shared" si="64"/>
        <v>1</v>
      </c>
      <c r="N261" s="706"/>
      <c r="O261" s="14">
        <f t="shared" si="65"/>
        <v>1</v>
      </c>
      <c r="P261" s="706"/>
      <c r="Q261" s="14">
        <f t="shared" si="66"/>
        <v>0</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6"/>
      <c r="E262" s="14">
        <f t="shared" si="60"/>
        <v>0.18</v>
      </c>
      <c r="F262" s="706"/>
      <c r="G262" s="14">
        <f t="shared" si="61"/>
        <v>1</v>
      </c>
      <c r="H262" s="706"/>
      <c r="I262" s="14">
        <f t="shared" si="62"/>
        <v>0.08</v>
      </c>
      <c r="J262" s="706"/>
      <c r="K262" s="14">
        <f t="shared" si="63"/>
        <v>1</v>
      </c>
      <c r="L262" s="706"/>
      <c r="M262" s="14">
        <f t="shared" si="64"/>
        <v>1</v>
      </c>
      <c r="N262" s="706"/>
      <c r="O262" s="14">
        <f t="shared" si="65"/>
        <v>1</v>
      </c>
      <c r="P262" s="706"/>
      <c r="Q262" s="14">
        <f t="shared" si="66"/>
        <v>0</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6"/>
      <c r="E263" s="14">
        <f t="shared" si="60"/>
        <v>0.18</v>
      </c>
      <c r="F263" s="706"/>
      <c r="G263" s="14">
        <f t="shared" si="61"/>
        <v>1</v>
      </c>
      <c r="H263" s="706"/>
      <c r="I263" s="14">
        <f t="shared" si="62"/>
        <v>0.08</v>
      </c>
      <c r="J263" s="706"/>
      <c r="K263" s="14">
        <f t="shared" si="63"/>
        <v>1</v>
      </c>
      <c r="L263" s="706"/>
      <c r="M263" s="14">
        <f t="shared" si="64"/>
        <v>1</v>
      </c>
      <c r="N263" s="706"/>
      <c r="O263" s="14">
        <f t="shared" si="65"/>
        <v>1</v>
      </c>
      <c r="P263" s="706"/>
      <c r="Q263" s="14">
        <f t="shared" si="66"/>
        <v>0</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6"/>
      <c r="E264" s="14">
        <f t="shared" si="60"/>
        <v>0.18</v>
      </c>
      <c r="F264" s="706"/>
      <c r="G264" s="14">
        <f t="shared" si="61"/>
        <v>1</v>
      </c>
      <c r="H264" s="706"/>
      <c r="I264" s="14">
        <f t="shared" si="62"/>
        <v>0.08</v>
      </c>
      <c r="J264" s="706"/>
      <c r="K264" s="14">
        <f t="shared" si="63"/>
        <v>1</v>
      </c>
      <c r="L264" s="706"/>
      <c r="M264" s="14">
        <f t="shared" si="64"/>
        <v>1</v>
      </c>
      <c r="N264" s="706"/>
      <c r="O264" s="14">
        <f t="shared" si="65"/>
        <v>1</v>
      </c>
      <c r="P264" s="706"/>
      <c r="Q264" s="14">
        <f t="shared" si="66"/>
        <v>0</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6"/>
      <c r="E265" s="14">
        <f t="shared" si="60"/>
        <v>0.18</v>
      </c>
      <c r="F265" s="706"/>
      <c r="G265" s="14">
        <f t="shared" si="61"/>
        <v>1</v>
      </c>
      <c r="H265" s="706"/>
      <c r="I265" s="14">
        <f t="shared" si="62"/>
        <v>0.08</v>
      </c>
      <c r="J265" s="706"/>
      <c r="K265" s="14">
        <f t="shared" si="63"/>
        <v>1</v>
      </c>
      <c r="L265" s="706"/>
      <c r="M265" s="14">
        <f t="shared" si="64"/>
        <v>1</v>
      </c>
      <c r="N265" s="706"/>
      <c r="O265" s="14">
        <f t="shared" si="65"/>
        <v>1</v>
      </c>
      <c r="P265" s="706"/>
      <c r="Q265" s="14">
        <f t="shared" si="66"/>
        <v>0</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6"/>
      <c r="E266" s="14">
        <f t="shared" si="60"/>
        <v>0.18</v>
      </c>
      <c r="F266" s="706"/>
      <c r="G266" s="14">
        <f t="shared" si="61"/>
        <v>1</v>
      </c>
      <c r="H266" s="706"/>
      <c r="I266" s="14">
        <f t="shared" si="62"/>
        <v>0.08</v>
      </c>
      <c r="J266" s="706"/>
      <c r="K266" s="14">
        <f t="shared" si="63"/>
        <v>1</v>
      </c>
      <c r="L266" s="706"/>
      <c r="M266" s="14">
        <f t="shared" si="64"/>
        <v>1</v>
      </c>
      <c r="N266" s="706"/>
      <c r="O266" s="14">
        <f t="shared" si="65"/>
        <v>1</v>
      </c>
      <c r="P266" s="706"/>
      <c r="Q266" s="14">
        <f t="shared" si="66"/>
        <v>0</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6"/>
      <c r="E267" s="14">
        <f t="shared" si="60"/>
        <v>0.18</v>
      </c>
      <c r="F267" s="706"/>
      <c r="G267" s="14">
        <f t="shared" si="61"/>
        <v>1</v>
      </c>
      <c r="H267" s="706"/>
      <c r="I267" s="14">
        <f t="shared" si="62"/>
        <v>0.08</v>
      </c>
      <c r="J267" s="706"/>
      <c r="K267" s="14">
        <f t="shared" si="63"/>
        <v>1</v>
      </c>
      <c r="L267" s="706"/>
      <c r="M267" s="14">
        <f t="shared" si="64"/>
        <v>1</v>
      </c>
      <c r="N267" s="706"/>
      <c r="O267" s="14">
        <f t="shared" si="65"/>
        <v>1</v>
      </c>
      <c r="P267" s="706"/>
      <c r="Q267" s="14">
        <f t="shared" si="66"/>
        <v>0</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6"/>
      <c r="E268" s="14">
        <f t="shared" si="60"/>
        <v>0.18</v>
      </c>
      <c r="F268" s="706"/>
      <c r="G268" s="14">
        <f t="shared" si="61"/>
        <v>1</v>
      </c>
      <c r="H268" s="706"/>
      <c r="I268" s="14">
        <f t="shared" si="62"/>
        <v>0.08</v>
      </c>
      <c r="J268" s="706"/>
      <c r="K268" s="14">
        <f t="shared" si="63"/>
        <v>1</v>
      </c>
      <c r="L268" s="706"/>
      <c r="M268" s="14">
        <f t="shared" si="64"/>
        <v>1</v>
      </c>
      <c r="N268" s="706"/>
      <c r="O268" s="14">
        <f t="shared" si="65"/>
        <v>1</v>
      </c>
      <c r="P268" s="706"/>
      <c r="Q268" s="14">
        <f t="shared" si="66"/>
        <v>0</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6"/>
      <c r="E269" s="14">
        <f t="shared" si="60"/>
        <v>0.18</v>
      </c>
      <c r="F269" s="706"/>
      <c r="G269" s="14">
        <f t="shared" si="61"/>
        <v>1</v>
      </c>
      <c r="H269" s="706"/>
      <c r="I269" s="14">
        <f t="shared" si="62"/>
        <v>0.08</v>
      </c>
      <c r="J269" s="706"/>
      <c r="K269" s="14">
        <f t="shared" si="63"/>
        <v>1</v>
      </c>
      <c r="L269" s="706"/>
      <c r="M269" s="14">
        <f t="shared" si="64"/>
        <v>1</v>
      </c>
      <c r="N269" s="706"/>
      <c r="O269" s="14">
        <f t="shared" si="65"/>
        <v>1</v>
      </c>
      <c r="P269" s="706"/>
      <c r="Q269" s="14">
        <f t="shared" si="66"/>
        <v>0</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6"/>
      <c r="E270" s="14">
        <f t="shared" si="60"/>
        <v>0.18</v>
      </c>
      <c r="F270" s="706"/>
      <c r="G270" s="14">
        <f t="shared" si="61"/>
        <v>1</v>
      </c>
      <c r="H270" s="706"/>
      <c r="I270" s="14">
        <f t="shared" si="62"/>
        <v>0.08</v>
      </c>
      <c r="J270" s="706"/>
      <c r="K270" s="14">
        <f t="shared" si="63"/>
        <v>1</v>
      </c>
      <c r="L270" s="706"/>
      <c r="M270" s="14">
        <f t="shared" si="64"/>
        <v>1</v>
      </c>
      <c r="N270" s="706"/>
      <c r="O270" s="14">
        <f t="shared" si="65"/>
        <v>1</v>
      </c>
      <c r="P270" s="706"/>
      <c r="Q270" s="14">
        <f t="shared" si="66"/>
        <v>0</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6"/>
      <c r="E271" s="14">
        <f t="shared" si="60"/>
        <v>0.18</v>
      </c>
      <c r="F271" s="706"/>
      <c r="G271" s="14">
        <f t="shared" si="61"/>
        <v>1</v>
      </c>
      <c r="H271" s="706"/>
      <c r="I271" s="14">
        <f t="shared" si="62"/>
        <v>0.08</v>
      </c>
      <c r="J271" s="706"/>
      <c r="K271" s="14">
        <f t="shared" si="63"/>
        <v>1</v>
      </c>
      <c r="L271" s="706"/>
      <c r="M271" s="14">
        <f t="shared" si="64"/>
        <v>1</v>
      </c>
      <c r="N271" s="706"/>
      <c r="O271" s="14">
        <f t="shared" si="65"/>
        <v>1</v>
      </c>
      <c r="P271" s="706"/>
      <c r="Q271" s="14">
        <f t="shared" si="66"/>
        <v>0</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6"/>
      <c r="E272" s="14">
        <f t="shared" si="60"/>
        <v>0.18</v>
      </c>
      <c r="F272" s="706"/>
      <c r="G272" s="14">
        <f t="shared" si="61"/>
        <v>1</v>
      </c>
      <c r="H272" s="706"/>
      <c r="I272" s="14">
        <f t="shared" si="62"/>
        <v>0.08</v>
      </c>
      <c r="J272" s="706"/>
      <c r="K272" s="14">
        <f t="shared" si="63"/>
        <v>1</v>
      </c>
      <c r="L272" s="706"/>
      <c r="M272" s="14">
        <f t="shared" si="64"/>
        <v>1</v>
      </c>
      <c r="N272" s="706"/>
      <c r="O272" s="14">
        <f t="shared" si="65"/>
        <v>1</v>
      </c>
      <c r="P272" s="706"/>
      <c r="Q272" s="14">
        <f t="shared" si="66"/>
        <v>0</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6"/>
      <c r="E273" s="14">
        <f t="shared" si="60"/>
        <v>0.18</v>
      </c>
      <c r="F273" s="706"/>
      <c r="G273" s="14">
        <f t="shared" si="61"/>
        <v>1</v>
      </c>
      <c r="H273" s="706"/>
      <c r="I273" s="14">
        <f t="shared" si="62"/>
        <v>0.08</v>
      </c>
      <c r="J273" s="706"/>
      <c r="K273" s="14">
        <f t="shared" si="63"/>
        <v>1</v>
      </c>
      <c r="L273" s="706"/>
      <c r="M273" s="14">
        <f t="shared" si="64"/>
        <v>1</v>
      </c>
      <c r="N273" s="706"/>
      <c r="O273" s="14">
        <f t="shared" si="65"/>
        <v>1</v>
      </c>
      <c r="P273" s="706"/>
      <c r="Q273" s="14">
        <f t="shared" si="66"/>
        <v>0</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6"/>
      <c r="E274" s="14">
        <f t="shared" si="60"/>
        <v>0.18</v>
      </c>
      <c r="F274" s="706"/>
      <c r="G274" s="14">
        <f t="shared" si="61"/>
        <v>1</v>
      </c>
      <c r="H274" s="706"/>
      <c r="I274" s="14">
        <f t="shared" si="62"/>
        <v>0.08</v>
      </c>
      <c r="J274" s="706"/>
      <c r="K274" s="14">
        <f t="shared" si="63"/>
        <v>1</v>
      </c>
      <c r="L274" s="706"/>
      <c r="M274" s="14">
        <f t="shared" si="64"/>
        <v>1</v>
      </c>
      <c r="N274" s="706"/>
      <c r="O274" s="14">
        <f t="shared" si="65"/>
        <v>1</v>
      </c>
      <c r="P274" s="706"/>
      <c r="Q274" s="14">
        <f t="shared" si="66"/>
        <v>0</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6"/>
      <c r="E275" s="14">
        <f t="shared" si="60"/>
        <v>0.18</v>
      </c>
      <c r="F275" s="706"/>
      <c r="G275" s="14">
        <f t="shared" si="61"/>
        <v>1</v>
      </c>
      <c r="H275" s="706"/>
      <c r="I275" s="14">
        <f t="shared" si="62"/>
        <v>0.08</v>
      </c>
      <c r="J275" s="706"/>
      <c r="K275" s="14">
        <f t="shared" si="63"/>
        <v>1</v>
      </c>
      <c r="L275" s="706"/>
      <c r="M275" s="14">
        <f t="shared" si="64"/>
        <v>1</v>
      </c>
      <c r="N275" s="706"/>
      <c r="O275" s="14">
        <f t="shared" si="65"/>
        <v>1</v>
      </c>
      <c r="P275" s="706"/>
      <c r="Q275" s="14">
        <f t="shared" si="66"/>
        <v>0</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6"/>
      <c r="E276" s="14">
        <f t="shared" si="60"/>
        <v>0.18</v>
      </c>
      <c r="F276" s="706"/>
      <c r="G276" s="14">
        <f t="shared" si="61"/>
        <v>1</v>
      </c>
      <c r="H276" s="706"/>
      <c r="I276" s="14">
        <f t="shared" si="62"/>
        <v>0.08</v>
      </c>
      <c r="J276" s="706"/>
      <c r="K276" s="14">
        <f t="shared" si="63"/>
        <v>1</v>
      </c>
      <c r="L276" s="706"/>
      <c r="M276" s="14">
        <f t="shared" si="64"/>
        <v>1</v>
      </c>
      <c r="N276" s="706"/>
      <c r="O276" s="14">
        <f t="shared" si="65"/>
        <v>1</v>
      </c>
      <c r="P276" s="706"/>
      <c r="Q276" s="14">
        <f t="shared" si="66"/>
        <v>0</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6"/>
      <c r="E277" s="14">
        <f t="shared" si="60"/>
        <v>0.18</v>
      </c>
      <c r="F277" s="706"/>
      <c r="G277" s="14">
        <f t="shared" si="61"/>
        <v>1</v>
      </c>
      <c r="H277" s="706"/>
      <c r="I277" s="14">
        <f t="shared" si="62"/>
        <v>0.08</v>
      </c>
      <c r="J277" s="706"/>
      <c r="K277" s="14">
        <f t="shared" si="63"/>
        <v>1</v>
      </c>
      <c r="L277" s="706"/>
      <c r="M277" s="14">
        <f t="shared" si="64"/>
        <v>1</v>
      </c>
      <c r="N277" s="706"/>
      <c r="O277" s="14">
        <f t="shared" si="65"/>
        <v>1</v>
      </c>
      <c r="P277" s="706"/>
      <c r="Q277" s="14">
        <f t="shared" si="66"/>
        <v>0</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6"/>
      <c r="E278" s="14">
        <f t="shared" si="60"/>
        <v>0.18</v>
      </c>
      <c r="F278" s="706"/>
      <c r="G278" s="14">
        <f t="shared" si="61"/>
        <v>1</v>
      </c>
      <c r="H278" s="706"/>
      <c r="I278" s="14">
        <f t="shared" si="62"/>
        <v>0.08</v>
      </c>
      <c r="J278" s="706"/>
      <c r="K278" s="14">
        <f t="shared" si="63"/>
        <v>1</v>
      </c>
      <c r="L278" s="706"/>
      <c r="M278" s="14">
        <f t="shared" si="64"/>
        <v>1</v>
      </c>
      <c r="N278" s="706"/>
      <c r="O278" s="14">
        <f t="shared" si="65"/>
        <v>1</v>
      </c>
      <c r="P278" s="706"/>
      <c r="Q278" s="14">
        <f t="shared" si="66"/>
        <v>0</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6"/>
      <c r="E279" s="14">
        <f t="shared" si="60"/>
        <v>0.18</v>
      </c>
      <c r="F279" s="706"/>
      <c r="G279" s="14">
        <f t="shared" si="61"/>
        <v>1</v>
      </c>
      <c r="H279" s="706"/>
      <c r="I279" s="14">
        <f t="shared" si="62"/>
        <v>0.08</v>
      </c>
      <c r="J279" s="706"/>
      <c r="K279" s="14">
        <f t="shared" si="63"/>
        <v>1</v>
      </c>
      <c r="L279" s="706"/>
      <c r="M279" s="14">
        <f t="shared" si="64"/>
        <v>1</v>
      </c>
      <c r="N279" s="706"/>
      <c r="O279" s="14">
        <f t="shared" si="65"/>
        <v>1</v>
      </c>
      <c r="P279" s="706"/>
      <c r="Q279" s="14">
        <f t="shared" si="66"/>
        <v>0</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6"/>
      <c r="E280" s="14">
        <f t="shared" si="60"/>
        <v>0.18</v>
      </c>
      <c r="F280" s="706"/>
      <c r="G280" s="14">
        <f t="shared" si="61"/>
        <v>1</v>
      </c>
      <c r="H280" s="706"/>
      <c r="I280" s="14">
        <f t="shared" si="62"/>
        <v>0.08</v>
      </c>
      <c r="J280" s="706"/>
      <c r="K280" s="14">
        <f t="shared" si="63"/>
        <v>1</v>
      </c>
      <c r="L280" s="706"/>
      <c r="M280" s="14">
        <f t="shared" si="64"/>
        <v>1</v>
      </c>
      <c r="N280" s="706"/>
      <c r="O280" s="14">
        <f t="shared" si="65"/>
        <v>1</v>
      </c>
      <c r="P280" s="706"/>
      <c r="Q280" s="14">
        <f t="shared" si="66"/>
        <v>0</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6"/>
      <c r="E281" s="14">
        <f t="shared" si="60"/>
        <v>0.18</v>
      </c>
      <c r="F281" s="706"/>
      <c r="G281" s="14">
        <f t="shared" si="61"/>
        <v>1</v>
      </c>
      <c r="H281" s="706"/>
      <c r="I281" s="14">
        <f t="shared" si="62"/>
        <v>0.08</v>
      </c>
      <c r="J281" s="706"/>
      <c r="K281" s="14">
        <f t="shared" si="63"/>
        <v>1</v>
      </c>
      <c r="L281" s="706"/>
      <c r="M281" s="14">
        <f t="shared" si="64"/>
        <v>1</v>
      </c>
      <c r="N281" s="706"/>
      <c r="O281" s="14">
        <f t="shared" si="65"/>
        <v>1</v>
      </c>
      <c r="P281" s="706"/>
      <c r="Q281" s="14">
        <f t="shared" si="66"/>
        <v>0</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6"/>
      <c r="E282" s="14">
        <f t="shared" si="60"/>
        <v>0.18</v>
      </c>
      <c r="F282" s="706"/>
      <c r="G282" s="14">
        <f t="shared" si="61"/>
        <v>1</v>
      </c>
      <c r="H282" s="706"/>
      <c r="I282" s="14">
        <f t="shared" si="62"/>
        <v>0.08</v>
      </c>
      <c r="J282" s="706"/>
      <c r="K282" s="14">
        <f t="shared" si="63"/>
        <v>1</v>
      </c>
      <c r="L282" s="706"/>
      <c r="M282" s="14">
        <f t="shared" si="64"/>
        <v>1</v>
      </c>
      <c r="N282" s="706"/>
      <c r="O282" s="14">
        <f t="shared" si="65"/>
        <v>1</v>
      </c>
      <c r="P282" s="706"/>
      <c r="Q282" s="14">
        <f t="shared" si="66"/>
        <v>0</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6"/>
      <c r="E283" s="14">
        <f t="shared" si="60"/>
        <v>0.18</v>
      </c>
      <c r="F283" s="706"/>
      <c r="G283" s="14">
        <f t="shared" si="61"/>
        <v>1</v>
      </c>
      <c r="H283" s="706"/>
      <c r="I283" s="14">
        <f t="shared" si="62"/>
        <v>0.08</v>
      </c>
      <c r="J283" s="706"/>
      <c r="K283" s="14">
        <f t="shared" si="63"/>
        <v>1</v>
      </c>
      <c r="L283" s="706"/>
      <c r="M283" s="14">
        <f t="shared" si="64"/>
        <v>1</v>
      </c>
      <c r="N283" s="706"/>
      <c r="O283" s="14">
        <f t="shared" si="65"/>
        <v>1</v>
      </c>
      <c r="P283" s="706"/>
      <c r="Q283" s="14">
        <f t="shared" si="66"/>
        <v>0</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6"/>
      <c r="E284" s="14">
        <f t="shared" ref="E284:E347" si="75">(SUMIF($8:$8,D284,$9:$9)-SUMIF($8:$8,$D$27,$9:$9)+100)/100</f>
        <v>0.18</v>
      </c>
      <c r="F284" s="706"/>
      <c r="G284" s="14">
        <f t="shared" ref="G284:G347" si="76">(SUMIF($10:$10,F284,$11:$11)-SUMIF($10:$10,$F$27,$11:$11)+100)/100</f>
        <v>1</v>
      </c>
      <c r="H284" s="706"/>
      <c r="I284" s="14">
        <f t="shared" ref="I284:I347" si="77">(SUMIF($12:$12,H284,$13:$13)-SUMIF($12:$12,$H$27,$13:$13)+100)/100</f>
        <v>0.08</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6"/>
      <c r="E285" s="14">
        <f t="shared" si="75"/>
        <v>0.18</v>
      </c>
      <c r="F285" s="706"/>
      <c r="G285" s="14">
        <f t="shared" si="76"/>
        <v>1</v>
      </c>
      <c r="H285" s="706"/>
      <c r="I285" s="14">
        <f t="shared" si="77"/>
        <v>0.08</v>
      </c>
      <c r="J285" s="706"/>
      <c r="K285" s="14">
        <f t="shared" si="78"/>
        <v>1</v>
      </c>
      <c r="L285" s="706"/>
      <c r="M285" s="14">
        <f t="shared" si="79"/>
        <v>1</v>
      </c>
      <c r="N285" s="706"/>
      <c r="O285" s="14">
        <f t="shared" si="80"/>
        <v>1</v>
      </c>
      <c r="P285" s="706"/>
      <c r="Q285" s="14">
        <f t="shared" si="81"/>
        <v>0</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6"/>
      <c r="E286" s="14">
        <f t="shared" si="75"/>
        <v>0.18</v>
      </c>
      <c r="F286" s="706"/>
      <c r="G286" s="14">
        <f t="shared" si="76"/>
        <v>1</v>
      </c>
      <c r="H286" s="706"/>
      <c r="I286" s="14">
        <f t="shared" si="77"/>
        <v>0.08</v>
      </c>
      <c r="J286" s="706"/>
      <c r="K286" s="14">
        <f t="shared" si="78"/>
        <v>1</v>
      </c>
      <c r="L286" s="706"/>
      <c r="M286" s="14">
        <f t="shared" si="79"/>
        <v>1</v>
      </c>
      <c r="N286" s="706"/>
      <c r="O286" s="14">
        <f t="shared" si="80"/>
        <v>1</v>
      </c>
      <c r="P286" s="706"/>
      <c r="Q286" s="14">
        <f t="shared" si="81"/>
        <v>0</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6"/>
      <c r="E287" s="14">
        <f t="shared" si="75"/>
        <v>0.18</v>
      </c>
      <c r="F287" s="706"/>
      <c r="G287" s="14">
        <f t="shared" si="76"/>
        <v>1</v>
      </c>
      <c r="H287" s="706"/>
      <c r="I287" s="14">
        <f t="shared" si="77"/>
        <v>0.08</v>
      </c>
      <c r="J287" s="706"/>
      <c r="K287" s="14">
        <f t="shared" si="78"/>
        <v>1</v>
      </c>
      <c r="L287" s="706"/>
      <c r="M287" s="14">
        <f t="shared" si="79"/>
        <v>1</v>
      </c>
      <c r="N287" s="706"/>
      <c r="O287" s="14">
        <f t="shared" si="80"/>
        <v>1</v>
      </c>
      <c r="P287" s="706"/>
      <c r="Q287" s="14">
        <f t="shared" si="81"/>
        <v>0</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6"/>
      <c r="E288" s="14">
        <f t="shared" si="75"/>
        <v>0.18</v>
      </c>
      <c r="F288" s="706"/>
      <c r="G288" s="14">
        <f t="shared" si="76"/>
        <v>1</v>
      </c>
      <c r="H288" s="706"/>
      <c r="I288" s="14">
        <f t="shared" si="77"/>
        <v>0.08</v>
      </c>
      <c r="J288" s="706"/>
      <c r="K288" s="14">
        <f t="shared" si="78"/>
        <v>1</v>
      </c>
      <c r="L288" s="706"/>
      <c r="M288" s="14">
        <f t="shared" si="79"/>
        <v>1</v>
      </c>
      <c r="N288" s="706"/>
      <c r="O288" s="14">
        <f t="shared" si="80"/>
        <v>1</v>
      </c>
      <c r="P288" s="706"/>
      <c r="Q288" s="14">
        <f t="shared" si="81"/>
        <v>0</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6"/>
      <c r="E289" s="14">
        <f t="shared" si="75"/>
        <v>0.18</v>
      </c>
      <c r="F289" s="706"/>
      <c r="G289" s="14">
        <f t="shared" si="76"/>
        <v>1</v>
      </c>
      <c r="H289" s="706"/>
      <c r="I289" s="14">
        <f t="shared" si="77"/>
        <v>0.08</v>
      </c>
      <c r="J289" s="706"/>
      <c r="K289" s="14">
        <f t="shared" si="78"/>
        <v>1</v>
      </c>
      <c r="L289" s="706"/>
      <c r="M289" s="14">
        <f t="shared" si="79"/>
        <v>1</v>
      </c>
      <c r="N289" s="706"/>
      <c r="O289" s="14">
        <f t="shared" si="80"/>
        <v>1</v>
      </c>
      <c r="P289" s="706"/>
      <c r="Q289" s="14">
        <f t="shared" si="81"/>
        <v>0</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6"/>
      <c r="E290" s="14">
        <f t="shared" si="75"/>
        <v>0.18</v>
      </c>
      <c r="F290" s="706"/>
      <c r="G290" s="14">
        <f t="shared" si="76"/>
        <v>1</v>
      </c>
      <c r="H290" s="706"/>
      <c r="I290" s="14">
        <f t="shared" si="77"/>
        <v>0.08</v>
      </c>
      <c r="J290" s="706"/>
      <c r="K290" s="14">
        <f t="shared" si="78"/>
        <v>1</v>
      </c>
      <c r="L290" s="706"/>
      <c r="M290" s="14">
        <f t="shared" si="79"/>
        <v>1</v>
      </c>
      <c r="N290" s="706"/>
      <c r="O290" s="14">
        <f t="shared" si="80"/>
        <v>1</v>
      </c>
      <c r="P290" s="706"/>
      <c r="Q290" s="14">
        <f t="shared" si="81"/>
        <v>0</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6"/>
      <c r="E291" s="14">
        <f t="shared" si="75"/>
        <v>0.18</v>
      </c>
      <c r="F291" s="706"/>
      <c r="G291" s="14">
        <f t="shared" si="76"/>
        <v>1</v>
      </c>
      <c r="H291" s="706"/>
      <c r="I291" s="14">
        <f t="shared" si="77"/>
        <v>0.08</v>
      </c>
      <c r="J291" s="706"/>
      <c r="K291" s="14">
        <f t="shared" si="78"/>
        <v>1</v>
      </c>
      <c r="L291" s="706"/>
      <c r="M291" s="14">
        <f t="shared" si="79"/>
        <v>1</v>
      </c>
      <c r="N291" s="706"/>
      <c r="O291" s="14">
        <f t="shared" si="80"/>
        <v>1</v>
      </c>
      <c r="P291" s="706"/>
      <c r="Q291" s="14">
        <f t="shared" si="81"/>
        <v>0</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6"/>
      <c r="E292" s="14">
        <f t="shared" si="75"/>
        <v>0.18</v>
      </c>
      <c r="F292" s="706"/>
      <c r="G292" s="14">
        <f t="shared" si="76"/>
        <v>1</v>
      </c>
      <c r="H292" s="706"/>
      <c r="I292" s="14">
        <f t="shared" si="77"/>
        <v>0.08</v>
      </c>
      <c r="J292" s="706"/>
      <c r="K292" s="14">
        <f t="shared" si="78"/>
        <v>1</v>
      </c>
      <c r="L292" s="706"/>
      <c r="M292" s="14">
        <f t="shared" si="79"/>
        <v>1</v>
      </c>
      <c r="N292" s="706"/>
      <c r="O292" s="14">
        <f t="shared" si="80"/>
        <v>1</v>
      </c>
      <c r="P292" s="706"/>
      <c r="Q292" s="14">
        <f t="shared" si="81"/>
        <v>0</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6"/>
      <c r="E293" s="14">
        <f t="shared" si="75"/>
        <v>0.18</v>
      </c>
      <c r="F293" s="706"/>
      <c r="G293" s="14">
        <f t="shared" si="76"/>
        <v>1</v>
      </c>
      <c r="H293" s="706"/>
      <c r="I293" s="14">
        <f t="shared" si="77"/>
        <v>0.08</v>
      </c>
      <c r="J293" s="706"/>
      <c r="K293" s="14">
        <f t="shared" si="78"/>
        <v>1</v>
      </c>
      <c r="L293" s="706"/>
      <c r="M293" s="14">
        <f t="shared" si="79"/>
        <v>1</v>
      </c>
      <c r="N293" s="706"/>
      <c r="O293" s="14">
        <f t="shared" si="80"/>
        <v>1</v>
      </c>
      <c r="P293" s="706"/>
      <c r="Q293" s="14">
        <f t="shared" si="81"/>
        <v>0</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6"/>
      <c r="E294" s="14">
        <f t="shared" si="75"/>
        <v>0.18</v>
      </c>
      <c r="F294" s="706"/>
      <c r="G294" s="14">
        <f t="shared" si="76"/>
        <v>1</v>
      </c>
      <c r="H294" s="706"/>
      <c r="I294" s="14">
        <f t="shared" si="77"/>
        <v>0.08</v>
      </c>
      <c r="J294" s="706"/>
      <c r="K294" s="14">
        <f t="shared" si="78"/>
        <v>1</v>
      </c>
      <c r="L294" s="706"/>
      <c r="M294" s="14">
        <f t="shared" si="79"/>
        <v>1</v>
      </c>
      <c r="N294" s="706"/>
      <c r="O294" s="14">
        <f t="shared" si="80"/>
        <v>1</v>
      </c>
      <c r="P294" s="706"/>
      <c r="Q294" s="14">
        <f t="shared" si="81"/>
        <v>0</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6"/>
      <c r="E295" s="14">
        <f t="shared" si="75"/>
        <v>0.18</v>
      </c>
      <c r="F295" s="706"/>
      <c r="G295" s="14">
        <f t="shared" si="76"/>
        <v>1</v>
      </c>
      <c r="H295" s="706"/>
      <c r="I295" s="14">
        <f t="shared" si="77"/>
        <v>0.08</v>
      </c>
      <c r="J295" s="706"/>
      <c r="K295" s="14">
        <f t="shared" si="78"/>
        <v>1</v>
      </c>
      <c r="L295" s="706"/>
      <c r="M295" s="14">
        <f t="shared" si="79"/>
        <v>1</v>
      </c>
      <c r="N295" s="706"/>
      <c r="O295" s="14">
        <f t="shared" si="80"/>
        <v>1</v>
      </c>
      <c r="P295" s="706"/>
      <c r="Q295" s="14">
        <f t="shared" si="81"/>
        <v>0</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6"/>
      <c r="E296" s="14">
        <f t="shared" si="75"/>
        <v>0.18</v>
      </c>
      <c r="F296" s="706"/>
      <c r="G296" s="14">
        <f t="shared" si="76"/>
        <v>1</v>
      </c>
      <c r="H296" s="706"/>
      <c r="I296" s="14">
        <f t="shared" si="77"/>
        <v>0.08</v>
      </c>
      <c r="J296" s="706"/>
      <c r="K296" s="14">
        <f t="shared" si="78"/>
        <v>1</v>
      </c>
      <c r="L296" s="706"/>
      <c r="M296" s="14">
        <f t="shared" si="79"/>
        <v>1</v>
      </c>
      <c r="N296" s="706"/>
      <c r="O296" s="14">
        <f t="shared" si="80"/>
        <v>1</v>
      </c>
      <c r="P296" s="706"/>
      <c r="Q296" s="14">
        <f t="shared" si="81"/>
        <v>0</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6"/>
      <c r="E297" s="14">
        <f t="shared" si="75"/>
        <v>0.18</v>
      </c>
      <c r="F297" s="706"/>
      <c r="G297" s="14">
        <f t="shared" si="76"/>
        <v>1</v>
      </c>
      <c r="H297" s="706"/>
      <c r="I297" s="14">
        <f t="shared" si="77"/>
        <v>0.08</v>
      </c>
      <c r="J297" s="706"/>
      <c r="K297" s="14">
        <f t="shared" si="78"/>
        <v>1</v>
      </c>
      <c r="L297" s="706"/>
      <c r="M297" s="14">
        <f t="shared" si="79"/>
        <v>1</v>
      </c>
      <c r="N297" s="706"/>
      <c r="O297" s="14">
        <f t="shared" si="80"/>
        <v>1</v>
      </c>
      <c r="P297" s="706"/>
      <c r="Q297" s="14">
        <f t="shared" si="81"/>
        <v>0</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6"/>
      <c r="E298" s="14">
        <f t="shared" si="75"/>
        <v>0.18</v>
      </c>
      <c r="F298" s="706"/>
      <c r="G298" s="14">
        <f t="shared" si="76"/>
        <v>1</v>
      </c>
      <c r="H298" s="706"/>
      <c r="I298" s="14">
        <f t="shared" si="77"/>
        <v>0.08</v>
      </c>
      <c r="J298" s="706"/>
      <c r="K298" s="14">
        <f t="shared" si="78"/>
        <v>1</v>
      </c>
      <c r="L298" s="706"/>
      <c r="M298" s="14">
        <f t="shared" si="79"/>
        <v>1</v>
      </c>
      <c r="N298" s="706"/>
      <c r="O298" s="14">
        <f t="shared" si="80"/>
        <v>1</v>
      </c>
      <c r="P298" s="706"/>
      <c r="Q298" s="14">
        <f t="shared" si="81"/>
        <v>0</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6"/>
      <c r="E299" s="14">
        <f t="shared" si="75"/>
        <v>0.18</v>
      </c>
      <c r="F299" s="706"/>
      <c r="G299" s="14">
        <f t="shared" si="76"/>
        <v>1</v>
      </c>
      <c r="H299" s="706"/>
      <c r="I299" s="14">
        <f t="shared" si="77"/>
        <v>0.08</v>
      </c>
      <c r="J299" s="706"/>
      <c r="K299" s="14">
        <f t="shared" si="78"/>
        <v>1</v>
      </c>
      <c r="L299" s="706"/>
      <c r="M299" s="14">
        <f t="shared" si="79"/>
        <v>1</v>
      </c>
      <c r="N299" s="706"/>
      <c r="O299" s="14">
        <f t="shared" si="80"/>
        <v>1</v>
      </c>
      <c r="P299" s="706"/>
      <c r="Q299" s="14">
        <f t="shared" si="81"/>
        <v>0</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6"/>
      <c r="E300" s="14">
        <f t="shared" si="75"/>
        <v>0.18</v>
      </c>
      <c r="F300" s="706"/>
      <c r="G300" s="14">
        <f t="shared" si="76"/>
        <v>1</v>
      </c>
      <c r="H300" s="706"/>
      <c r="I300" s="14">
        <f t="shared" si="77"/>
        <v>0.08</v>
      </c>
      <c r="J300" s="706"/>
      <c r="K300" s="14">
        <f t="shared" si="78"/>
        <v>1</v>
      </c>
      <c r="L300" s="706"/>
      <c r="M300" s="14">
        <f t="shared" si="79"/>
        <v>1</v>
      </c>
      <c r="N300" s="706"/>
      <c r="O300" s="14">
        <f t="shared" si="80"/>
        <v>1</v>
      </c>
      <c r="P300" s="706"/>
      <c r="Q300" s="14">
        <f t="shared" si="81"/>
        <v>0</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6"/>
      <c r="E301" s="14">
        <f t="shared" si="75"/>
        <v>0.18</v>
      </c>
      <c r="F301" s="706"/>
      <c r="G301" s="14">
        <f t="shared" si="76"/>
        <v>1</v>
      </c>
      <c r="H301" s="706"/>
      <c r="I301" s="14">
        <f t="shared" si="77"/>
        <v>0.08</v>
      </c>
      <c r="J301" s="706"/>
      <c r="K301" s="14">
        <f t="shared" si="78"/>
        <v>1</v>
      </c>
      <c r="L301" s="706"/>
      <c r="M301" s="14">
        <f t="shared" si="79"/>
        <v>1</v>
      </c>
      <c r="N301" s="706"/>
      <c r="O301" s="14">
        <f t="shared" si="80"/>
        <v>1</v>
      </c>
      <c r="P301" s="706"/>
      <c r="Q301" s="14">
        <f t="shared" si="81"/>
        <v>0</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6"/>
      <c r="E302" s="14">
        <f t="shared" si="75"/>
        <v>0.18</v>
      </c>
      <c r="F302" s="706"/>
      <c r="G302" s="14">
        <f t="shared" si="76"/>
        <v>1</v>
      </c>
      <c r="H302" s="706"/>
      <c r="I302" s="14">
        <f t="shared" si="77"/>
        <v>0.08</v>
      </c>
      <c r="J302" s="706"/>
      <c r="K302" s="14">
        <f t="shared" si="78"/>
        <v>1</v>
      </c>
      <c r="L302" s="706"/>
      <c r="M302" s="14">
        <f t="shared" si="79"/>
        <v>1</v>
      </c>
      <c r="N302" s="706"/>
      <c r="O302" s="14">
        <f t="shared" si="80"/>
        <v>1</v>
      </c>
      <c r="P302" s="706"/>
      <c r="Q302" s="14">
        <f t="shared" si="81"/>
        <v>0</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6"/>
      <c r="E303" s="14">
        <f t="shared" si="75"/>
        <v>0.18</v>
      </c>
      <c r="F303" s="706"/>
      <c r="G303" s="14">
        <f t="shared" si="76"/>
        <v>1</v>
      </c>
      <c r="H303" s="706"/>
      <c r="I303" s="14">
        <f t="shared" si="77"/>
        <v>0.08</v>
      </c>
      <c r="J303" s="706"/>
      <c r="K303" s="14">
        <f t="shared" si="78"/>
        <v>1</v>
      </c>
      <c r="L303" s="706"/>
      <c r="M303" s="14">
        <f t="shared" si="79"/>
        <v>1</v>
      </c>
      <c r="N303" s="706"/>
      <c r="O303" s="14">
        <f t="shared" si="80"/>
        <v>1</v>
      </c>
      <c r="P303" s="706"/>
      <c r="Q303" s="14">
        <f t="shared" si="81"/>
        <v>0</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6"/>
      <c r="E304" s="14">
        <f t="shared" si="75"/>
        <v>0.18</v>
      </c>
      <c r="F304" s="706"/>
      <c r="G304" s="14">
        <f t="shared" si="76"/>
        <v>1</v>
      </c>
      <c r="H304" s="706"/>
      <c r="I304" s="14">
        <f t="shared" si="77"/>
        <v>0.08</v>
      </c>
      <c r="J304" s="706"/>
      <c r="K304" s="14">
        <f t="shared" si="78"/>
        <v>1</v>
      </c>
      <c r="L304" s="706"/>
      <c r="M304" s="14">
        <f t="shared" si="79"/>
        <v>1</v>
      </c>
      <c r="N304" s="706"/>
      <c r="O304" s="14">
        <f t="shared" si="80"/>
        <v>1</v>
      </c>
      <c r="P304" s="706"/>
      <c r="Q304" s="14">
        <f t="shared" si="81"/>
        <v>0</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6"/>
      <c r="E305" s="14">
        <f t="shared" si="75"/>
        <v>0.18</v>
      </c>
      <c r="F305" s="706"/>
      <c r="G305" s="14">
        <f t="shared" si="76"/>
        <v>1</v>
      </c>
      <c r="H305" s="706"/>
      <c r="I305" s="14">
        <f t="shared" si="77"/>
        <v>0.08</v>
      </c>
      <c r="J305" s="706"/>
      <c r="K305" s="14">
        <f t="shared" si="78"/>
        <v>1</v>
      </c>
      <c r="L305" s="706"/>
      <c r="M305" s="14">
        <f t="shared" si="79"/>
        <v>1</v>
      </c>
      <c r="N305" s="706"/>
      <c r="O305" s="14">
        <f t="shared" si="80"/>
        <v>1</v>
      </c>
      <c r="P305" s="706"/>
      <c r="Q305" s="14">
        <f t="shared" si="81"/>
        <v>0</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6"/>
      <c r="E306" s="14">
        <f t="shared" si="75"/>
        <v>0.18</v>
      </c>
      <c r="F306" s="706"/>
      <c r="G306" s="14">
        <f t="shared" si="76"/>
        <v>1</v>
      </c>
      <c r="H306" s="706"/>
      <c r="I306" s="14">
        <f t="shared" si="77"/>
        <v>0.08</v>
      </c>
      <c r="J306" s="706"/>
      <c r="K306" s="14">
        <f t="shared" si="78"/>
        <v>1</v>
      </c>
      <c r="L306" s="706"/>
      <c r="M306" s="14">
        <f t="shared" si="79"/>
        <v>1</v>
      </c>
      <c r="N306" s="706"/>
      <c r="O306" s="14">
        <f t="shared" si="80"/>
        <v>1</v>
      </c>
      <c r="P306" s="706"/>
      <c r="Q306" s="14">
        <f t="shared" si="81"/>
        <v>0</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6"/>
      <c r="E307" s="14">
        <f t="shared" si="75"/>
        <v>0.18</v>
      </c>
      <c r="F307" s="706"/>
      <c r="G307" s="14">
        <f t="shared" si="76"/>
        <v>1</v>
      </c>
      <c r="H307" s="706"/>
      <c r="I307" s="14">
        <f t="shared" si="77"/>
        <v>0.08</v>
      </c>
      <c r="J307" s="706"/>
      <c r="K307" s="14">
        <f t="shared" si="78"/>
        <v>1</v>
      </c>
      <c r="L307" s="706"/>
      <c r="M307" s="14">
        <f t="shared" si="79"/>
        <v>1</v>
      </c>
      <c r="N307" s="706"/>
      <c r="O307" s="14">
        <f t="shared" si="80"/>
        <v>1</v>
      </c>
      <c r="P307" s="706"/>
      <c r="Q307" s="14">
        <f t="shared" si="81"/>
        <v>0</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6"/>
      <c r="E308" s="14">
        <f t="shared" si="75"/>
        <v>0.18</v>
      </c>
      <c r="F308" s="706"/>
      <c r="G308" s="14">
        <f t="shared" si="76"/>
        <v>1</v>
      </c>
      <c r="H308" s="706"/>
      <c r="I308" s="14">
        <f t="shared" si="77"/>
        <v>0.08</v>
      </c>
      <c r="J308" s="706"/>
      <c r="K308" s="14">
        <f t="shared" si="78"/>
        <v>1</v>
      </c>
      <c r="L308" s="706"/>
      <c r="M308" s="14">
        <f t="shared" si="79"/>
        <v>1</v>
      </c>
      <c r="N308" s="706"/>
      <c r="O308" s="14">
        <f t="shared" si="80"/>
        <v>1</v>
      </c>
      <c r="P308" s="706"/>
      <c r="Q308" s="14">
        <f t="shared" si="81"/>
        <v>0</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6"/>
      <c r="E309" s="14">
        <f t="shared" si="75"/>
        <v>0.18</v>
      </c>
      <c r="F309" s="706"/>
      <c r="G309" s="14">
        <f t="shared" si="76"/>
        <v>1</v>
      </c>
      <c r="H309" s="706"/>
      <c r="I309" s="14">
        <f t="shared" si="77"/>
        <v>0.08</v>
      </c>
      <c r="J309" s="706"/>
      <c r="K309" s="14">
        <f t="shared" si="78"/>
        <v>1</v>
      </c>
      <c r="L309" s="706"/>
      <c r="M309" s="14">
        <f t="shared" si="79"/>
        <v>1</v>
      </c>
      <c r="N309" s="706"/>
      <c r="O309" s="14">
        <f t="shared" si="80"/>
        <v>1</v>
      </c>
      <c r="P309" s="706"/>
      <c r="Q309" s="14">
        <f t="shared" si="81"/>
        <v>0</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6"/>
      <c r="E310" s="14">
        <f t="shared" si="75"/>
        <v>0.18</v>
      </c>
      <c r="F310" s="706"/>
      <c r="G310" s="14">
        <f t="shared" si="76"/>
        <v>1</v>
      </c>
      <c r="H310" s="706"/>
      <c r="I310" s="14">
        <f t="shared" si="77"/>
        <v>0.08</v>
      </c>
      <c r="J310" s="706"/>
      <c r="K310" s="14">
        <f t="shared" si="78"/>
        <v>1</v>
      </c>
      <c r="L310" s="706"/>
      <c r="M310" s="14">
        <f t="shared" si="79"/>
        <v>1</v>
      </c>
      <c r="N310" s="706"/>
      <c r="O310" s="14">
        <f t="shared" si="80"/>
        <v>1</v>
      </c>
      <c r="P310" s="706"/>
      <c r="Q310" s="14">
        <f t="shared" si="81"/>
        <v>0</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6"/>
      <c r="E311" s="14">
        <f t="shared" si="75"/>
        <v>0.18</v>
      </c>
      <c r="F311" s="706"/>
      <c r="G311" s="14">
        <f t="shared" si="76"/>
        <v>1</v>
      </c>
      <c r="H311" s="706"/>
      <c r="I311" s="14">
        <f t="shared" si="77"/>
        <v>0.08</v>
      </c>
      <c r="J311" s="706"/>
      <c r="K311" s="14">
        <f t="shared" si="78"/>
        <v>1</v>
      </c>
      <c r="L311" s="706"/>
      <c r="M311" s="14">
        <f t="shared" si="79"/>
        <v>1</v>
      </c>
      <c r="N311" s="706"/>
      <c r="O311" s="14">
        <f t="shared" si="80"/>
        <v>1</v>
      </c>
      <c r="P311" s="706"/>
      <c r="Q311" s="14">
        <f t="shared" si="81"/>
        <v>0</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6"/>
      <c r="E312" s="14">
        <f t="shared" si="75"/>
        <v>0.18</v>
      </c>
      <c r="F312" s="706"/>
      <c r="G312" s="14">
        <f t="shared" si="76"/>
        <v>1</v>
      </c>
      <c r="H312" s="706"/>
      <c r="I312" s="14">
        <f t="shared" si="77"/>
        <v>0.08</v>
      </c>
      <c r="J312" s="706"/>
      <c r="K312" s="14">
        <f t="shared" si="78"/>
        <v>1</v>
      </c>
      <c r="L312" s="706"/>
      <c r="M312" s="14">
        <f t="shared" si="79"/>
        <v>1</v>
      </c>
      <c r="N312" s="706"/>
      <c r="O312" s="14">
        <f t="shared" si="80"/>
        <v>1</v>
      </c>
      <c r="P312" s="706"/>
      <c r="Q312" s="14">
        <f t="shared" si="81"/>
        <v>0</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6"/>
      <c r="E313" s="14">
        <f t="shared" si="75"/>
        <v>0.18</v>
      </c>
      <c r="F313" s="706"/>
      <c r="G313" s="14">
        <f t="shared" si="76"/>
        <v>1</v>
      </c>
      <c r="H313" s="706"/>
      <c r="I313" s="14">
        <f t="shared" si="77"/>
        <v>0.08</v>
      </c>
      <c r="J313" s="706"/>
      <c r="K313" s="14">
        <f t="shared" si="78"/>
        <v>1</v>
      </c>
      <c r="L313" s="706"/>
      <c r="M313" s="14">
        <f t="shared" si="79"/>
        <v>1</v>
      </c>
      <c r="N313" s="706"/>
      <c r="O313" s="14">
        <f t="shared" si="80"/>
        <v>1</v>
      </c>
      <c r="P313" s="706"/>
      <c r="Q313" s="14">
        <f t="shared" si="81"/>
        <v>0</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6"/>
      <c r="E314" s="14">
        <f t="shared" si="75"/>
        <v>0.18</v>
      </c>
      <c r="F314" s="706"/>
      <c r="G314" s="14">
        <f t="shared" si="76"/>
        <v>1</v>
      </c>
      <c r="H314" s="706"/>
      <c r="I314" s="14">
        <f t="shared" si="77"/>
        <v>0.08</v>
      </c>
      <c r="J314" s="706"/>
      <c r="K314" s="14">
        <f t="shared" si="78"/>
        <v>1</v>
      </c>
      <c r="L314" s="706"/>
      <c r="M314" s="14">
        <f t="shared" si="79"/>
        <v>1</v>
      </c>
      <c r="N314" s="706"/>
      <c r="O314" s="14">
        <f t="shared" si="80"/>
        <v>1</v>
      </c>
      <c r="P314" s="706"/>
      <c r="Q314" s="14">
        <f t="shared" si="81"/>
        <v>0</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6"/>
      <c r="E315" s="14">
        <f t="shared" si="75"/>
        <v>0.18</v>
      </c>
      <c r="F315" s="706"/>
      <c r="G315" s="14">
        <f t="shared" si="76"/>
        <v>1</v>
      </c>
      <c r="H315" s="706"/>
      <c r="I315" s="14">
        <f t="shared" si="77"/>
        <v>0.08</v>
      </c>
      <c r="J315" s="706"/>
      <c r="K315" s="14">
        <f t="shared" si="78"/>
        <v>1</v>
      </c>
      <c r="L315" s="706"/>
      <c r="M315" s="14">
        <f t="shared" si="79"/>
        <v>1</v>
      </c>
      <c r="N315" s="706"/>
      <c r="O315" s="14">
        <f t="shared" si="80"/>
        <v>1</v>
      </c>
      <c r="P315" s="706"/>
      <c r="Q315" s="14">
        <f t="shared" si="81"/>
        <v>0</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6"/>
      <c r="E316" s="14">
        <f t="shared" si="75"/>
        <v>0.18</v>
      </c>
      <c r="F316" s="706"/>
      <c r="G316" s="14">
        <f t="shared" si="76"/>
        <v>1</v>
      </c>
      <c r="H316" s="706"/>
      <c r="I316" s="14">
        <f t="shared" si="77"/>
        <v>0.08</v>
      </c>
      <c r="J316" s="706"/>
      <c r="K316" s="14">
        <f t="shared" si="78"/>
        <v>1</v>
      </c>
      <c r="L316" s="706"/>
      <c r="M316" s="14">
        <f t="shared" si="79"/>
        <v>1</v>
      </c>
      <c r="N316" s="706"/>
      <c r="O316" s="14">
        <f t="shared" si="80"/>
        <v>1</v>
      </c>
      <c r="P316" s="706"/>
      <c r="Q316" s="14">
        <f t="shared" si="81"/>
        <v>0</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6"/>
      <c r="E317" s="14">
        <f t="shared" si="75"/>
        <v>0.18</v>
      </c>
      <c r="F317" s="706"/>
      <c r="G317" s="14">
        <f t="shared" si="76"/>
        <v>1</v>
      </c>
      <c r="H317" s="706"/>
      <c r="I317" s="14">
        <f t="shared" si="77"/>
        <v>0.08</v>
      </c>
      <c r="J317" s="706"/>
      <c r="K317" s="14">
        <f t="shared" si="78"/>
        <v>1</v>
      </c>
      <c r="L317" s="706"/>
      <c r="M317" s="14">
        <f t="shared" si="79"/>
        <v>1</v>
      </c>
      <c r="N317" s="706"/>
      <c r="O317" s="14">
        <f t="shared" si="80"/>
        <v>1</v>
      </c>
      <c r="P317" s="706"/>
      <c r="Q317" s="14">
        <f t="shared" si="81"/>
        <v>0</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6"/>
      <c r="E318" s="14">
        <f t="shared" si="75"/>
        <v>0.18</v>
      </c>
      <c r="F318" s="706"/>
      <c r="G318" s="14">
        <f t="shared" si="76"/>
        <v>1</v>
      </c>
      <c r="H318" s="706"/>
      <c r="I318" s="14">
        <f t="shared" si="77"/>
        <v>0.08</v>
      </c>
      <c r="J318" s="706"/>
      <c r="K318" s="14">
        <f t="shared" si="78"/>
        <v>1</v>
      </c>
      <c r="L318" s="706"/>
      <c r="M318" s="14">
        <f t="shared" si="79"/>
        <v>1</v>
      </c>
      <c r="N318" s="706"/>
      <c r="O318" s="14">
        <f t="shared" si="80"/>
        <v>1</v>
      </c>
      <c r="P318" s="706"/>
      <c r="Q318" s="14">
        <f t="shared" si="81"/>
        <v>0</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6"/>
      <c r="E319" s="14">
        <f t="shared" si="75"/>
        <v>0.18</v>
      </c>
      <c r="F319" s="706"/>
      <c r="G319" s="14">
        <f t="shared" si="76"/>
        <v>1</v>
      </c>
      <c r="H319" s="706"/>
      <c r="I319" s="14">
        <f t="shared" si="77"/>
        <v>0.08</v>
      </c>
      <c r="J319" s="706"/>
      <c r="K319" s="14">
        <f t="shared" si="78"/>
        <v>1</v>
      </c>
      <c r="L319" s="706"/>
      <c r="M319" s="14">
        <f t="shared" si="79"/>
        <v>1</v>
      </c>
      <c r="N319" s="706"/>
      <c r="O319" s="14">
        <f t="shared" si="80"/>
        <v>1</v>
      </c>
      <c r="P319" s="706"/>
      <c r="Q319" s="14">
        <f t="shared" si="81"/>
        <v>0</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6"/>
      <c r="E320" s="14">
        <f t="shared" si="75"/>
        <v>0.18</v>
      </c>
      <c r="F320" s="706"/>
      <c r="G320" s="14">
        <f t="shared" si="76"/>
        <v>1</v>
      </c>
      <c r="H320" s="706"/>
      <c r="I320" s="14">
        <f t="shared" si="77"/>
        <v>0.08</v>
      </c>
      <c r="J320" s="706"/>
      <c r="K320" s="14">
        <f t="shared" si="78"/>
        <v>1</v>
      </c>
      <c r="L320" s="706"/>
      <c r="M320" s="14">
        <f t="shared" si="79"/>
        <v>1</v>
      </c>
      <c r="N320" s="706"/>
      <c r="O320" s="14">
        <f t="shared" si="80"/>
        <v>1</v>
      </c>
      <c r="P320" s="706"/>
      <c r="Q320" s="14">
        <f t="shared" si="81"/>
        <v>0</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6"/>
      <c r="E321" s="14">
        <f t="shared" si="75"/>
        <v>0.18</v>
      </c>
      <c r="F321" s="706"/>
      <c r="G321" s="14">
        <f t="shared" si="76"/>
        <v>1</v>
      </c>
      <c r="H321" s="706"/>
      <c r="I321" s="14">
        <f t="shared" si="77"/>
        <v>0.08</v>
      </c>
      <c r="J321" s="706"/>
      <c r="K321" s="14">
        <f t="shared" si="78"/>
        <v>1</v>
      </c>
      <c r="L321" s="706"/>
      <c r="M321" s="14">
        <f t="shared" si="79"/>
        <v>1</v>
      </c>
      <c r="N321" s="706"/>
      <c r="O321" s="14">
        <f t="shared" si="80"/>
        <v>1</v>
      </c>
      <c r="P321" s="706"/>
      <c r="Q321" s="14">
        <f t="shared" si="81"/>
        <v>0</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6"/>
      <c r="E322" s="14">
        <f t="shared" si="75"/>
        <v>0.18</v>
      </c>
      <c r="F322" s="706"/>
      <c r="G322" s="14">
        <f t="shared" si="76"/>
        <v>1</v>
      </c>
      <c r="H322" s="706"/>
      <c r="I322" s="14">
        <f t="shared" si="77"/>
        <v>0.08</v>
      </c>
      <c r="J322" s="706"/>
      <c r="K322" s="14">
        <f t="shared" si="78"/>
        <v>1</v>
      </c>
      <c r="L322" s="706"/>
      <c r="M322" s="14">
        <f t="shared" si="79"/>
        <v>1</v>
      </c>
      <c r="N322" s="706"/>
      <c r="O322" s="14">
        <f t="shared" si="80"/>
        <v>1</v>
      </c>
      <c r="P322" s="706"/>
      <c r="Q322" s="14">
        <f t="shared" si="81"/>
        <v>0</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6"/>
      <c r="E323" s="14">
        <f t="shared" si="75"/>
        <v>0.18</v>
      </c>
      <c r="F323" s="706"/>
      <c r="G323" s="14">
        <f t="shared" si="76"/>
        <v>1</v>
      </c>
      <c r="H323" s="706"/>
      <c r="I323" s="14">
        <f t="shared" si="77"/>
        <v>0.08</v>
      </c>
      <c r="J323" s="706"/>
      <c r="K323" s="14">
        <f t="shared" si="78"/>
        <v>1</v>
      </c>
      <c r="L323" s="706"/>
      <c r="M323" s="14">
        <f t="shared" si="79"/>
        <v>1</v>
      </c>
      <c r="N323" s="706"/>
      <c r="O323" s="14">
        <f t="shared" si="80"/>
        <v>1</v>
      </c>
      <c r="P323" s="706"/>
      <c r="Q323" s="14">
        <f t="shared" si="81"/>
        <v>0</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6"/>
      <c r="E324" s="14">
        <f t="shared" si="75"/>
        <v>0.18</v>
      </c>
      <c r="F324" s="706"/>
      <c r="G324" s="14">
        <f t="shared" si="76"/>
        <v>1</v>
      </c>
      <c r="H324" s="706"/>
      <c r="I324" s="14">
        <f t="shared" si="77"/>
        <v>0.08</v>
      </c>
      <c r="J324" s="706"/>
      <c r="K324" s="14">
        <f t="shared" si="78"/>
        <v>1</v>
      </c>
      <c r="L324" s="706"/>
      <c r="M324" s="14">
        <f t="shared" si="79"/>
        <v>1</v>
      </c>
      <c r="N324" s="706"/>
      <c r="O324" s="14">
        <f t="shared" si="80"/>
        <v>1</v>
      </c>
      <c r="P324" s="706"/>
      <c r="Q324" s="14">
        <f t="shared" si="81"/>
        <v>0</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6"/>
      <c r="E325" s="14">
        <f t="shared" si="75"/>
        <v>0.18</v>
      </c>
      <c r="F325" s="706"/>
      <c r="G325" s="14">
        <f t="shared" si="76"/>
        <v>1</v>
      </c>
      <c r="H325" s="706"/>
      <c r="I325" s="14">
        <f t="shared" si="77"/>
        <v>0.08</v>
      </c>
      <c r="J325" s="706"/>
      <c r="K325" s="14">
        <f t="shared" si="78"/>
        <v>1</v>
      </c>
      <c r="L325" s="706"/>
      <c r="M325" s="14">
        <f t="shared" si="79"/>
        <v>1</v>
      </c>
      <c r="N325" s="706"/>
      <c r="O325" s="14">
        <f t="shared" si="80"/>
        <v>1</v>
      </c>
      <c r="P325" s="706"/>
      <c r="Q325" s="14">
        <f t="shared" si="81"/>
        <v>0</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6"/>
      <c r="E326" s="14">
        <f t="shared" si="75"/>
        <v>0.18</v>
      </c>
      <c r="F326" s="706"/>
      <c r="G326" s="14">
        <f t="shared" si="76"/>
        <v>1</v>
      </c>
      <c r="H326" s="706"/>
      <c r="I326" s="14">
        <f t="shared" si="77"/>
        <v>0.08</v>
      </c>
      <c r="J326" s="706"/>
      <c r="K326" s="14">
        <f t="shared" si="78"/>
        <v>1</v>
      </c>
      <c r="L326" s="706"/>
      <c r="M326" s="14">
        <f t="shared" si="79"/>
        <v>1</v>
      </c>
      <c r="N326" s="706"/>
      <c r="O326" s="14">
        <f t="shared" si="80"/>
        <v>1</v>
      </c>
      <c r="P326" s="706"/>
      <c r="Q326" s="14">
        <f t="shared" si="81"/>
        <v>0</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6"/>
      <c r="E327" s="14">
        <f t="shared" si="75"/>
        <v>0.18</v>
      </c>
      <c r="F327" s="706"/>
      <c r="G327" s="14">
        <f t="shared" si="76"/>
        <v>1</v>
      </c>
      <c r="H327" s="706"/>
      <c r="I327" s="14">
        <f t="shared" si="77"/>
        <v>0.08</v>
      </c>
      <c r="J327" s="706"/>
      <c r="K327" s="14">
        <f t="shared" si="78"/>
        <v>1</v>
      </c>
      <c r="L327" s="706"/>
      <c r="M327" s="14">
        <f t="shared" si="79"/>
        <v>1</v>
      </c>
      <c r="N327" s="706"/>
      <c r="O327" s="14">
        <f t="shared" si="80"/>
        <v>1</v>
      </c>
      <c r="P327" s="706"/>
      <c r="Q327" s="14">
        <f t="shared" si="81"/>
        <v>0</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6"/>
      <c r="E328" s="14">
        <f t="shared" si="75"/>
        <v>0.18</v>
      </c>
      <c r="F328" s="706"/>
      <c r="G328" s="14">
        <f t="shared" si="76"/>
        <v>1</v>
      </c>
      <c r="H328" s="706"/>
      <c r="I328" s="14">
        <f t="shared" si="77"/>
        <v>0.08</v>
      </c>
      <c r="J328" s="706"/>
      <c r="K328" s="14">
        <f t="shared" si="78"/>
        <v>1</v>
      </c>
      <c r="L328" s="706"/>
      <c r="M328" s="14">
        <f t="shared" si="79"/>
        <v>1</v>
      </c>
      <c r="N328" s="706"/>
      <c r="O328" s="14">
        <f t="shared" si="80"/>
        <v>1</v>
      </c>
      <c r="P328" s="706"/>
      <c r="Q328" s="14">
        <f t="shared" si="81"/>
        <v>0</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6"/>
      <c r="E329" s="14">
        <f t="shared" si="75"/>
        <v>0.18</v>
      </c>
      <c r="F329" s="706"/>
      <c r="G329" s="14">
        <f t="shared" si="76"/>
        <v>1</v>
      </c>
      <c r="H329" s="706"/>
      <c r="I329" s="14">
        <f t="shared" si="77"/>
        <v>0.08</v>
      </c>
      <c r="J329" s="706"/>
      <c r="K329" s="14">
        <f t="shared" si="78"/>
        <v>1</v>
      </c>
      <c r="L329" s="706"/>
      <c r="M329" s="14">
        <f t="shared" si="79"/>
        <v>1</v>
      </c>
      <c r="N329" s="706"/>
      <c r="O329" s="14">
        <f t="shared" si="80"/>
        <v>1</v>
      </c>
      <c r="P329" s="706"/>
      <c r="Q329" s="14">
        <f t="shared" si="81"/>
        <v>0</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6"/>
      <c r="E330" s="14">
        <f t="shared" si="75"/>
        <v>0.18</v>
      </c>
      <c r="F330" s="706"/>
      <c r="G330" s="14">
        <f t="shared" si="76"/>
        <v>1</v>
      </c>
      <c r="H330" s="706"/>
      <c r="I330" s="14">
        <f t="shared" si="77"/>
        <v>0.08</v>
      </c>
      <c r="J330" s="706"/>
      <c r="K330" s="14">
        <f t="shared" si="78"/>
        <v>1</v>
      </c>
      <c r="L330" s="706"/>
      <c r="M330" s="14">
        <f t="shared" si="79"/>
        <v>1</v>
      </c>
      <c r="N330" s="706"/>
      <c r="O330" s="14">
        <f t="shared" si="80"/>
        <v>1</v>
      </c>
      <c r="P330" s="706"/>
      <c r="Q330" s="14">
        <f t="shared" si="81"/>
        <v>0</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6"/>
      <c r="E331" s="14">
        <f t="shared" si="75"/>
        <v>0.18</v>
      </c>
      <c r="F331" s="706"/>
      <c r="G331" s="14">
        <f t="shared" si="76"/>
        <v>1</v>
      </c>
      <c r="H331" s="706"/>
      <c r="I331" s="14">
        <f t="shared" si="77"/>
        <v>0.08</v>
      </c>
      <c r="J331" s="706"/>
      <c r="K331" s="14">
        <f t="shared" si="78"/>
        <v>1</v>
      </c>
      <c r="L331" s="706"/>
      <c r="M331" s="14">
        <f t="shared" si="79"/>
        <v>1</v>
      </c>
      <c r="N331" s="706"/>
      <c r="O331" s="14">
        <f t="shared" si="80"/>
        <v>1</v>
      </c>
      <c r="P331" s="706"/>
      <c r="Q331" s="14">
        <f t="shared" si="81"/>
        <v>0</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6"/>
      <c r="E332" s="14">
        <f t="shared" si="75"/>
        <v>0.18</v>
      </c>
      <c r="F332" s="706"/>
      <c r="G332" s="14">
        <f t="shared" si="76"/>
        <v>1</v>
      </c>
      <c r="H332" s="706"/>
      <c r="I332" s="14">
        <f t="shared" si="77"/>
        <v>0.08</v>
      </c>
      <c r="J332" s="706"/>
      <c r="K332" s="14">
        <f t="shared" si="78"/>
        <v>1</v>
      </c>
      <c r="L332" s="706"/>
      <c r="M332" s="14">
        <f t="shared" si="79"/>
        <v>1</v>
      </c>
      <c r="N332" s="706"/>
      <c r="O332" s="14">
        <f t="shared" si="80"/>
        <v>1</v>
      </c>
      <c r="P332" s="706"/>
      <c r="Q332" s="14">
        <f t="shared" si="81"/>
        <v>0</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6"/>
      <c r="E333" s="14">
        <f t="shared" si="75"/>
        <v>0.18</v>
      </c>
      <c r="F333" s="706"/>
      <c r="G333" s="14">
        <f t="shared" si="76"/>
        <v>1</v>
      </c>
      <c r="H333" s="706"/>
      <c r="I333" s="14">
        <f t="shared" si="77"/>
        <v>0.08</v>
      </c>
      <c r="J333" s="706"/>
      <c r="K333" s="14">
        <f t="shared" si="78"/>
        <v>1</v>
      </c>
      <c r="L333" s="706"/>
      <c r="M333" s="14">
        <f t="shared" si="79"/>
        <v>1</v>
      </c>
      <c r="N333" s="706"/>
      <c r="O333" s="14">
        <f t="shared" si="80"/>
        <v>1</v>
      </c>
      <c r="P333" s="706"/>
      <c r="Q333" s="14">
        <f t="shared" si="81"/>
        <v>0</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6"/>
      <c r="E334" s="14">
        <f t="shared" si="75"/>
        <v>0.18</v>
      </c>
      <c r="F334" s="706"/>
      <c r="G334" s="14">
        <f t="shared" si="76"/>
        <v>1</v>
      </c>
      <c r="H334" s="706"/>
      <c r="I334" s="14">
        <f t="shared" si="77"/>
        <v>0.08</v>
      </c>
      <c r="J334" s="706"/>
      <c r="K334" s="14">
        <f t="shared" si="78"/>
        <v>1</v>
      </c>
      <c r="L334" s="706"/>
      <c r="M334" s="14">
        <f t="shared" si="79"/>
        <v>1</v>
      </c>
      <c r="N334" s="706"/>
      <c r="O334" s="14">
        <f t="shared" si="80"/>
        <v>1</v>
      </c>
      <c r="P334" s="706"/>
      <c r="Q334" s="14">
        <f t="shared" si="81"/>
        <v>0</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6"/>
      <c r="E335" s="14">
        <f t="shared" si="75"/>
        <v>0.18</v>
      </c>
      <c r="F335" s="706"/>
      <c r="G335" s="14">
        <f t="shared" si="76"/>
        <v>1</v>
      </c>
      <c r="H335" s="706"/>
      <c r="I335" s="14">
        <f t="shared" si="77"/>
        <v>0.08</v>
      </c>
      <c r="J335" s="706"/>
      <c r="K335" s="14">
        <f t="shared" si="78"/>
        <v>1</v>
      </c>
      <c r="L335" s="706"/>
      <c r="M335" s="14">
        <f t="shared" si="79"/>
        <v>1</v>
      </c>
      <c r="N335" s="706"/>
      <c r="O335" s="14">
        <f t="shared" si="80"/>
        <v>1</v>
      </c>
      <c r="P335" s="706"/>
      <c r="Q335" s="14">
        <f t="shared" si="81"/>
        <v>0</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6"/>
      <c r="E336" s="14">
        <f t="shared" si="75"/>
        <v>0.18</v>
      </c>
      <c r="F336" s="706"/>
      <c r="G336" s="14">
        <f t="shared" si="76"/>
        <v>1</v>
      </c>
      <c r="H336" s="706"/>
      <c r="I336" s="14">
        <f t="shared" si="77"/>
        <v>0.08</v>
      </c>
      <c r="J336" s="706"/>
      <c r="K336" s="14">
        <f t="shared" si="78"/>
        <v>1</v>
      </c>
      <c r="L336" s="706"/>
      <c r="M336" s="14">
        <f t="shared" si="79"/>
        <v>1</v>
      </c>
      <c r="N336" s="706"/>
      <c r="O336" s="14">
        <f t="shared" si="80"/>
        <v>1</v>
      </c>
      <c r="P336" s="706"/>
      <c r="Q336" s="14">
        <f t="shared" si="81"/>
        <v>0</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6"/>
      <c r="E337" s="14">
        <f t="shared" si="75"/>
        <v>0.18</v>
      </c>
      <c r="F337" s="706"/>
      <c r="G337" s="14">
        <f t="shared" si="76"/>
        <v>1</v>
      </c>
      <c r="H337" s="706"/>
      <c r="I337" s="14">
        <f t="shared" si="77"/>
        <v>0.08</v>
      </c>
      <c r="J337" s="706"/>
      <c r="K337" s="14">
        <f t="shared" si="78"/>
        <v>1</v>
      </c>
      <c r="L337" s="706"/>
      <c r="M337" s="14">
        <f t="shared" si="79"/>
        <v>1</v>
      </c>
      <c r="N337" s="706"/>
      <c r="O337" s="14">
        <f t="shared" si="80"/>
        <v>1</v>
      </c>
      <c r="P337" s="706"/>
      <c r="Q337" s="14">
        <f t="shared" si="81"/>
        <v>0</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6"/>
      <c r="E338" s="14">
        <f t="shared" si="75"/>
        <v>0.18</v>
      </c>
      <c r="F338" s="706"/>
      <c r="G338" s="14">
        <f t="shared" si="76"/>
        <v>1</v>
      </c>
      <c r="H338" s="706"/>
      <c r="I338" s="14">
        <f t="shared" si="77"/>
        <v>0.08</v>
      </c>
      <c r="J338" s="706"/>
      <c r="K338" s="14">
        <f t="shared" si="78"/>
        <v>1</v>
      </c>
      <c r="L338" s="706"/>
      <c r="M338" s="14">
        <f t="shared" si="79"/>
        <v>1</v>
      </c>
      <c r="N338" s="706"/>
      <c r="O338" s="14">
        <f t="shared" si="80"/>
        <v>1</v>
      </c>
      <c r="P338" s="706"/>
      <c r="Q338" s="14">
        <f t="shared" si="81"/>
        <v>0</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6"/>
      <c r="E339" s="14">
        <f t="shared" si="75"/>
        <v>0.18</v>
      </c>
      <c r="F339" s="706"/>
      <c r="G339" s="14">
        <f t="shared" si="76"/>
        <v>1</v>
      </c>
      <c r="H339" s="706"/>
      <c r="I339" s="14">
        <f t="shared" si="77"/>
        <v>0.08</v>
      </c>
      <c r="J339" s="706"/>
      <c r="K339" s="14">
        <f t="shared" si="78"/>
        <v>1</v>
      </c>
      <c r="L339" s="706"/>
      <c r="M339" s="14">
        <f t="shared" si="79"/>
        <v>1</v>
      </c>
      <c r="N339" s="706"/>
      <c r="O339" s="14">
        <f t="shared" si="80"/>
        <v>1</v>
      </c>
      <c r="P339" s="706"/>
      <c r="Q339" s="14">
        <f t="shared" si="81"/>
        <v>0</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6"/>
      <c r="E340" s="14">
        <f t="shared" si="75"/>
        <v>0.18</v>
      </c>
      <c r="F340" s="706"/>
      <c r="G340" s="14">
        <f t="shared" si="76"/>
        <v>1</v>
      </c>
      <c r="H340" s="706"/>
      <c r="I340" s="14">
        <f t="shared" si="77"/>
        <v>0.08</v>
      </c>
      <c r="J340" s="706"/>
      <c r="K340" s="14">
        <f t="shared" si="78"/>
        <v>1</v>
      </c>
      <c r="L340" s="706"/>
      <c r="M340" s="14">
        <f t="shared" si="79"/>
        <v>1</v>
      </c>
      <c r="N340" s="706"/>
      <c r="O340" s="14">
        <f t="shared" si="80"/>
        <v>1</v>
      </c>
      <c r="P340" s="706"/>
      <c r="Q340" s="14">
        <f t="shared" si="81"/>
        <v>0</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6"/>
      <c r="E341" s="14">
        <f t="shared" si="75"/>
        <v>0.18</v>
      </c>
      <c r="F341" s="706"/>
      <c r="G341" s="14">
        <f t="shared" si="76"/>
        <v>1</v>
      </c>
      <c r="H341" s="706"/>
      <c r="I341" s="14">
        <f t="shared" si="77"/>
        <v>0.08</v>
      </c>
      <c r="J341" s="706"/>
      <c r="K341" s="14">
        <f t="shared" si="78"/>
        <v>1</v>
      </c>
      <c r="L341" s="706"/>
      <c r="M341" s="14">
        <f t="shared" si="79"/>
        <v>1</v>
      </c>
      <c r="N341" s="706"/>
      <c r="O341" s="14">
        <f t="shared" si="80"/>
        <v>1</v>
      </c>
      <c r="P341" s="706"/>
      <c r="Q341" s="14">
        <f t="shared" si="81"/>
        <v>0</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6"/>
      <c r="E342" s="14">
        <f t="shared" si="75"/>
        <v>0.18</v>
      </c>
      <c r="F342" s="706"/>
      <c r="G342" s="14">
        <f t="shared" si="76"/>
        <v>1</v>
      </c>
      <c r="H342" s="706"/>
      <c r="I342" s="14">
        <f t="shared" si="77"/>
        <v>0.08</v>
      </c>
      <c r="J342" s="706"/>
      <c r="K342" s="14">
        <f t="shared" si="78"/>
        <v>1</v>
      </c>
      <c r="L342" s="706"/>
      <c r="M342" s="14">
        <f t="shared" si="79"/>
        <v>1</v>
      </c>
      <c r="N342" s="706"/>
      <c r="O342" s="14">
        <f t="shared" si="80"/>
        <v>1</v>
      </c>
      <c r="P342" s="706"/>
      <c r="Q342" s="14">
        <f t="shared" si="81"/>
        <v>0</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6"/>
      <c r="E343" s="14">
        <f t="shared" si="75"/>
        <v>0.18</v>
      </c>
      <c r="F343" s="706"/>
      <c r="G343" s="14">
        <f t="shared" si="76"/>
        <v>1</v>
      </c>
      <c r="H343" s="706"/>
      <c r="I343" s="14">
        <f t="shared" si="77"/>
        <v>0.08</v>
      </c>
      <c r="J343" s="706"/>
      <c r="K343" s="14">
        <f t="shared" si="78"/>
        <v>1</v>
      </c>
      <c r="L343" s="706"/>
      <c r="M343" s="14">
        <f t="shared" si="79"/>
        <v>1</v>
      </c>
      <c r="N343" s="706"/>
      <c r="O343" s="14">
        <f t="shared" si="80"/>
        <v>1</v>
      </c>
      <c r="P343" s="706"/>
      <c r="Q343" s="14">
        <f t="shared" si="81"/>
        <v>0</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6"/>
      <c r="E344" s="14">
        <f t="shared" si="75"/>
        <v>0.18</v>
      </c>
      <c r="F344" s="706"/>
      <c r="G344" s="14">
        <f t="shared" si="76"/>
        <v>1</v>
      </c>
      <c r="H344" s="706"/>
      <c r="I344" s="14">
        <f t="shared" si="77"/>
        <v>0.08</v>
      </c>
      <c r="J344" s="706"/>
      <c r="K344" s="14">
        <f t="shared" si="78"/>
        <v>1</v>
      </c>
      <c r="L344" s="706"/>
      <c r="M344" s="14">
        <f t="shared" si="79"/>
        <v>1</v>
      </c>
      <c r="N344" s="706"/>
      <c r="O344" s="14">
        <f t="shared" si="80"/>
        <v>1</v>
      </c>
      <c r="P344" s="706"/>
      <c r="Q344" s="14">
        <f t="shared" si="81"/>
        <v>0</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6"/>
      <c r="E345" s="14">
        <f t="shared" si="75"/>
        <v>0.18</v>
      </c>
      <c r="F345" s="706"/>
      <c r="G345" s="14">
        <f t="shared" si="76"/>
        <v>1</v>
      </c>
      <c r="H345" s="706"/>
      <c r="I345" s="14">
        <f t="shared" si="77"/>
        <v>0.08</v>
      </c>
      <c r="J345" s="706"/>
      <c r="K345" s="14">
        <f t="shared" si="78"/>
        <v>1</v>
      </c>
      <c r="L345" s="706"/>
      <c r="M345" s="14">
        <f t="shared" si="79"/>
        <v>1</v>
      </c>
      <c r="N345" s="706"/>
      <c r="O345" s="14">
        <f t="shared" si="80"/>
        <v>1</v>
      </c>
      <c r="P345" s="706"/>
      <c r="Q345" s="14">
        <f t="shared" si="81"/>
        <v>0</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6"/>
      <c r="E346" s="14">
        <f t="shared" si="75"/>
        <v>0.18</v>
      </c>
      <c r="F346" s="706"/>
      <c r="G346" s="14">
        <f t="shared" si="76"/>
        <v>1</v>
      </c>
      <c r="H346" s="706"/>
      <c r="I346" s="14">
        <f t="shared" si="77"/>
        <v>0.08</v>
      </c>
      <c r="J346" s="706"/>
      <c r="K346" s="14">
        <f t="shared" si="78"/>
        <v>1</v>
      </c>
      <c r="L346" s="706"/>
      <c r="M346" s="14">
        <f t="shared" si="79"/>
        <v>1</v>
      </c>
      <c r="N346" s="706"/>
      <c r="O346" s="14">
        <f t="shared" si="80"/>
        <v>1</v>
      </c>
      <c r="P346" s="706"/>
      <c r="Q346" s="14">
        <f t="shared" si="81"/>
        <v>0</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6"/>
      <c r="E347" s="14">
        <f t="shared" si="75"/>
        <v>0.18</v>
      </c>
      <c r="F347" s="706"/>
      <c r="G347" s="14">
        <f t="shared" si="76"/>
        <v>1</v>
      </c>
      <c r="H347" s="706"/>
      <c r="I347" s="14">
        <f t="shared" si="77"/>
        <v>0.08</v>
      </c>
      <c r="J347" s="706"/>
      <c r="K347" s="14">
        <f t="shared" si="78"/>
        <v>1</v>
      </c>
      <c r="L347" s="706"/>
      <c r="M347" s="14">
        <f t="shared" si="79"/>
        <v>1</v>
      </c>
      <c r="N347" s="706"/>
      <c r="O347" s="14">
        <f t="shared" si="80"/>
        <v>1</v>
      </c>
      <c r="P347" s="706"/>
      <c r="Q347" s="14">
        <f t="shared" si="81"/>
        <v>0</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6"/>
      <c r="E348" s="14">
        <f t="shared" ref="E348:E411" si="90">(SUMIF($8:$8,D348,$9:$9)-SUMIF($8:$8,$D$27,$9:$9)+100)/100</f>
        <v>0.18</v>
      </c>
      <c r="F348" s="706"/>
      <c r="G348" s="14">
        <f t="shared" ref="G348:G411" si="91">(SUMIF($10:$10,F348,$11:$11)-SUMIF($10:$10,$F$27,$11:$11)+100)/100</f>
        <v>1</v>
      </c>
      <c r="H348" s="706"/>
      <c r="I348" s="14">
        <f t="shared" ref="I348:I411" si="92">(SUMIF($12:$12,H348,$13:$13)-SUMIF($12:$12,$H$27,$13:$13)+100)/100</f>
        <v>0.08</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6"/>
      <c r="E349" s="14">
        <f t="shared" si="90"/>
        <v>0.18</v>
      </c>
      <c r="F349" s="706"/>
      <c r="G349" s="14">
        <f t="shared" si="91"/>
        <v>1</v>
      </c>
      <c r="H349" s="706"/>
      <c r="I349" s="14">
        <f t="shared" si="92"/>
        <v>0.08</v>
      </c>
      <c r="J349" s="706"/>
      <c r="K349" s="14">
        <f t="shared" si="93"/>
        <v>1</v>
      </c>
      <c r="L349" s="706"/>
      <c r="M349" s="14">
        <f t="shared" si="94"/>
        <v>1</v>
      </c>
      <c r="N349" s="706"/>
      <c r="O349" s="14">
        <f t="shared" si="95"/>
        <v>1</v>
      </c>
      <c r="P349" s="706"/>
      <c r="Q349" s="14">
        <f t="shared" si="96"/>
        <v>0</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6"/>
      <c r="E350" s="14">
        <f t="shared" si="90"/>
        <v>0.18</v>
      </c>
      <c r="F350" s="706"/>
      <c r="G350" s="14">
        <f t="shared" si="91"/>
        <v>1</v>
      </c>
      <c r="H350" s="706"/>
      <c r="I350" s="14">
        <f t="shared" si="92"/>
        <v>0.08</v>
      </c>
      <c r="J350" s="706"/>
      <c r="K350" s="14">
        <f t="shared" si="93"/>
        <v>1</v>
      </c>
      <c r="L350" s="706"/>
      <c r="M350" s="14">
        <f t="shared" si="94"/>
        <v>1</v>
      </c>
      <c r="N350" s="706"/>
      <c r="O350" s="14">
        <f t="shared" si="95"/>
        <v>1</v>
      </c>
      <c r="P350" s="706"/>
      <c r="Q350" s="14">
        <f t="shared" si="96"/>
        <v>0</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6"/>
      <c r="E351" s="14">
        <f t="shared" si="90"/>
        <v>0.18</v>
      </c>
      <c r="F351" s="706"/>
      <c r="G351" s="14">
        <f t="shared" si="91"/>
        <v>1</v>
      </c>
      <c r="H351" s="706"/>
      <c r="I351" s="14">
        <f t="shared" si="92"/>
        <v>0.08</v>
      </c>
      <c r="J351" s="706"/>
      <c r="K351" s="14">
        <f t="shared" si="93"/>
        <v>1</v>
      </c>
      <c r="L351" s="706"/>
      <c r="M351" s="14">
        <f t="shared" si="94"/>
        <v>1</v>
      </c>
      <c r="N351" s="706"/>
      <c r="O351" s="14">
        <f t="shared" si="95"/>
        <v>1</v>
      </c>
      <c r="P351" s="706"/>
      <c r="Q351" s="14">
        <f t="shared" si="96"/>
        <v>0</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6"/>
      <c r="E352" s="14">
        <f t="shared" si="90"/>
        <v>0.18</v>
      </c>
      <c r="F352" s="706"/>
      <c r="G352" s="14">
        <f t="shared" si="91"/>
        <v>1</v>
      </c>
      <c r="H352" s="706"/>
      <c r="I352" s="14">
        <f t="shared" si="92"/>
        <v>0.08</v>
      </c>
      <c r="J352" s="706"/>
      <c r="K352" s="14">
        <f t="shared" si="93"/>
        <v>1</v>
      </c>
      <c r="L352" s="706"/>
      <c r="M352" s="14">
        <f t="shared" si="94"/>
        <v>1</v>
      </c>
      <c r="N352" s="706"/>
      <c r="O352" s="14">
        <f t="shared" si="95"/>
        <v>1</v>
      </c>
      <c r="P352" s="706"/>
      <c r="Q352" s="14">
        <f t="shared" si="96"/>
        <v>0</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6"/>
      <c r="E353" s="14">
        <f t="shared" si="90"/>
        <v>0.18</v>
      </c>
      <c r="F353" s="706"/>
      <c r="G353" s="14">
        <f t="shared" si="91"/>
        <v>1</v>
      </c>
      <c r="H353" s="706"/>
      <c r="I353" s="14">
        <f t="shared" si="92"/>
        <v>0.08</v>
      </c>
      <c r="J353" s="706"/>
      <c r="K353" s="14">
        <f t="shared" si="93"/>
        <v>1</v>
      </c>
      <c r="L353" s="706"/>
      <c r="M353" s="14">
        <f t="shared" si="94"/>
        <v>1</v>
      </c>
      <c r="N353" s="706"/>
      <c r="O353" s="14">
        <f t="shared" si="95"/>
        <v>1</v>
      </c>
      <c r="P353" s="706"/>
      <c r="Q353" s="14">
        <f t="shared" si="96"/>
        <v>0</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6"/>
      <c r="E354" s="14">
        <f t="shared" si="90"/>
        <v>0.18</v>
      </c>
      <c r="F354" s="706"/>
      <c r="G354" s="14">
        <f t="shared" si="91"/>
        <v>1</v>
      </c>
      <c r="H354" s="706"/>
      <c r="I354" s="14">
        <f t="shared" si="92"/>
        <v>0.08</v>
      </c>
      <c r="J354" s="706"/>
      <c r="K354" s="14">
        <f t="shared" si="93"/>
        <v>1</v>
      </c>
      <c r="L354" s="706"/>
      <c r="M354" s="14">
        <f t="shared" si="94"/>
        <v>1</v>
      </c>
      <c r="N354" s="706"/>
      <c r="O354" s="14">
        <f t="shared" si="95"/>
        <v>1</v>
      </c>
      <c r="P354" s="706"/>
      <c r="Q354" s="14">
        <f t="shared" si="96"/>
        <v>0</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6"/>
      <c r="E355" s="14">
        <f t="shared" si="90"/>
        <v>0.18</v>
      </c>
      <c r="F355" s="706"/>
      <c r="G355" s="14">
        <f t="shared" si="91"/>
        <v>1</v>
      </c>
      <c r="H355" s="706"/>
      <c r="I355" s="14">
        <f t="shared" si="92"/>
        <v>0.08</v>
      </c>
      <c r="J355" s="706"/>
      <c r="K355" s="14">
        <f t="shared" si="93"/>
        <v>1</v>
      </c>
      <c r="L355" s="706"/>
      <c r="M355" s="14">
        <f t="shared" si="94"/>
        <v>1</v>
      </c>
      <c r="N355" s="706"/>
      <c r="O355" s="14">
        <f t="shared" si="95"/>
        <v>1</v>
      </c>
      <c r="P355" s="706"/>
      <c r="Q355" s="14">
        <f t="shared" si="96"/>
        <v>0</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6"/>
      <c r="E356" s="14">
        <f t="shared" si="90"/>
        <v>0.18</v>
      </c>
      <c r="F356" s="706"/>
      <c r="G356" s="14">
        <f t="shared" si="91"/>
        <v>1</v>
      </c>
      <c r="H356" s="706"/>
      <c r="I356" s="14">
        <f t="shared" si="92"/>
        <v>0.08</v>
      </c>
      <c r="J356" s="706"/>
      <c r="K356" s="14">
        <f t="shared" si="93"/>
        <v>1</v>
      </c>
      <c r="L356" s="706"/>
      <c r="M356" s="14">
        <f t="shared" si="94"/>
        <v>1</v>
      </c>
      <c r="N356" s="706"/>
      <c r="O356" s="14">
        <f t="shared" si="95"/>
        <v>1</v>
      </c>
      <c r="P356" s="706"/>
      <c r="Q356" s="14">
        <f t="shared" si="96"/>
        <v>0</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6"/>
      <c r="E357" s="14">
        <f t="shared" si="90"/>
        <v>0.18</v>
      </c>
      <c r="F357" s="706"/>
      <c r="G357" s="14">
        <f t="shared" si="91"/>
        <v>1</v>
      </c>
      <c r="H357" s="706"/>
      <c r="I357" s="14">
        <f t="shared" si="92"/>
        <v>0.08</v>
      </c>
      <c r="J357" s="706"/>
      <c r="K357" s="14">
        <f t="shared" si="93"/>
        <v>1</v>
      </c>
      <c r="L357" s="706"/>
      <c r="M357" s="14">
        <f t="shared" si="94"/>
        <v>1</v>
      </c>
      <c r="N357" s="706"/>
      <c r="O357" s="14">
        <f t="shared" si="95"/>
        <v>1</v>
      </c>
      <c r="P357" s="706"/>
      <c r="Q357" s="14">
        <f t="shared" si="96"/>
        <v>0</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6"/>
      <c r="E358" s="14">
        <f t="shared" si="90"/>
        <v>0.18</v>
      </c>
      <c r="F358" s="706"/>
      <c r="G358" s="14">
        <f t="shared" si="91"/>
        <v>1</v>
      </c>
      <c r="H358" s="706"/>
      <c r="I358" s="14">
        <f t="shared" si="92"/>
        <v>0.08</v>
      </c>
      <c r="J358" s="706"/>
      <c r="K358" s="14">
        <f t="shared" si="93"/>
        <v>1</v>
      </c>
      <c r="L358" s="706"/>
      <c r="M358" s="14">
        <f t="shared" si="94"/>
        <v>1</v>
      </c>
      <c r="N358" s="706"/>
      <c r="O358" s="14">
        <f t="shared" si="95"/>
        <v>1</v>
      </c>
      <c r="P358" s="706"/>
      <c r="Q358" s="14">
        <f t="shared" si="96"/>
        <v>0</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6"/>
      <c r="E359" s="14">
        <f t="shared" si="90"/>
        <v>0.18</v>
      </c>
      <c r="F359" s="706"/>
      <c r="G359" s="14">
        <f t="shared" si="91"/>
        <v>1</v>
      </c>
      <c r="H359" s="706"/>
      <c r="I359" s="14">
        <f t="shared" si="92"/>
        <v>0.08</v>
      </c>
      <c r="J359" s="706"/>
      <c r="K359" s="14">
        <f t="shared" si="93"/>
        <v>1</v>
      </c>
      <c r="L359" s="706"/>
      <c r="M359" s="14">
        <f t="shared" si="94"/>
        <v>1</v>
      </c>
      <c r="N359" s="706"/>
      <c r="O359" s="14">
        <f t="shared" si="95"/>
        <v>1</v>
      </c>
      <c r="P359" s="706"/>
      <c r="Q359" s="14">
        <f t="shared" si="96"/>
        <v>0</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6"/>
      <c r="E360" s="14">
        <f t="shared" si="90"/>
        <v>0.18</v>
      </c>
      <c r="F360" s="706"/>
      <c r="G360" s="14">
        <f t="shared" si="91"/>
        <v>1</v>
      </c>
      <c r="H360" s="706"/>
      <c r="I360" s="14">
        <f t="shared" si="92"/>
        <v>0.08</v>
      </c>
      <c r="J360" s="706"/>
      <c r="K360" s="14">
        <f t="shared" si="93"/>
        <v>1</v>
      </c>
      <c r="L360" s="706"/>
      <c r="M360" s="14">
        <f t="shared" si="94"/>
        <v>1</v>
      </c>
      <c r="N360" s="706"/>
      <c r="O360" s="14">
        <f t="shared" si="95"/>
        <v>1</v>
      </c>
      <c r="P360" s="706"/>
      <c r="Q360" s="14">
        <f t="shared" si="96"/>
        <v>0</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6"/>
      <c r="E361" s="14">
        <f t="shared" si="90"/>
        <v>0.18</v>
      </c>
      <c r="F361" s="706"/>
      <c r="G361" s="14">
        <f t="shared" si="91"/>
        <v>1</v>
      </c>
      <c r="H361" s="706"/>
      <c r="I361" s="14">
        <f t="shared" si="92"/>
        <v>0.08</v>
      </c>
      <c r="J361" s="706"/>
      <c r="K361" s="14">
        <f t="shared" si="93"/>
        <v>1</v>
      </c>
      <c r="L361" s="706"/>
      <c r="M361" s="14">
        <f t="shared" si="94"/>
        <v>1</v>
      </c>
      <c r="N361" s="706"/>
      <c r="O361" s="14">
        <f t="shared" si="95"/>
        <v>1</v>
      </c>
      <c r="P361" s="706"/>
      <c r="Q361" s="14">
        <f t="shared" si="96"/>
        <v>0</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6"/>
      <c r="E362" s="14">
        <f t="shared" si="90"/>
        <v>0.18</v>
      </c>
      <c r="F362" s="706"/>
      <c r="G362" s="14">
        <f t="shared" si="91"/>
        <v>1</v>
      </c>
      <c r="H362" s="706"/>
      <c r="I362" s="14">
        <f t="shared" si="92"/>
        <v>0.08</v>
      </c>
      <c r="J362" s="706"/>
      <c r="K362" s="14">
        <f t="shared" si="93"/>
        <v>1</v>
      </c>
      <c r="L362" s="706"/>
      <c r="M362" s="14">
        <f t="shared" si="94"/>
        <v>1</v>
      </c>
      <c r="N362" s="706"/>
      <c r="O362" s="14">
        <f t="shared" si="95"/>
        <v>1</v>
      </c>
      <c r="P362" s="706"/>
      <c r="Q362" s="14">
        <f t="shared" si="96"/>
        <v>0</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6"/>
      <c r="E363" s="14">
        <f t="shared" si="90"/>
        <v>0.18</v>
      </c>
      <c r="F363" s="706"/>
      <c r="G363" s="14">
        <f t="shared" si="91"/>
        <v>1</v>
      </c>
      <c r="H363" s="706"/>
      <c r="I363" s="14">
        <f t="shared" si="92"/>
        <v>0.08</v>
      </c>
      <c r="J363" s="706"/>
      <c r="K363" s="14">
        <f t="shared" si="93"/>
        <v>1</v>
      </c>
      <c r="L363" s="706"/>
      <c r="M363" s="14">
        <f t="shared" si="94"/>
        <v>1</v>
      </c>
      <c r="N363" s="706"/>
      <c r="O363" s="14">
        <f t="shared" si="95"/>
        <v>1</v>
      </c>
      <c r="P363" s="706"/>
      <c r="Q363" s="14">
        <f t="shared" si="96"/>
        <v>0</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6"/>
      <c r="E364" s="14">
        <f t="shared" si="90"/>
        <v>0.18</v>
      </c>
      <c r="F364" s="706"/>
      <c r="G364" s="14">
        <f t="shared" si="91"/>
        <v>1</v>
      </c>
      <c r="H364" s="706"/>
      <c r="I364" s="14">
        <f t="shared" si="92"/>
        <v>0.08</v>
      </c>
      <c r="J364" s="706"/>
      <c r="K364" s="14">
        <f t="shared" si="93"/>
        <v>1</v>
      </c>
      <c r="L364" s="706"/>
      <c r="M364" s="14">
        <f t="shared" si="94"/>
        <v>1</v>
      </c>
      <c r="N364" s="706"/>
      <c r="O364" s="14">
        <f t="shared" si="95"/>
        <v>1</v>
      </c>
      <c r="P364" s="706"/>
      <c r="Q364" s="14">
        <f t="shared" si="96"/>
        <v>0</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6"/>
      <c r="E365" s="14">
        <f t="shared" si="90"/>
        <v>0.18</v>
      </c>
      <c r="F365" s="706"/>
      <c r="G365" s="14">
        <f t="shared" si="91"/>
        <v>1</v>
      </c>
      <c r="H365" s="706"/>
      <c r="I365" s="14">
        <f t="shared" si="92"/>
        <v>0.08</v>
      </c>
      <c r="J365" s="706"/>
      <c r="K365" s="14">
        <f t="shared" si="93"/>
        <v>1</v>
      </c>
      <c r="L365" s="706"/>
      <c r="M365" s="14">
        <f t="shared" si="94"/>
        <v>1</v>
      </c>
      <c r="N365" s="706"/>
      <c r="O365" s="14">
        <f t="shared" si="95"/>
        <v>1</v>
      </c>
      <c r="P365" s="706"/>
      <c r="Q365" s="14">
        <f t="shared" si="96"/>
        <v>0</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6"/>
      <c r="E366" s="14">
        <f t="shared" si="90"/>
        <v>0.18</v>
      </c>
      <c r="F366" s="706"/>
      <c r="G366" s="14">
        <f t="shared" si="91"/>
        <v>1</v>
      </c>
      <c r="H366" s="706"/>
      <c r="I366" s="14">
        <f t="shared" si="92"/>
        <v>0.08</v>
      </c>
      <c r="J366" s="706"/>
      <c r="K366" s="14">
        <f t="shared" si="93"/>
        <v>1</v>
      </c>
      <c r="L366" s="706"/>
      <c r="M366" s="14">
        <f t="shared" si="94"/>
        <v>1</v>
      </c>
      <c r="N366" s="706"/>
      <c r="O366" s="14">
        <f t="shared" si="95"/>
        <v>1</v>
      </c>
      <c r="P366" s="706"/>
      <c r="Q366" s="14">
        <f t="shared" si="96"/>
        <v>0</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6"/>
      <c r="E367" s="14">
        <f t="shared" si="90"/>
        <v>0.18</v>
      </c>
      <c r="F367" s="706"/>
      <c r="G367" s="14">
        <f t="shared" si="91"/>
        <v>1</v>
      </c>
      <c r="H367" s="706"/>
      <c r="I367" s="14">
        <f t="shared" si="92"/>
        <v>0.08</v>
      </c>
      <c r="J367" s="706"/>
      <c r="K367" s="14">
        <f t="shared" si="93"/>
        <v>1</v>
      </c>
      <c r="L367" s="706"/>
      <c r="M367" s="14">
        <f t="shared" si="94"/>
        <v>1</v>
      </c>
      <c r="N367" s="706"/>
      <c r="O367" s="14">
        <f t="shared" si="95"/>
        <v>1</v>
      </c>
      <c r="P367" s="706"/>
      <c r="Q367" s="14">
        <f t="shared" si="96"/>
        <v>0</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6"/>
      <c r="E368" s="14">
        <f t="shared" si="90"/>
        <v>0.18</v>
      </c>
      <c r="F368" s="706"/>
      <c r="G368" s="14">
        <f t="shared" si="91"/>
        <v>1</v>
      </c>
      <c r="H368" s="706"/>
      <c r="I368" s="14">
        <f t="shared" si="92"/>
        <v>0.08</v>
      </c>
      <c r="J368" s="706"/>
      <c r="K368" s="14">
        <f t="shared" si="93"/>
        <v>1</v>
      </c>
      <c r="L368" s="706"/>
      <c r="M368" s="14">
        <f t="shared" si="94"/>
        <v>1</v>
      </c>
      <c r="N368" s="706"/>
      <c r="O368" s="14">
        <f t="shared" si="95"/>
        <v>1</v>
      </c>
      <c r="P368" s="706"/>
      <c r="Q368" s="14">
        <f t="shared" si="96"/>
        <v>0</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6"/>
      <c r="E369" s="14">
        <f t="shared" si="90"/>
        <v>0.18</v>
      </c>
      <c r="F369" s="706"/>
      <c r="G369" s="14">
        <f t="shared" si="91"/>
        <v>1</v>
      </c>
      <c r="H369" s="706"/>
      <c r="I369" s="14">
        <f t="shared" si="92"/>
        <v>0.08</v>
      </c>
      <c r="J369" s="706"/>
      <c r="K369" s="14">
        <f t="shared" si="93"/>
        <v>1</v>
      </c>
      <c r="L369" s="706"/>
      <c r="M369" s="14">
        <f t="shared" si="94"/>
        <v>1</v>
      </c>
      <c r="N369" s="706"/>
      <c r="O369" s="14">
        <f t="shared" si="95"/>
        <v>1</v>
      </c>
      <c r="P369" s="706"/>
      <c r="Q369" s="14">
        <f t="shared" si="96"/>
        <v>0</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6"/>
      <c r="E370" s="14">
        <f t="shared" si="90"/>
        <v>0.18</v>
      </c>
      <c r="F370" s="706"/>
      <c r="G370" s="14">
        <f t="shared" si="91"/>
        <v>1</v>
      </c>
      <c r="H370" s="706"/>
      <c r="I370" s="14">
        <f t="shared" si="92"/>
        <v>0.08</v>
      </c>
      <c r="J370" s="706"/>
      <c r="K370" s="14">
        <f t="shared" si="93"/>
        <v>1</v>
      </c>
      <c r="L370" s="706"/>
      <c r="M370" s="14">
        <f t="shared" si="94"/>
        <v>1</v>
      </c>
      <c r="N370" s="706"/>
      <c r="O370" s="14">
        <f t="shared" si="95"/>
        <v>1</v>
      </c>
      <c r="P370" s="706"/>
      <c r="Q370" s="14">
        <f t="shared" si="96"/>
        <v>0</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6"/>
      <c r="E371" s="14">
        <f t="shared" si="90"/>
        <v>0.18</v>
      </c>
      <c r="F371" s="706"/>
      <c r="G371" s="14">
        <f t="shared" si="91"/>
        <v>1</v>
      </c>
      <c r="H371" s="706"/>
      <c r="I371" s="14">
        <f t="shared" si="92"/>
        <v>0.08</v>
      </c>
      <c r="J371" s="706"/>
      <c r="K371" s="14">
        <f t="shared" si="93"/>
        <v>1</v>
      </c>
      <c r="L371" s="706"/>
      <c r="M371" s="14">
        <f t="shared" si="94"/>
        <v>1</v>
      </c>
      <c r="N371" s="706"/>
      <c r="O371" s="14">
        <f t="shared" si="95"/>
        <v>1</v>
      </c>
      <c r="P371" s="706"/>
      <c r="Q371" s="14">
        <f t="shared" si="96"/>
        <v>0</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6"/>
      <c r="E372" s="14">
        <f t="shared" si="90"/>
        <v>0.18</v>
      </c>
      <c r="F372" s="706"/>
      <c r="G372" s="14">
        <f t="shared" si="91"/>
        <v>1</v>
      </c>
      <c r="H372" s="706"/>
      <c r="I372" s="14">
        <f t="shared" si="92"/>
        <v>0.08</v>
      </c>
      <c r="J372" s="706"/>
      <c r="K372" s="14">
        <f t="shared" si="93"/>
        <v>1</v>
      </c>
      <c r="L372" s="706"/>
      <c r="M372" s="14">
        <f t="shared" si="94"/>
        <v>1</v>
      </c>
      <c r="N372" s="706"/>
      <c r="O372" s="14">
        <f t="shared" si="95"/>
        <v>1</v>
      </c>
      <c r="P372" s="706"/>
      <c r="Q372" s="14">
        <f t="shared" si="96"/>
        <v>0</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6"/>
      <c r="E373" s="14">
        <f t="shared" si="90"/>
        <v>0.18</v>
      </c>
      <c r="F373" s="706"/>
      <c r="G373" s="14">
        <f t="shared" si="91"/>
        <v>1</v>
      </c>
      <c r="H373" s="706"/>
      <c r="I373" s="14">
        <f t="shared" si="92"/>
        <v>0.08</v>
      </c>
      <c r="J373" s="706"/>
      <c r="K373" s="14">
        <f t="shared" si="93"/>
        <v>1</v>
      </c>
      <c r="L373" s="706"/>
      <c r="M373" s="14">
        <f t="shared" si="94"/>
        <v>1</v>
      </c>
      <c r="N373" s="706"/>
      <c r="O373" s="14">
        <f t="shared" si="95"/>
        <v>1</v>
      </c>
      <c r="P373" s="706"/>
      <c r="Q373" s="14">
        <f t="shared" si="96"/>
        <v>0</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6"/>
      <c r="E374" s="14">
        <f t="shared" si="90"/>
        <v>0.18</v>
      </c>
      <c r="F374" s="706"/>
      <c r="G374" s="14">
        <f t="shared" si="91"/>
        <v>1</v>
      </c>
      <c r="H374" s="706"/>
      <c r="I374" s="14">
        <f t="shared" si="92"/>
        <v>0.08</v>
      </c>
      <c r="J374" s="706"/>
      <c r="K374" s="14">
        <f t="shared" si="93"/>
        <v>1</v>
      </c>
      <c r="L374" s="706"/>
      <c r="M374" s="14">
        <f t="shared" si="94"/>
        <v>1</v>
      </c>
      <c r="N374" s="706"/>
      <c r="O374" s="14">
        <f t="shared" si="95"/>
        <v>1</v>
      </c>
      <c r="P374" s="706"/>
      <c r="Q374" s="14">
        <f t="shared" si="96"/>
        <v>0</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6"/>
      <c r="E375" s="14">
        <f t="shared" si="90"/>
        <v>0.18</v>
      </c>
      <c r="F375" s="706"/>
      <c r="G375" s="14">
        <f t="shared" si="91"/>
        <v>1</v>
      </c>
      <c r="H375" s="706"/>
      <c r="I375" s="14">
        <f t="shared" si="92"/>
        <v>0.08</v>
      </c>
      <c r="J375" s="706"/>
      <c r="K375" s="14">
        <f t="shared" si="93"/>
        <v>1</v>
      </c>
      <c r="L375" s="706"/>
      <c r="M375" s="14">
        <f t="shared" si="94"/>
        <v>1</v>
      </c>
      <c r="N375" s="706"/>
      <c r="O375" s="14">
        <f t="shared" si="95"/>
        <v>1</v>
      </c>
      <c r="P375" s="706"/>
      <c r="Q375" s="14">
        <f t="shared" si="96"/>
        <v>0</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6"/>
      <c r="E376" s="14">
        <f t="shared" si="90"/>
        <v>0.18</v>
      </c>
      <c r="F376" s="706"/>
      <c r="G376" s="14">
        <f t="shared" si="91"/>
        <v>1</v>
      </c>
      <c r="H376" s="706"/>
      <c r="I376" s="14">
        <f t="shared" si="92"/>
        <v>0.08</v>
      </c>
      <c r="J376" s="706"/>
      <c r="K376" s="14">
        <f t="shared" si="93"/>
        <v>1</v>
      </c>
      <c r="L376" s="706"/>
      <c r="M376" s="14">
        <f t="shared" si="94"/>
        <v>1</v>
      </c>
      <c r="N376" s="706"/>
      <c r="O376" s="14">
        <f t="shared" si="95"/>
        <v>1</v>
      </c>
      <c r="P376" s="706"/>
      <c r="Q376" s="14">
        <f t="shared" si="96"/>
        <v>0</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6"/>
      <c r="E377" s="14">
        <f t="shared" si="90"/>
        <v>0.18</v>
      </c>
      <c r="F377" s="706"/>
      <c r="G377" s="14">
        <f t="shared" si="91"/>
        <v>1</v>
      </c>
      <c r="H377" s="706"/>
      <c r="I377" s="14">
        <f t="shared" si="92"/>
        <v>0.08</v>
      </c>
      <c r="J377" s="706"/>
      <c r="K377" s="14">
        <f t="shared" si="93"/>
        <v>1</v>
      </c>
      <c r="L377" s="706"/>
      <c r="M377" s="14">
        <f t="shared" si="94"/>
        <v>1</v>
      </c>
      <c r="N377" s="706"/>
      <c r="O377" s="14">
        <f t="shared" si="95"/>
        <v>1</v>
      </c>
      <c r="P377" s="706"/>
      <c r="Q377" s="14">
        <f t="shared" si="96"/>
        <v>0</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6"/>
      <c r="E378" s="14">
        <f t="shared" si="90"/>
        <v>0.18</v>
      </c>
      <c r="F378" s="706"/>
      <c r="G378" s="14">
        <f t="shared" si="91"/>
        <v>1</v>
      </c>
      <c r="H378" s="706"/>
      <c r="I378" s="14">
        <f t="shared" si="92"/>
        <v>0.08</v>
      </c>
      <c r="J378" s="706"/>
      <c r="K378" s="14">
        <f t="shared" si="93"/>
        <v>1</v>
      </c>
      <c r="L378" s="706"/>
      <c r="M378" s="14">
        <f t="shared" si="94"/>
        <v>1</v>
      </c>
      <c r="N378" s="706"/>
      <c r="O378" s="14">
        <f t="shared" si="95"/>
        <v>1</v>
      </c>
      <c r="P378" s="706"/>
      <c r="Q378" s="14">
        <f t="shared" si="96"/>
        <v>0</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6"/>
      <c r="E379" s="14">
        <f t="shared" si="90"/>
        <v>0.18</v>
      </c>
      <c r="F379" s="706"/>
      <c r="G379" s="14">
        <f t="shared" si="91"/>
        <v>1</v>
      </c>
      <c r="H379" s="706"/>
      <c r="I379" s="14">
        <f t="shared" si="92"/>
        <v>0.08</v>
      </c>
      <c r="J379" s="706"/>
      <c r="K379" s="14">
        <f t="shared" si="93"/>
        <v>1</v>
      </c>
      <c r="L379" s="706"/>
      <c r="M379" s="14">
        <f t="shared" si="94"/>
        <v>1</v>
      </c>
      <c r="N379" s="706"/>
      <c r="O379" s="14">
        <f t="shared" si="95"/>
        <v>1</v>
      </c>
      <c r="P379" s="706"/>
      <c r="Q379" s="14">
        <f t="shared" si="96"/>
        <v>0</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6"/>
      <c r="E380" s="14">
        <f t="shared" si="90"/>
        <v>0.18</v>
      </c>
      <c r="F380" s="706"/>
      <c r="G380" s="14">
        <f t="shared" si="91"/>
        <v>1</v>
      </c>
      <c r="H380" s="706"/>
      <c r="I380" s="14">
        <f t="shared" si="92"/>
        <v>0.08</v>
      </c>
      <c r="J380" s="706"/>
      <c r="K380" s="14">
        <f t="shared" si="93"/>
        <v>1</v>
      </c>
      <c r="L380" s="706"/>
      <c r="M380" s="14">
        <f t="shared" si="94"/>
        <v>1</v>
      </c>
      <c r="N380" s="706"/>
      <c r="O380" s="14">
        <f t="shared" si="95"/>
        <v>1</v>
      </c>
      <c r="P380" s="706"/>
      <c r="Q380" s="14">
        <f t="shared" si="96"/>
        <v>0</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6"/>
      <c r="E381" s="14">
        <f t="shared" si="90"/>
        <v>0.18</v>
      </c>
      <c r="F381" s="706"/>
      <c r="G381" s="14">
        <f t="shared" si="91"/>
        <v>1</v>
      </c>
      <c r="H381" s="706"/>
      <c r="I381" s="14">
        <f t="shared" si="92"/>
        <v>0.08</v>
      </c>
      <c r="J381" s="706"/>
      <c r="K381" s="14">
        <f t="shared" si="93"/>
        <v>1</v>
      </c>
      <c r="L381" s="706"/>
      <c r="M381" s="14">
        <f t="shared" si="94"/>
        <v>1</v>
      </c>
      <c r="N381" s="706"/>
      <c r="O381" s="14">
        <f t="shared" si="95"/>
        <v>1</v>
      </c>
      <c r="P381" s="706"/>
      <c r="Q381" s="14">
        <f t="shared" si="96"/>
        <v>0</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6"/>
      <c r="E382" s="14">
        <f t="shared" si="90"/>
        <v>0.18</v>
      </c>
      <c r="F382" s="706"/>
      <c r="G382" s="14">
        <f t="shared" si="91"/>
        <v>1</v>
      </c>
      <c r="H382" s="706"/>
      <c r="I382" s="14">
        <f t="shared" si="92"/>
        <v>0.08</v>
      </c>
      <c r="J382" s="706"/>
      <c r="K382" s="14">
        <f t="shared" si="93"/>
        <v>1</v>
      </c>
      <c r="L382" s="706"/>
      <c r="M382" s="14">
        <f t="shared" si="94"/>
        <v>1</v>
      </c>
      <c r="N382" s="706"/>
      <c r="O382" s="14">
        <f t="shared" si="95"/>
        <v>1</v>
      </c>
      <c r="P382" s="706"/>
      <c r="Q382" s="14">
        <f t="shared" si="96"/>
        <v>0</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6"/>
      <c r="E383" s="14">
        <f t="shared" si="90"/>
        <v>0.18</v>
      </c>
      <c r="F383" s="706"/>
      <c r="G383" s="14">
        <f t="shared" si="91"/>
        <v>1</v>
      </c>
      <c r="H383" s="706"/>
      <c r="I383" s="14">
        <f t="shared" si="92"/>
        <v>0.08</v>
      </c>
      <c r="J383" s="706"/>
      <c r="K383" s="14">
        <f t="shared" si="93"/>
        <v>1</v>
      </c>
      <c r="L383" s="706"/>
      <c r="M383" s="14">
        <f t="shared" si="94"/>
        <v>1</v>
      </c>
      <c r="N383" s="706"/>
      <c r="O383" s="14">
        <f t="shared" si="95"/>
        <v>1</v>
      </c>
      <c r="P383" s="706"/>
      <c r="Q383" s="14">
        <f t="shared" si="96"/>
        <v>0</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6"/>
      <c r="E384" s="14">
        <f t="shared" si="90"/>
        <v>0.18</v>
      </c>
      <c r="F384" s="706"/>
      <c r="G384" s="14">
        <f t="shared" si="91"/>
        <v>1</v>
      </c>
      <c r="H384" s="706"/>
      <c r="I384" s="14">
        <f t="shared" si="92"/>
        <v>0.08</v>
      </c>
      <c r="J384" s="706"/>
      <c r="K384" s="14">
        <f t="shared" si="93"/>
        <v>1</v>
      </c>
      <c r="L384" s="706"/>
      <c r="M384" s="14">
        <f t="shared" si="94"/>
        <v>1</v>
      </c>
      <c r="N384" s="706"/>
      <c r="O384" s="14">
        <f t="shared" si="95"/>
        <v>1</v>
      </c>
      <c r="P384" s="706"/>
      <c r="Q384" s="14">
        <f t="shared" si="96"/>
        <v>0</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6"/>
      <c r="E385" s="14">
        <f t="shared" si="90"/>
        <v>0.18</v>
      </c>
      <c r="F385" s="706"/>
      <c r="G385" s="14">
        <f t="shared" si="91"/>
        <v>1</v>
      </c>
      <c r="H385" s="706"/>
      <c r="I385" s="14">
        <f t="shared" si="92"/>
        <v>0.08</v>
      </c>
      <c r="J385" s="706"/>
      <c r="K385" s="14">
        <f t="shared" si="93"/>
        <v>1</v>
      </c>
      <c r="L385" s="706"/>
      <c r="M385" s="14">
        <f t="shared" si="94"/>
        <v>1</v>
      </c>
      <c r="N385" s="706"/>
      <c r="O385" s="14">
        <f t="shared" si="95"/>
        <v>1</v>
      </c>
      <c r="P385" s="706"/>
      <c r="Q385" s="14">
        <f t="shared" si="96"/>
        <v>0</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6"/>
      <c r="E386" s="14">
        <f t="shared" si="90"/>
        <v>0.18</v>
      </c>
      <c r="F386" s="706"/>
      <c r="G386" s="14">
        <f t="shared" si="91"/>
        <v>1</v>
      </c>
      <c r="H386" s="706"/>
      <c r="I386" s="14">
        <f t="shared" si="92"/>
        <v>0.08</v>
      </c>
      <c r="J386" s="706"/>
      <c r="K386" s="14">
        <f t="shared" si="93"/>
        <v>1</v>
      </c>
      <c r="L386" s="706"/>
      <c r="M386" s="14">
        <f t="shared" si="94"/>
        <v>1</v>
      </c>
      <c r="N386" s="706"/>
      <c r="O386" s="14">
        <f t="shared" si="95"/>
        <v>1</v>
      </c>
      <c r="P386" s="706"/>
      <c r="Q386" s="14">
        <f t="shared" si="96"/>
        <v>0</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6"/>
      <c r="E387" s="14">
        <f t="shared" si="90"/>
        <v>0.18</v>
      </c>
      <c r="F387" s="706"/>
      <c r="G387" s="14">
        <f t="shared" si="91"/>
        <v>1</v>
      </c>
      <c r="H387" s="706"/>
      <c r="I387" s="14">
        <f t="shared" si="92"/>
        <v>0.08</v>
      </c>
      <c r="J387" s="706"/>
      <c r="K387" s="14">
        <f t="shared" si="93"/>
        <v>1</v>
      </c>
      <c r="L387" s="706"/>
      <c r="M387" s="14">
        <f t="shared" si="94"/>
        <v>1</v>
      </c>
      <c r="N387" s="706"/>
      <c r="O387" s="14">
        <f t="shared" si="95"/>
        <v>1</v>
      </c>
      <c r="P387" s="706"/>
      <c r="Q387" s="14">
        <f t="shared" si="96"/>
        <v>0</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6"/>
      <c r="E388" s="14">
        <f t="shared" si="90"/>
        <v>0.18</v>
      </c>
      <c r="F388" s="706"/>
      <c r="G388" s="14">
        <f t="shared" si="91"/>
        <v>1</v>
      </c>
      <c r="H388" s="706"/>
      <c r="I388" s="14">
        <f t="shared" si="92"/>
        <v>0.08</v>
      </c>
      <c r="J388" s="706"/>
      <c r="K388" s="14">
        <f t="shared" si="93"/>
        <v>1</v>
      </c>
      <c r="L388" s="706"/>
      <c r="M388" s="14">
        <f t="shared" si="94"/>
        <v>1</v>
      </c>
      <c r="N388" s="706"/>
      <c r="O388" s="14">
        <f t="shared" si="95"/>
        <v>1</v>
      </c>
      <c r="P388" s="706"/>
      <c r="Q388" s="14">
        <f t="shared" si="96"/>
        <v>0</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6"/>
      <c r="E389" s="14">
        <f t="shared" si="90"/>
        <v>0.18</v>
      </c>
      <c r="F389" s="706"/>
      <c r="G389" s="14">
        <f t="shared" si="91"/>
        <v>1</v>
      </c>
      <c r="H389" s="706"/>
      <c r="I389" s="14">
        <f t="shared" si="92"/>
        <v>0.08</v>
      </c>
      <c r="J389" s="706"/>
      <c r="K389" s="14">
        <f t="shared" si="93"/>
        <v>1</v>
      </c>
      <c r="L389" s="706"/>
      <c r="M389" s="14">
        <f t="shared" si="94"/>
        <v>1</v>
      </c>
      <c r="N389" s="706"/>
      <c r="O389" s="14">
        <f t="shared" si="95"/>
        <v>1</v>
      </c>
      <c r="P389" s="706"/>
      <c r="Q389" s="14">
        <f t="shared" si="96"/>
        <v>0</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6"/>
      <c r="E390" s="14">
        <f t="shared" si="90"/>
        <v>0.18</v>
      </c>
      <c r="F390" s="706"/>
      <c r="G390" s="14">
        <f t="shared" si="91"/>
        <v>1</v>
      </c>
      <c r="H390" s="706"/>
      <c r="I390" s="14">
        <f t="shared" si="92"/>
        <v>0.08</v>
      </c>
      <c r="J390" s="706"/>
      <c r="K390" s="14">
        <f t="shared" si="93"/>
        <v>1</v>
      </c>
      <c r="L390" s="706"/>
      <c r="M390" s="14">
        <f t="shared" si="94"/>
        <v>1</v>
      </c>
      <c r="N390" s="706"/>
      <c r="O390" s="14">
        <f t="shared" si="95"/>
        <v>1</v>
      </c>
      <c r="P390" s="706"/>
      <c r="Q390" s="14">
        <f t="shared" si="96"/>
        <v>0</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6"/>
      <c r="E391" s="14">
        <f t="shared" si="90"/>
        <v>0.18</v>
      </c>
      <c r="F391" s="706"/>
      <c r="G391" s="14">
        <f t="shared" si="91"/>
        <v>1</v>
      </c>
      <c r="H391" s="706"/>
      <c r="I391" s="14">
        <f t="shared" si="92"/>
        <v>0.08</v>
      </c>
      <c r="J391" s="706"/>
      <c r="K391" s="14">
        <f t="shared" si="93"/>
        <v>1</v>
      </c>
      <c r="L391" s="706"/>
      <c r="M391" s="14">
        <f t="shared" si="94"/>
        <v>1</v>
      </c>
      <c r="N391" s="706"/>
      <c r="O391" s="14">
        <f t="shared" si="95"/>
        <v>1</v>
      </c>
      <c r="P391" s="706"/>
      <c r="Q391" s="14">
        <f t="shared" si="96"/>
        <v>0</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6"/>
      <c r="E392" s="14">
        <f t="shared" si="90"/>
        <v>0.18</v>
      </c>
      <c r="F392" s="706"/>
      <c r="G392" s="14">
        <f t="shared" si="91"/>
        <v>1</v>
      </c>
      <c r="H392" s="706"/>
      <c r="I392" s="14">
        <f t="shared" si="92"/>
        <v>0.08</v>
      </c>
      <c r="J392" s="706"/>
      <c r="K392" s="14">
        <f t="shared" si="93"/>
        <v>1</v>
      </c>
      <c r="L392" s="706"/>
      <c r="M392" s="14">
        <f t="shared" si="94"/>
        <v>1</v>
      </c>
      <c r="N392" s="706"/>
      <c r="O392" s="14">
        <f t="shared" si="95"/>
        <v>1</v>
      </c>
      <c r="P392" s="706"/>
      <c r="Q392" s="14">
        <f t="shared" si="96"/>
        <v>0</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6"/>
      <c r="E393" s="14">
        <f t="shared" si="90"/>
        <v>0.18</v>
      </c>
      <c r="F393" s="706"/>
      <c r="G393" s="14">
        <f t="shared" si="91"/>
        <v>1</v>
      </c>
      <c r="H393" s="706"/>
      <c r="I393" s="14">
        <f t="shared" si="92"/>
        <v>0.08</v>
      </c>
      <c r="J393" s="706"/>
      <c r="K393" s="14">
        <f t="shared" si="93"/>
        <v>1</v>
      </c>
      <c r="L393" s="706"/>
      <c r="M393" s="14">
        <f t="shared" si="94"/>
        <v>1</v>
      </c>
      <c r="N393" s="706"/>
      <c r="O393" s="14">
        <f t="shared" si="95"/>
        <v>1</v>
      </c>
      <c r="P393" s="706"/>
      <c r="Q393" s="14">
        <f t="shared" si="96"/>
        <v>0</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6"/>
      <c r="E394" s="14">
        <f t="shared" si="90"/>
        <v>0.18</v>
      </c>
      <c r="F394" s="706"/>
      <c r="G394" s="14">
        <f t="shared" si="91"/>
        <v>1</v>
      </c>
      <c r="H394" s="706"/>
      <c r="I394" s="14">
        <f t="shared" si="92"/>
        <v>0.08</v>
      </c>
      <c r="J394" s="706"/>
      <c r="K394" s="14">
        <f t="shared" si="93"/>
        <v>1</v>
      </c>
      <c r="L394" s="706"/>
      <c r="M394" s="14">
        <f t="shared" si="94"/>
        <v>1</v>
      </c>
      <c r="N394" s="706"/>
      <c r="O394" s="14">
        <f t="shared" si="95"/>
        <v>1</v>
      </c>
      <c r="P394" s="706"/>
      <c r="Q394" s="14">
        <f t="shared" si="96"/>
        <v>0</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6"/>
      <c r="E395" s="14">
        <f t="shared" si="90"/>
        <v>0.18</v>
      </c>
      <c r="F395" s="706"/>
      <c r="G395" s="14">
        <f t="shared" si="91"/>
        <v>1</v>
      </c>
      <c r="H395" s="706"/>
      <c r="I395" s="14">
        <f t="shared" si="92"/>
        <v>0.08</v>
      </c>
      <c r="J395" s="706"/>
      <c r="K395" s="14">
        <f t="shared" si="93"/>
        <v>1</v>
      </c>
      <c r="L395" s="706"/>
      <c r="M395" s="14">
        <f t="shared" si="94"/>
        <v>1</v>
      </c>
      <c r="N395" s="706"/>
      <c r="O395" s="14">
        <f t="shared" si="95"/>
        <v>1</v>
      </c>
      <c r="P395" s="706"/>
      <c r="Q395" s="14">
        <f t="shared" si="96"/>
        <v>0</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6"/>
      <c r="E396" s="14">
        <f t="shared" si="90"/>
        <v>0.18</v>
      </c>
      <c r="F396" s="706"/>
      <c r="G396" s="14">
        <f t="shared" si="91"/>
        <v>1</v>
      </c>
      <c r="H396" s="706"/>
      <c r="I396" s="14">
        <f t="shared" si="92"/>
        <v>0.08</v>
      </c>
      <c r="J396" s="706"/>
      <c r="K396" s="14">
        <f t="shared" si="93"/>
        <v>1</v>
      </c>
      <c r="L396" s="706"/>
      <c r="M396" s="14">
        <f t="shared" si="94"/>
        <v>1</v>
      </c>
      <c r="N396" s="706"/>
      <c r="O396" s="14">
        <f t="shared" si="95"/>
        <v>1</v>
      </c>
      <c r="P396" s="706"/>
      <c r="Q396" s="14">
        <f t="shared" si="96"/>
        <v>0</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6"/>
      <c r="E397" s="14">
        <f t="shared" si="90"/>
        <v>0.18</v>
      </c>
      <c r="F397" s="706"/>
      <c r="G397" s="14">
        <f t="shared" si="91"/>
        <v>1</v>
      </c>
      <c r="H397" s="706"/>
      <c r="I397" s="14">
        <f t="shared" si="92"/>
        <v>0.08</v>
      </c>
      <c r="J397" s="706"/>
      <c r="K397" s="14">
        <f t="shared" si="93"/>
        <v>1</v>
      </c>
      <c r="L397" s="706"/>
      <c r="M397" s="14">
        <f t="shared" si="94"/>
        <v>1</v>
      </c>
      <c r="N397" s="706"/>
      <c r="O397" s="14">
        <f t="shared" si="95"/>
        <v>1</v>
      </c>
      <c r="P397" s="706"/>
      <c r="Q397" s="14">
        <f t="shared" si="96"/>
        <v>0</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6"/>
      <c r="E398" s="14">
        <f t="shared" si="90"/>
        <v>0.18</v>
      </c>
      <c r="F398" s="706"/>
      <c r="G398" s="14">
        <f t="shared" si="91"/>
        <v>1</v>
      </c>
      <c r="H398" s="706"/>
      <c r="I398" s="14">
        <f t="shared" si="92"/>
        <v>0.08</v>
      </c>
      <c r="J398" s="706"/>
      <c r="K398" s="14">
        <f t="shared" si="93"/>
        <v>1</v>
      </c>
      <c r="L398" s="706"/>
      <c r="M398" s="14">
        <f t="shared" si="94"/>
        <v>1</v>
      </c>
      <c r="N398" s="706"/>
      <c r="O398" s="14">
        <f t="shared" si="95"/>
        <v>1</v>
      </c>
      <c r="P398" s="706"/>
      <c r="Q398" s="14">
        <f t="shared" si="96"/>
        <v>0</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6"/>
      <c r="E399" s="14">
        <f t="shared" si="90"/>
        <v>0.18</v>
      </c>
      <c r="F399" s="706"/>
      <c r="G399" s="14">
        <f t="shared" si="91"/>
        <v>1</v>
      </c>
      <c r="H399" s="706"/>
      <c r="I399" s="14">
        <f t="shared" si="92"/>
        <v>0.08</v>
      </c>
      <c r="J399" s="706"/>
      <c r="K399" s="14">
        <f t="shared" si="93"/>
        <v>1</v>
      </c>
      <c r="L399" s="706"/>
      <c r="M399" s="14">
        <f t="shared" si="94"/>
        <v>1</v>
      </c>
      <c r="N399" s="706"/>
      <c r="O399" s="14">
        <f t="shared" si="95"/>
        <v>1</v>
      </c>
      <c r="P399" s="706"/>
      <c r="Q399" s="14">
        <f t="shared" si="96"/>
        <v>0</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6"/>
      <c r="E400" s="14">
        <f t="shared" si="90"/>
        <v>0.18</v>
      </c>
      <c r="F400" s="706"/>
      <c r="G400" s="14">
        <f t="shared" si="91"/>
        <v>1</v>
      </c>
      <c r="H400" s="706"/>
      <c r="I400" s="14">
        <f t="shared" si="92"/>
        <v>0.08</v>
      </c>
      <c r="J400" s="706"/>
      <c r="K400" s="14">
        <f t="shared" si="93"/>
        <v>1</v>
      </c>
      <c r="L400" s="706"/>
      <c r="M400" s="14">
        <f t="shared" si="94"/>
        <v>1</v>
      </c>
      <c r="N400" s="706"/>
      <c r="O400" s="14">
        <f t="shared" si="95"/>
        <v>1</v>
      </c>
      <c r="P400" s="706"/>
      <c r="Q400" s="14">
        <f t="shared" si="96"/>
        <v>0</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6"/>
      <c r="E401" s="14">
        <f t="shared" si="90"/>
        <v>0.18</v>
      </c>
      <c r="F401" s="706"/>
      <c r="G401" s="14">
        <f t="shared" si="91"/>
        <v>1</v>
      </c>
      <c r="H401" s="706"/>
      <c r="I401" s="14">
        <f t="shared" si="92"/>
        <v>0.08</v>
      </c>
      <c r="J401" s="706"/>
      <c r="K401" s="14">
        <f t="shared" si="93"/>
        <v>1</v>
      </c>
      <c r="L401" s="706"/>
      <c r="M401" s="14">
        <f t="shared" si="94"/>
        <v>1</v>
      </c>
      <c r="N401" s="706"/>
      <c r="O401" s="14">
        <f t="shared" si="95"/>
        <v>1</v>
      </c>
      <c r="P401" s="706"/>
      <c r="Q401" s="14">
        <f t="shared" si="96"/>
        <v>0</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6"/>
      <c r="E402" s="14">
        <f t="shared" si="90"/>
        <v>0.18</v>
      </c>
      <c r="F402" s="706"/>
      <c r="G402" s="14">
        <f t="shared" si="91"/>
        <v>1</v>
      </c>
      <c r="H402" s="706"/>
      <c r="I402" s="14">
        <f t="shared" si="92"/>
        <v>0.08</v>
      </c>
      <c r="J402" s="706"/>
      <c r="K402" s="14">
        <f t="shared" si="93"/>
        <v>1</v>
      </c>
      <c r="L402" s="706"/>
      <c r="M402" s="14">
        <f t="shared" si="94"/>
        <v>1</v>
      </c>
      <c r="N402" s="706"/>
      <c r="O402" s="14">
        <f t="shared" si="95"/>
        <v>1</v>
      </c>
      <c r="P402" s="706"/>
      <c r="Q402" s="14">
        <f t="shared" si="96"/>
        <v>0</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6"/>
      <c r="E403" s="14">
        <f t="shared" si="90"/>
        <v>0.18</v>
      </c>
      <c r="F403" s="706"/>
      <c r="G403" s="14">
        <f t="shared" si="91"/>
        <v>1</v>
      </c>
      <c r="H403" s="706"/>
      <c r="I403" s="14">
        <f t="shared" si="92"/>
        <v>0.08</v>
      </c>
      <c r="J403" s="706"/>
      <c r="K403" s="14">
        <f t="shared" si="93"/>
        <v>1</v>
      </c>
      <c r="L403" s="706"/>
      <c r="M403" s="14">
        <f t="shared" si="94"/>
        <v>1</v>
      </c>
      <c r="N403" s="706"/>
      <c r="O403" s="14">
        <f t="shared" si="95"/>
        <v>1</v>
      </c>
      <c r="P403" s="706"/>
      <c r="Q403" s="14">
        <f t="shared" si="96"/>
        <v>0</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6"/>
      <c r="E404" s="14">
        <f t="shared" si="90"/>
        <v>0.18</v>
      </c>
      <c r="F404" s="706"/>
      <c r="G404" s="14">
        <f t="shared" si="91"/>
        <v>1</v>
      </c>
      <c r="H404" s="706"/>
      <c r="I404" s="14">
        <f t="shared" si="92"/>
        <v>0.08</v>
      </c>
      <c r="J404" s="706"/>
      <c r="K404" s="14">
        <f t="shared" si="93"/>
        <v>1</v>
      </c>
      <c r="L404" s="706"/>
      <c r="M404" s="14">
        <f t="shared" si="94"/>
        <v>1</v>
      </c>
      <c r="N404" s="706"/>
      <c r="O404" s="14">
        <f t="shared" si="95"/>
        <v>1</v>
      </c>
      <c r="P404" s="706"/>
      <c r="Q404" s="14">
        <f t="shared" si="96"/>
        <v>0</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6"/>
      <c r="E405" s="14">
        <f t="shared" si="90"/>
        <v>0.18</v>
      </c>
      <c r="F405" s="706"/>
      <c r="G405" s="14">
        <f t="shared" si="91"/>
        <v>1</v>
      </c>
      <c r="H405" s="706"/>
      <c r="I405" s="14">
        <f t="shared" si="92"/>
        <v>0.08</v>
      </c>
      <c r="J405" s="706"/>
      <c r="K405" s="14">
        <f t="shared" si="93"/>
        <v>1</v>
      </c>
      <c r="L405" s="706"/>
      <c r="M405" s="14">
        <f t="shared" si="94"/>
        <v>1</v>
      </c>
      <c r="N405" s="706"/>
      <c r="O405" s="14">
        <f t="shared" si="95"/>
        <v>1</v>
      </c>
      <c r="P405" s="706"/>
      <c r="Q405" s="14">
        <f t="shared" si="96"/>
        <v>0</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6"/>
      <c r="E406" s="14">
        <f t="shared" si="90"/>
        <v>0.18</v>
      </c>
      <c r="F406" s="706"/>
      <c r="G406" s="14">
        <f t="shared" si="91"/>
        <v>1</v>
      </c>
      <c r="H406" s="706"/>
      <c r="I406" s="14">
        <f t="shared" si="92"/>
        <v>0.08</v>
      </c>
      <c r="J406" s="706"/>
      <c r="K406" s="14">
        <f t="shared" si="93"/>
        <v>1</v>
      </c>
      <c r="L406" s="706"/>
      <c r="M406" s="14">
        <f t="shared" si="94"/>
        <v>1</v>
      </c>
      <c r="N406" s="706"/>
      <c r="O406" s="14">
        <f t="shared" si="95"/>
        <v>1</v>
      </c>
      <c r="P406" s="706"/>
      <c r="Q406" s="14">
        <f t="shared" si="96"/>
        <v>0</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6"/>
      <c r="E407" s="14">
        <f t="shared" si="90"/>
        <v>0.18</v>
      </c>
      <c r="F407" s="706"/>
      <c r="G407" s="14">
        <f t="shared" si="91"/>
        <v>1</v>
      </c>
      <c r="H407" s="706"/>
      <c r="I407" s="14">
        <f t="shared" si="92"/>
        <v>0.08</v>
      </c>
      <c r="J407" s="706"/>
      <c r="K407" s="14">
        <f t="shared" si="93"/>
        <v>1</v>
      </c>
      <c r="L407" s="706"/>
      <c r="M407" s="14">
        <f t="shared" si="94"/>
        <v>1</v>
      </c>
      <c r="N407" s="706"/>
      <c r="O407" s="14">
        <f t="shared" si="95"/>
        <v>1</v>
      </c>
      <c r="P407" s="706"/>
      <c r="Q407" s="14">
        <f t="shared" si="96"/>
        <v>0</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6"/>
      <c r="E408" s="14">
        <f t="shared" si="90"/>
        <v>0.18</v>
      </c>
      <c r="F408" s="706"/>
      <c r="G408" s="14">
        <f t="shared" si="91"/>
        <v>1</v>
      </c>
      <c r="H408" s="706"/>
      <c r="I408" s="14">
        <f t="shared" si="92"/>
        <v>0.08</v>
      </c>
      <c r="J408" s="706"/>
      <c r="K408" s="14">
        <f t="shared" si="93"/>
        <v>1</v>
      </c>
      <c r="L408" s="706"/>
      <c r="M408" s="14">
        <f t="shared" si="94"/>
        <v>1</v>
      </c>
      <c r="N408" s="706"/>
      <c r="O408" s="14">
        <f t="shared" si="95"/>
        <v>1</v>
      </c>
      <c r="P408" s="706"/>
      <c r="Q408" s="14">
        <f t="shared" si="96"/>
        <v>0</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6"/>
      <c r="E409" s="14">
        <f t="shared" si="90"/>
        <v>0.18</v>
      </c>
      <c r="F409" s="706"/>
      <c r="G409" s="14">
        <f t="shared" si="91"/>
        <v>1</v>
      </c>
      <c r="H409" s="706"/>
      <c r="I409" s="14">
        <f t="shared" si="92"/>
        <v>0.08</v>
      </c>
      <c r="J409" s="706"/>
      <c r="K409" s="14">
        <f t="shared" si="93"/>
        <v>1</v>
      </c>
      <c r="L409" s="706"/>
      <c r="M409" s="14">
        <f t="shared" si="94"/>
        <v>1</v>
      </c>
      <c r="N409" s="706"/>
      <c r="O409" s="14">
        <f t="shared" si="95"/>
        <v>1</v>
      </c>
      <c r="P409" s="706"/>
      <c r="Q409" s="14">
        <f t="shared" si="96"/>
        <v>0</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6"/>
      <c r="E410" s="14">
        <f t="shared" si="90"/>
        <v>0.18</v>
      </c>
      <c r="F410" s="706"/>
      <c r="G410" s="14">
        <f t="shared" si="91"/>
        <v>1</v>
      </c>
      <c r="H410" s="706"/>
      <c r="I410" s="14">
        <f t="shared" si="92"/>
        <v>0.08</v>
      </c>
      <c r="J410" s="706"/>
      <c r="K410" s="14">
        <f t="shared" si="93"/>
        <v>1</v>
      </c>
      <c r="L410" s="706"/>
      <c r="M410" s="14">
        <f t="shared" si="94"/>
        <v>1</v>
      </c>
      <c r="N410" s="706"/>
      <c r="O410" s="14">
        <f t="shared" si="95"/>
        <v>1</v>
      </c>
      <c r="P410" s="706"/>
      <c r="Q410" s="14">
        <f t="shared" si="96"/>
        <v>0</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6"/>
      <c r="E411" s="14">
        <f t="shared" si="90"/>
        <v>0.18</v>
      </c>
      <c r="F411" s="706"/>
      <c r="G411" s="14">
        <f t="shared" si="91"/>
        <v>1</v>
      </c>
      <c r="H411" s="706"/>
      <c r="I411" s="14">
        <f t="shared" si="92"/>
        <v>0.08</v>
      </c>
      <c r="J411" s="706"/>
      <c r="K411" s="14">
        <f t="shared" si="93"/>
        <v>1</v>
      </c>
      <c r="L411" s="706"/>
      <c r="M411" s="14">
        <f t="shared" si="94"/>
        <v>1</v>
      </c>
      <c r="N411" s="706"/>
      <c r="O411" s="14">
        <f t="shared" si="95"/>
        <v>1</v>
      </c>
      <c r="P411" s="706"/>
      <c r="Q411" s="14">
        <f t="shared" si="96"/>
        <v>0</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6"/>
      <c r="E412" s="14">
        <f t="shared" ref="E412:E475" si="105">(SUMIF($8:$8,D412,$9:$9)-SUMIF($8:$8,$D$27,$9:$9)+100)/100</f>
        <v>0.18</v>
      </c>
      <c r="F412" s="706"/>
      <c r="G412" s="14">
        <f t="shared" ref="G412:G475" si="106">(SUMIF($10:$10,F412,$11:$11)-SUMIF($10:$10,$F$27,$11:$11)+100)/100</f>
        <v>1</v>
      </c>
      <c r="H412" s="706"/>
      <c r="I412" s="14">
        <f t="shared" ref="I412:I475" si="107">(SUMIF($12:$12,H412,$13:$13)-SUMIF($12:$12,$H$27,$13:$13)+100)/100</f>
        <v>0.08</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6"/>
      <c r="E413" s="14">
        <f t="shared" si="105"/>
        <v>0.18</v>
      </c>
      <c r="F413" s="706"/>
      <c r="G413" s="14">
        <f t="shared" si="106"/>
        <v>1</v>
      </c>
      <c r="H413" s="706"/>
      <c r="I413" s="14">
        <f t="shared" si="107"/>
        <v>0.08</v>
      </c>
      <c r="J413" s="706"/>
      <c r="K413" s="14">
        <f t="shared" si="108"/>
        <v>1</v>
      </c>
      <c r="L413" s="706"/>
      <c r="M413" s="14">
        <f t="shared" si="109"/>
        <v>1</v>
      </c>
      <c r="N413" s="706"/>
      <c r="O413" s="14">
        <f t="shared" si="110"/>
        <v>1</v>
      </c>
      <c r="P413" s="706"/>
      <c r="Q413" s="14">
        <f t="shared" si="111"/>
        <v>0</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6"/>
      <c r="E414" s="14">
        <f t="shared" si="105"/>
        <v>0.18</v>
      </c>
      <c r="F414" s="706"/>
      <c r="G414" s="14">
        <f t="shared" si="106"/>
        <v>1</v>
      </c>
      <c r="H414" s="706"/>
      <c r="I414" s="14">
        <f t="shared" si="107"/>
        <v>0.08</v>
      </c>
      <c r="J414" s="706"/>
      <c r="K414" s="14">
        <f t="shared" si="108"/>
        <v>1</v>
      </c>
      <c r="L414" s="706"/>
      <c r="M414" s="14">
        <f t="shared" si="109"/>
        <v>1</v>
      </c>
      <c r="N414" s="706"/>
      <c r="O414" s="14">
        <f t="shared" si="110"/>
        <v>1</v>
      </c>
      <c r="P414" s="706"/>
      <c r="Q414" s="14">
        <f t="shared" si="111"/>
        <v>0</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6"/>
      <c r="E415" s="14">
        <f t="shared" si="105"/>
        <v>0.18</v>
      </c>
      <c r="F415" s="706"/>
      <c r="G415" s="14">
        <f t="shared" si="106"/>
        <v>1</v>
      </c>
      <c r="H415" s="706"/>
      <c r="I415" s="14">
        <f t="shared" si="107"/>
        <v>0.08</v>
      </c>
      <c r="J415" s="706"/>
      <c r="K415" s="14">
        <f t="shared" si="108"/>
        <v>1</v>
      </c>
      <c r="L415" s="706"/>
      <c r="M415" s="14">
        <f t="shared" si="109"/>
        <v>1</v>
      </c>
      <c r="N415" s="706"/>
      <c r="O415" s="14">
        <f t="shared" si="110"/>
        <v>1</v>
      </c>
      <c r="P415" s="706"/>
      <c r="Q415" s="14">
        <f t="shared" si="111"/>
        <v>0</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6"/>
      <c r="E416" s="14">
        <f t="shared" si="105"/>
        <v>0.18</v>
      </c>
      <c r="F416" s="706"/>
      <c r="G416" s="14">
        <f t="shared" si="106"/>
        <v>1</v>
      </c>
      <c r="H416" s="706"/>
      <c r="I416" s="14">
        <f t="shared" si="107"/>
        <v>0.08</v>
      </c>
      <c r="J416" s="706"/>
      <c r="K416" s="14">
        <f t="shared" si="108"/>
        <v>1</v>
      </c>
      <c r="L416" s="706"/>
      <c r="M416" s="14">
        <f t="shared" si="109"/>
        <v>1</v>
      </c>
      <c r="N416" s="706"/>
      <c r="O416" s="14">
        <f t="shared" si="110"/>
        <v>1</v>
      </c>
      <c r="P416" s="706"/>
      <c r="Q416" s="14">
        <f t="shared" si="111"/>
        <v>0</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6"/>
      <c r="E417" s="14">
        <f t="shared" si="105"/>
        <v>0.18</v>
      </c>
      <c r="F417" s="706"/>
      <c r="G417" s="14">
        <f t="shared" si="106"/>
        <v>1</v>
      </c>
      <c r="H417" s="706"/>
      <c r="I417" s="14">
        <f t="shared" si="107"/>
        <v>0.08</v>
      </c>
      <c r="J417" s="706"/>
      <c r="K417" s="14">
        <f t="shared" si="108"/>
        <v>1</v>
      </c>
      <c r="L417" s="706"/>
      <c r="M417" s="14">
        <f t="shared" si="109"/>
        <v>1</v>
      </c>
      <c r="N417" s="706"/>
      <c r="O417" s="14">
        <f t="shared" si="110"/>
        <v>1</v>
      </c>
      <c r="P417" s="706"/>
      <c r="Q417" s="14">
        <f t="shared" si="111"/>
        <v>0</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6"/>
      <c r="E418" s="14">
        <f t="shared" si="105"/>
        <v>0.18</v>
      </c>
      <c r="F418" s="706"/>
      <c r="G418" s="14">
        <f t="shared" si="106"/>
        <v>1</v>
      </c>
      <c r="H418" s="706"/>
      <c r="I418" s="14">
        <f t="shared" si="107"/>
        <v>0.08</v>
      </c>
      <c r="J418" s="706"/>
      <c r="K418" s="14">
        <f t="shared" si="108"/>
        <v>1</v>
      </c>
      <c r="L418" s="706"/>
      <c r="M418" s="14">
        <f t="shared" si="109"/>
        <v>1</v>
      </c>
      <c r="N418" s="706"/>
      <c r="O418" s="14">
        <f t="shared" si="110"/>
        <v>1</v>
      </c>
      <c r="P418" s="706"/>
      <c r="Q418" s="14">
        <f t="shared" si="111"/>
        <v>0</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6"/>
      <c r="E419" s="14">
        <f t="shared" si="105"/>
        <v>0.18</v>
      </c>
      <c r="F419" s="706"/>
      <c r="G419" s="14">
        <f t="shared" si="106"/>
        <v>1</v>
      </c>
      <c r="H419" s="706"/>
      <c r="I419" s="14">
        <f t="shared" si="107"/>
        <v>0.08</v>
      </c>
      <c r="J419" s="706"/>
      <c r="K419" s="14">
        <f t="shared" si="108"/>
        <v>1</v>
      </c>
      <c r="L419" s="706"/>
      <c r="M419" s="14">
        <f t="shared" si="109"/>
        <v>1</v>
      </c>
      <c r="N419" s="706"/>
      <c r="O419" s="14">
        <f t="shared" si="110"/>
        <v>1</v>
      </c>
      <c r="P419" s="706"/>
      <c r="Q419" s="14">
        <f t="shared" si="111"/>
        <v>0</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6"/>
      <c r="E420" s="14">
        <f t="shared" si="105"/>
        <v>0.18</v>
      </c>
      <c r="F420" s="706"/>
      <c r="G420" s="14">
        <f t="shared" si="106"/>
        <v>1</v>
      </c>
      <c r="H420" s="706"/>
      <c r="I420" s="14">
        <f t="shared" si="107"/>
        <v>0.08</v>
      </c>
      <c r="J420" s="706"/>
      <c r="K420" s="14">
        <f t="shared" si="108"/>
        <v>1</v>
      </c>
      <c r="L420" s="706"/>
      <c r="M420" s="14">
        <f t="shared" si="109"/>
        <v>1</v>
      </c>
      <c r="N420" s="706"/>
      <c r="O420" s="14">
        <f t="shared" si="110"/>
        <v>1</v>
      </c>
      <c r="P420" s="706"/>
      <c r="Q420" s="14">
        <f t="shared" si="111"/>
        <v>0</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6"/>
      <c r="E421" s="14">
        <f t="shared" si="105"/>
        <v>0.18</v>
      </c>
      <c r="F421" s="706"/>
      <c r="G421" s="14">
        <f t="shared" si="106"/>
        <v>1</v>
      </c>
      <c r="H421" s="706"/>
      <c r="I421" s="14">
        <f t="shared" si="107"/>
        <v>0.08</v>
      </c>
      <c r="J421" s="706"/>
      <c r="K421" s="14">
        <f t="shared" si="108"/>
        <v>1</v>
      </c>
      <c r="L421" s="706"/>
      <c r="M421" s="14">
        <f t="shared" si="109"/>
        <v>1</v>
      </c>
      <c r="N421" s="706"/>
      <c r="O421" s="14">
        <f t="shared" si="110"/>
        <v>1</v>
      </c>
      <c r="P421" s="706"/>
      <c r="Q421" s="14">
        <f t="shared" si="111"/>
        <v>0</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6"/>
      <c r="E422" s="14">
        <f t="shared" si="105"/>
        <v>0.18</v>
      </c>
      <c r="F422" s="706"/>
      <c r="G422" s="14">
        <f t="shared" si="106"/>
        <v>1</v>
      </c>
      <c r="H422" s="706"/>
      <c r="I422" s="14">
        <f t="shared" si="107"/>
        <v>0.08</v>
      </c>
      <c r="J422" s="706"/>
      <c r="K422" s="14">
        <f t="shared" si="108"/>
        <v>1</v>
      </c>
      <c r="L422" s="706"/>
      <c r="M422" s="14">
        <f t="shared" si="109"/>
        <v>1</v>
      </c>
      <c r="N422" s="706"/>
      <c r="O422" s="14">
        <f t="shared" si="110"/>
        <v>1</v>
      </c>
      <c r="P422" s="706"/>
      <c r="Q422" s="14">
        <f t="shared" si="111"/>
        <v>0</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6"/>
      <c r="E423" s="14">
        <f t="shared" si="105"/>
        <v>0.18</v>
      </c>
      <c r="F423" s="706"/>
      <c r="G423" s="14">
        <f t="shared" si="106"/>
        <v>1</v>
      </c>
      <c r="H423" s="706"/>
      <c r="I423" s="14">
        <f t="shared" si="107"/>
        <v>0.08</v>
      </c>
      <c r="J423" s="706"/>
      <c r="K423" s="14">
        <f t="shared" si="108"/>
        <v>1</v>
      </c>
      <c r="L423" s="706"/>
      <c r="M423" s="14">
        <f t="shared" si="109"/>
        <v>1</v>
      </c>
      <c r="N423" s="706"/>
      <c r="O423" s="14">
        <f t="shared" si="110"/>
        <v>1</v>
      </c>
      <c r="P423" s="706"/>
      <c r="Q423" s="14">
        <f t="shared" si="111"/>
        <v>0</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6"/>
      <c r="E424" s="14">
        <f t="shared" si="105"/>
        <v>0.18</v>
      </c>
      <c r="F424" s="706"/>
      <c r="G424" s="14">
        <f t="shared" si="106"/>
        <v>1</v>
      </c>
      <c r="H424" s="706"/>
      <c r="I424" s="14">
        <f t="shared" si="107"/>
        <v>0.08</v>
      </c>
      <c r="J424" s="706"/>
      <c r="K424" s="14">
        <f t="shared" si="108"/>
        <v>1</v>
      </c>
      <c r="L424" s="706"/>
      <c r="M424" s="14">
        <f t="shared" si="109"/>
        <v>1</v>
      </c>
      <c r="N424" s="706"/>
      <c r="O424" s="14">
        <f t="shared" si="110"/>
        <v>1</v>
      </c>
      <c r="P424" s="706"/>
      <c r="Q424" s="14">
        <f t="shared" si="111"/>
        <v>0</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6"/>
      <c r="E425" s="14">
        <f t="shared" si="105"/>
        <v>0.18</v>
      </c>
      <c r="F425" s="706"/>
      <c r="G425" s="14">
        <f t="shared" si="106"/>
        <v>1</v>
      </c>
      <c r="H425" s="706"/>
      <c r="I425" s="14">
        <f t="shared" si="107"/>
        <v>0.08</v>
      </c>
      <c r="J425" s="706"/>
      <c r="K425" s="14">
        <f t="shared" si="108"/>
        <v>1</v>
      </c>
      <c r="L425" s="706"/>
      <c r="M425" s="14">
        <f t="shared" si="109"/>
        <v>1</v>
      </c>
      <c r="N425" s="706"/>
      <c r="O425" s="14">
        <f t="shared" si="110"/>
        <v>1</v>
      </c>
      <c r="P425" s="706"/>
      <c r="Q425" s="14">
        <f t="shared" si="111"/>
        <v>0</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6"/>
      <c r="E426" s="14">
        <f t="shared" si="105"/>
        <v>0.18</v>
      </c>
      <c r="F426" s="706"/>
      <c r="G426" s="14">
        <f t="shared" si="106"/>
        <v>1</v>
      </c>
      <c r="H426" s="706"/>
      <c r="I426" s="14">
        <f t="shared" si="107"/>
        <v>0.08</v>
      </c>
      <c r="J426" s="706"/>
      <c r="K426" s="14">
        <f t="shared" si="108"/>
        <v>1</v>
      </c>
      <c r="L426" s="706"/>
      <c r="M426" s="14">
        <f t="shared" si="109"/>
        <v>1</v>
      </c>
      <c r="N426" s="706"/>
      <c r="O426" s="14">
        <f t="shared" si="110"/>
        <v>1</v>
      </c>
      <c r="P426" s="706"/>
      <c r="Q426" s="14">
        <f t="shared" si="111"/>
        <v>0</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6"/>
      <c r="E427" s="14">
        <f t="shared" si="105"/>
        <v>0.18</v>
      </c>
      <c r="F427" s="706"/>
      <c r="G427" s="14">
        <f t="shared" si="106"/>
        <v>1</v>
      </c>
      <c r="H427" s="706"/>
      <c r="I427" s="14">
        <f t="shared" si="107"/>
        <v>0.08</v>
      </c>
      <c r="J427" s="706"/>
      <c r="K427" s="14">
        <f t="shared" si="108"/>
        <v>1</v>
      </c>
      <c r="L427" s="706"/>
      <c r="M427" s="14">
        <f t="shared" si="109"/>
        <v>1</v>
      </c>
      <c r="N427" s="706"/>
      <c r="O427" s="14">
        <f t="shared" si="110"/>
        <v>1</v>
      </c>
      <c r="P427" s="706"/>
      <c r="Q427" s="14">
        <f t="shared" si="111"/>
        <v>0</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6"/>
      <c r="E428" s="14">
        <f t="shared" si="105"/>
        <v>0.18</v>
      </c>
      <c r="F428" s="706"/>
      <c r="G428" s="14">
        <f t="shared" si="106"/>
        <v>1</v>
      </c>
      <c r="H428" s="706"/>
      <c r="I428" s="14">
        <f t="shared" si="107"/>
        <v>0.08</v>
      </c>
      <c r="J428" s="706"/>
      <c r="K428" s="14">
        <f t="shared" si="108"/>
        <v>1</v>
      </c>
      <c r="L428" s="706"/>
      <c r="M428" s="14">
        <f t="shared" si="109"/>
        <v>1</v>
      </c>
      <c r="N428" s="706"/>
      <c r="O428" s="14">
        <f t="shared" si="110"/>
        <v>1</v>
      </c>
      <c r="P428" s="706"/>
      <c r="Q428" s="14">
        <f t="shared" si="111"/>
        <v>0</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6"/>
      <c r="E429" s="14">
        <f t="shared" si="105"/>
        <v>0.18</v>
      </c>
      <c r="F429" s="706"/>
      <c r="G429" s="14">
        <f t="shared" si="106"/>
        <v>1</v>
      </c>
      <c r="H429" s="706"/>
      <c r="I429" s="14">
        <f t="shared" si="107"/>
        <v>0.08</v>
      </c>
      <c r="J429" s="706"/>
      <c r="K429" s="14">
        <f t="shared" si="108"/>
        <v>1</v>
      </c>
      <c r="L429" s="706"/>
      <c r="M429" s="14">
        <f t="shared" si="109"/>
        <v>1</v>
      </c>
      <c r="N429" s="706"/>
      <c r="O429" s="14">
        <f t="shared" si="110"/>
        <v>1</v>
      </c>
      <c r="P429" s="706"/>
      <c r="Q429" s="14">
        <f t="shared" si="111"/>
        <v>0</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6"/>
      <c r="E430" s="14">
        <f t="shared" si="105"/>
        <v>0.18</v>
      </c>
      <c r="F430" s="706"/>
      <c r="G430" s="14">
        <f t="shared" si="106"/>
        <v>1</v>
      </c>
      <c r="H430" s="706"/>
      <c r="I430" s="14">
        <f t="shared" si="107"/>
        <v>0.08</v>
      </c>
      <c r="J430" s="706"/>
      <c r="K430" s="14">
        <f t="shared" si="108"/>
        <v>1</v>
      </c>
      <c r="L430" s="706"/>
      <c r="M430" s="14">
        <f t="shared" si="109"/>
        <v>1</v>
      </c>
      <c r="N430" s="706"/>
      <c r="O430" s="14">
        <f t="shared" si="110"/>
        <v>1</v>
      </c>
      <c r="P430" s="706"/>
      <c r="Q430" s="14">
        <f t="shared" si="111"/>
        <v>0</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6"/>
      <c r="E431" s="14">
        <f t="shared" si="105"/>
        <v>0.18</v>
      </c>
      <c r="F431" s="706"/>
      <c r="G431" s="14">
        <f t="shared" si="106"/>
        <v>1</v>
      </c>
      <c r="H431" s="706"/>
      <c r="I431" s="14">
        <f t="shared" si="107"/>
        <v>0.08</v>
      </c>
      <c r="J431" s="706"/>
      <c r="K431" s="14">
        <f t="shared" si="108"/>
        <v>1</v>
      </c>
      <c r="L431" s="706"/>
      <c r="M431" s="14">
        <f t="shared" si="109"/>
        <v>1</v>
      </c>
      <c r="N431" s="706"/>
      <c r="O431" s="14">
        <f t="shared" si="110"/>
        <v>1</v>
      </c>
      <c r="P431" s="706"/>
      <c r="Q431" s="14">
        <f t="shared" si="111"/>
        <v>0</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6"/>
      <c r="E432" s="14">
        <f t="shared" si="105"/>
        <v>0.18</v>
      </c>
      <c r="F432" s="706"/>
      <c r="G432" s="14">
        <f t="shared" si="106"/>
        <v>1</v>
      </c>
      <c r="H432" s="706"/>
      <c r="I432" s="14">
        <f t="shared" si="107"/>
        <v>0.08</v>
      </c>
      <c r="J432" s="706"/>
      <c r="K432" s="14">
        <f t="shared" si="108"/>
        <v>1</v>
      </c>
      <c r="L432" s="706"/>
      <c r="M432" s="14">
        <f t="shared" si="109"/>
        <v>1</v>
      </c>
      <c r="N432" s="706"/>
      <c r="O432" s="14">
        <f t="shared" si="110"/>
        <v>1</v>
      </c>
      <c r="P432" s="706"/>
      <c r="Q432" s="14">
        <f t="shared" si="111"/>
        <v>0</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6"/>
      <c r="E433" s="14">
        <f t="shared" si="105"/>
        <v>0.18</v>
      </c>
      <c r="F433" s="706"/>
      <c r="G433" s="14">
        <f t="shared" si="106"/>
        <v>1</v>
      </c>
      <c r="H433" s="706"/>
      <c r="I433" s="14">
        <f t="shared" si="107"/>
        <v>0.08</v>
      </c>
      <c r="J433" s="706"/>
      <c r="K433" s="14">
        <f t="shared" si="108"/>
        <v>1</v>
      </c>
      <c r="L433" s="706"/>
      <c r="M433" s="14">
        <f t="shared" si="109"/>
        <v>1</v>
      </c>
      <c r="N433" s="706"/>
      <c r="O433" s="14">
        <f t="shared" si="110"/>
        <v>1</v>
      </c>
      <c r="P433" s="706"/>
      <c r="Q433" s="14">
        <f t="shared" si="111"/>
        <v>0</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6"/>
      <c r="E434" s="14">
        <f t="shared" si="105"/>
        <v>0.18</v>
      </c>
      <c r="F434" s="706"/>
      <c r="G434" s="14">
        <f t="shared" si="106"/>
        <v>1</v>
      </c>
      <c r="H434" s="706"/>
      <c r="I434" s="14">
        <f t="shared" si="107"/>
        <v>0.08</v>
      </c>
      <c r="J434" s="706"/>
      <c r="K434" s="14">
        <f t="shared" si="108"/>
        <v>1</v>
      </c>
      <c r="L434" s="706"/>
      <c r="M434" s="14">
        <f t="shared" si="109"/>
        <v>1</v>
      </c>
      <c r="N434" s="706"/>
      <c r="O434" s="14">
        <f t="shared" si="110"/>
        <v>1</v>
      </c>
      <c r="P434" s="706"/>
      <c r="Q434" s="14">
        <f t="shared" si="111"/>
        <v>0</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6"/>
      <c r="E435" s="14">
        <f t="shared" si="105"/>
        <v>0.18</v>
      </c>
      <c r="F435" s="706"/>
      <c r="G435" s="14">
        <f t="shared" si="106"/>
        <v>1</v>
      </c>
      <c r="H435" s="706"/>
      <c r="I435" s="14">
        <f t="shared" si="107"/>
        <v>0.08</v>
      </c>
      <c r="J435" s="706"/>
      <c r="K435" s="14">
        <f t="shared" si="108"/>
        <v>1</v>
      </c>
      <c r="L435" s="706"/>
      <c r="M435" s="14">
        <f t="shared" si="109"/>
        <v>1</v>
      </c>
      <c r="N435" s="706"/>
      <c r="O435" s="14">
        <f t="shared" si="110"/>
        <v>1</v>
      </c>
      <c r="P435" s="706"/>
      <c r="Q435" s="14">
        <f t="shared" si="111"/>
        <v>0</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6"/>
      <c r="E436" s="14">
        <f t="shared" si="105"/>
        <v>0.18</v>
      </c>
      <c r="F436" s="706"/>
      <c r="G436" s="14">
        <f t="shared" si="106"/>
        <v>1</v>
      </c>
      <c r="H436" s="706"/>
      <c r="I436" s="14">
        <f t="shared" si="107"/>
        <v>0.08</v>
      </c>
      <c r="J436" s="706"/>
      <c r="K436" s="14">
        <f t="shared" si="108"/>
        <v>1</v>
      </c>
      <c r="L436" s="706"/>
      <c r="M436" s="14">
        <f t="shared" si="109"/>
        <v>1</v>
      </c>
      <c r="N436" s="706"/>
      <c r="O436" s="14">
        <f t="shared" si="110"/>
        <v>1</v>
      </c>
      <c r="P436" s="706"/>
      <c r="Q436" s="14">
        <f t="shared" si="111"/>
        <v>0</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6"/>
      <c r="E437" s="14">
        <f t="shared" si="105"/>
        <v>0.18</v>
      </c>
      <c r="F437" s="706"/>
      <c r="G437" s="14">
        <f t="shared" si="106"/>
        <v>1</v>
      </c>
      <c r="H437" s="706"/>
      <c r="I437" s="14">
        <f t="shared" si="107"/>
        <v>0.08</v>
      </c>
      <c r="J437" s="706"/>
      <c r="K437" s="14">
        <f t="shared" si="108"/>
        <v>1</v>
      </c>
      <c r="L437" s="706"/>
      <c r="M437" s="14">
        <f t="shared" si="109"/>
        <v>1</v>
      </c>
      <c r="N437" s="706"/>
      <c r="O437" s="14">
        <f t="shared" si="110"/>
        <v>1</v>
      </c>
      <c r="P437" s="706"/>
      <c r="Q437" s="14">
        <f t="shared" si="111"/>
        <v>0</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6"/>
      <c r="E438" s="14">
        <f t="shared" si="105"/>
        <v>0.18</v>
      </c>
      <c r="F438" s="706"/>
      <c r="G438" s="14">
        <f t="shared" si="106"/>
        <v>1</v>
      </c>
      <c r="H438" s="706"/>
      <c r="I438" s="14">
        <f t="shared" si="107"/>
        <v>0.08</v>
      </c>
      <c r="J438" s="706"/>
      <c r="K438" s="14">
        <f t="shared" si="108"/>
        <v>1</v>
      </c>
      <c r="L438" s="706"/>
      <c r="M438" s="14">
        <f t="shared" si="109"/>
        <v>1</v>
      </c>
      <c r="N438" s="706"/>
      <c r="O438" s="14">
        <f t="shared" si="110"/>
        <v>1</v>
      </c>
      <c r="P438" s="706"/>
      <c r="Q438" s="14">
        <f t="shared" si="111"/>
        <v>0</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6"/>
      <c r="E439" s="14">
        <f t="shared" si="105"/>
        <v>0.18</v>
      </c>
      <c r="F439" s="706"/>
      <c r="G439" s="14">
        <f t="shared" si="106"/>
        <v>1</v>
      </c>
      <c r="H439" s="706"/>
      <c r="I439" s="14">
        <f t="shared" si="107"/>
        <v>0.08</v>
      </c>
      <c r="J439" s="706"/>
      <c r="K439" s="14">
        <f t="shared" si="108"/>
        <v>1</v>
      </c>
      <c r="L439" s="706"/>
      <c r="M439" s="14">
        <f t="shared" si="109"/>
        <v>1</v>
      </c>
      <c r="N439" s="706"/>
      <c r="O439" s="14">
        <f t="shared" si="110"/>
        <v>1</v>
      </c>
      <c r="P439" s="706"/>
      <c r="Q439" s="14">
        <f t="shared" si="111"/>
        <v>0</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6"/>
      <c r="E440" s="14">
        <f t="shared" si="105"/>
        <v>0.18</v>
      </c>
      <c r="F440" s="706"/>
      <c r="G440" s="14">
        <f t="shared" si="106"/>
        <v>1</v>
      </c>
      <c r="H440" s="706"/>
      <c r="I440" s="14">
        <f t="shared" si="107"/>
        <v>0.08</v>
      </c>
      <c r="J440" s="706"/>
      <c r="K440" s="14">
        <f t="shared" si="108"/>
        <v>1</v>
      </c>
      <c r="L440" s="706"/>
      <c r="M440" s="14">
        <f t="shared" si="109"/>
        <v>1</v>
      </c>
      <c r="N440" s="706"/>
      <c r="O440" s="14">
        <f t="shared" si="110"/>
        <v>1</v>
      </c>
      <c r="P440" s="706"/>
      <c r="Q440" s="14">
        <f t="shared" si="111"/>
        <v>0</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6"/>
      <c r="E441" s="14">
        <f t="shared" si="105"/>
        <v>0.18</v>
      </c>
      <c r="F441" s="706"/>
      <c r="G441" s="14">
        <f t="shared" si="106"/>
        <v>1</v>
      </c>
      <c r="H441" s="706"/>
      <c r="I441" s="14">
        <f t="shared" si="107"/>
        <v>0.08</v>
      </c>
      <c r="J441" s="706"/>
      <c r="K441" s="14">
        <f t="shared" si="108"/>
        <v>1</v>
      </c>
      <c r="L441" s="706"/>
      <c r="M441" s="14">
        <f t="shared" si="109"/>
        <v>1</v>
      </c>
      <c r="N441" s="706"/>
      <c r="O441" s="14">
        <f t="shared" si="110"/>
        <v>1</v>
      </c>
      <c r="P441" s="706"/>
      <c r="Q441" s="14">
        <f t="shared" si="111"/>
        <v>0</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6"/>
      <c r="E442" s="14">
        <f t="shared" si="105"/>
        <v>0.18</v>
      </c>
      <c r="F442" s="706"/>
      <c r="G442" s="14">
        <f t="shared" si="106"/>
        <v>1</v>
      </c>
      <c r="H442" s="706"/>
      <c r="I442" s="14">
        <f t="shared" si="107"/>
        <v>0.08</v>
      </c>
      <c r="J442" s="706"/>
      <c r="K442" s="14">
        <f t="shared" si="108"/>
        <v>1</v>
      </c>
      <c r="L442" s="706"/>
      <c r="M442" s="14">
        <f t="shared" si="109"/>
        <v>1</v>
      </c>
      <c r="N442" s="706"/>
      <c r="O442" s="14">
        <f t="shared" si="110"/>
        <v>1</v>
      </c>
      <c r="P442" s="706"/>
      <c r="Q442" s="14">
        <f t="shared" si="111"/>
        <v>0</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6"/>
      <c r="E443" s="14">
        <f t="shared" si="105"/>
        <v>0.18</v>
      </c>
      <c r="F443" s="706"/>
      <c r="G443" s="14">
        <f t="shared" si="106"/>
        <v>1</v>
      </c>
      <c r="H443" s="706"/>
      <c r="I443" s="14">
        <f t="shared" si="107"/>
        <v>0.08</v>
      </c>
      <c r="J443" s="706"/>
      <c r="K443" s="14">
        <f t="shared" si="108"/>
        <v>1</v>
      </c>
      <c r="L443" s="706"/>
      <c r="M443" s="14">
        <f t="shared" si="109"/>
        <v>1</v>
      </c>
      <c r="N443" s="706"/>
      <c r="O443" s="14">
        <f t="shared" si="110"/>
        <v>1</v>
      </c>
      <c r="P443" s="706"/>
      <c r="Q443" s="14">
        <f t="shared" si="111"/>
        <v>0</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6"/>
      <c r="E444" s="14">
        <f t="shared" si="105"/>
        <v>0.18</v>
      </c>
      <c r="F444" s="706"/>
      <c r="G444" s="14">
        <f t="shared" si="106"/>
        <v>1</v>
      </c>
      <c r="H444" s="706"/>
      <c r="I444" s="14">
        <f t="shared" si="107"/>
        <v>0.08</v>
      </c>
      <c r="J444" s="706"/>
      <c r="K444" s="14">
        <f t="shared" si="108"/>
        <v>1</v>
      </c>
      <c r="L444" s="706"/>
      <c r="M444" s="14">
        <f t="shared" si="109"/>
        <v>1</v>
      </c>
      <c r="N444" s="706"/>
      <c r="O444" s="14">
        <f t="shared" si="110"/>
        <v>1</v>
      </c>
      <c r="P444" s="706"/>
      <c r="Q444" s="14">
        <f t="shared" si="111"/>
        <v>0</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6"/>
      <c r="E445" s="14">
        <f t="shared" si="105"/>
        <v>0.18</v>
      </c>
      <c r="F445" s="706"/>
      <c r="G445" s="14">
        <f t="shared" si="106"/>
        <v>1</v>
      </c>
      <c r="H445" s="706"/>
      <c r="I445" s="14">
        <f t="shared" si="107"/>
        <v>0.08</v>
      </c>
      <c r="J445" s="706"/>
      <c r="K445" s="14">
        <f t="shared" si="108"/>
        <v>1</v>
      </c>
      <c r="L445" s="706"/>
      <c r="M445" s="14">
        <f t="shared" si="109"/>
        <v>1</v>
      </c>
      <c r="N445" s="706"/>
      <c r="O445" s="14">
        <f t="shared" si="110"/>
        <v>1</v>
      </c>
      <c r="P445" s="706"/>
      <c r="Q445" s="14">
        <f t="shared" si="111"/>
        <v>0</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6"/>
      <c r="E446" s="14">
        <f t="shared" si="105"/>
        <v>0.18</v>
      </c>
      <c r="F446" s="706"/>
      <c r="G446" s="14">
        <f t="shared" si="106"/>
        <v>1</v>
      </c>
      <c r="H446" s="706"/>
      <c r="I446" s="14">
        <f t="shared" si="107"/>
        <v>0.08</v>
      </c>
      <c r="J446" s="706"/>
      <c r="K446" s="14">
        <f t="shared" si="108"/>
        <v>1</v>
      </c>
      <c r="L446" s="706"/>
      <c r="M446" s="14">
        <f t="shared" si="109"/>
        <v>1</v>
      </c>
      <c r="N446" s="706"/>
      <c r="O446" s="14">
        <f t="shared" si="110"/>
        <v>1</v>
      </c>
      <c r="P446" s="706"/>
      <c r="Q446" s="14">
        <f t="shared" si="111"/>
        <v>0</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6"/>
      <c r="E447" s="14">
        <f t="shared" si="105"/>
        <v>0.18</v>
      </c>
      <c r="F447" s="706"/>
      <c r="G447" s="14">
        <f t="shared" si="106"/>
        <v>1</v>
      </c>
      <c r="H447" s="706"/>
      <c r="I447" s="14">
        <f t="shared" si="107"/>
        <v>0.08</v>
      </c>
      <c r="J447" s="706"/>
      <c r="K447" s="14">
        <f t="shared" si="108"/>
        <v>1</v>
      </c>
      <c r="L447" s="706"/>
      <c r="M447" s="14">
        <f t="shared" si="109"/>
        <v>1</v>
      </c>
      <c r="N447" s="706"/>
      <c r="O447" s="14">
        <f t="shared" si="110"/>
        <v>1</v>
      </c>
      <c r="P447" s="706"/>
      <c r="Q447" s="14">
        <f t="shared" si="111"/>
        <v>0</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6"/>
      <c r="E448" s="14">
        <f t="shared" si="105"/>
        <v>0.18</v>
      </c>
      <c r="F448" s="706"/>
      <c r="G448" s="14">
        <f t="shared" si="106"/>
        <v>1</v>
      </c>
      <c r="H448" s="706"/>
      <c r="I448" s="14">
        <f t="shared" si="107"/>
        <v>0.08</v>
      </c>
      <c r="J448" s="706"/>
      <c r="K448" s="14">
        <f t="shared" si="108"/>
        <v>1</v>
      </c>
      <c r="L448" s="706"/>
      <c r="M448" s="14">
        <f t="shared" si="109"/>
        <v>1</v>
      </c>
      <c r="N448" s="706"/>
      <c r="O448" s="14">
        <f t="shared" si="110"/>
        <v>1</v>
      </c>
      <c r="P448" s="706"/>
      <c r="Q448" s="14">
        <f t="shared" si="111"/>
        <v>0</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6"/>
      <c r="E449" s="14">
        <f t="shared" si="105"/>
        <v>0.18</v>
      </c>
      <c r="F449" s="706"/>
      <c r="G449" s="14">
        <f t="shared" si="106"/>
        <v>1</v>
      </c>
      <c r="H449" s="706"/>
      <c r="I449" s="14">
        <f t="shared" si="107"/>
        <v>0.08</v>
      </c>
      <c r="J449" s="706"/>
      <c r="K449" s="14">
        <f t="shared" si="108"/>
        <v>1</v>
      </c>
      <c r="L449" s="706"/>
      <c r="M449" s="14">
        <f t="shared" si="109"/>
        <v>1</v>
      </c>
      <c r="N449" s="706"/>
      <c r="O449" s="14">
        <f t="shared" si="110"/>
        <v>1</v>
      </c>
      <c r="P449" s="706"/>
      <c r="Q449" s="14">
        <f t="shared" si="111"/>
        <v>0</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6"/>
      <c r="E450" s="14">
        <f t="shared" si="105"/>
        <v>0.18</v>
      </c>
      <c r="F450" s="706"/>
      <c r="G450" s="14">
        <f t="shared" si="106"/>
        <v>1</v>
      </c>
      <c r="H450" s="706"/>
      <c r="I450" s="14">
        <f t="shared" si="107"/>
        <v>0.08</v>
      </c>
      <c r="J450" s="706"/>
      <c r="K450" s="14">
        <f t="shared" si="108"/>
        <v>1</v>
      </c>
      <c r="L450" s="706"/>
      <c r="M450" s="14">
        <f t="shared" si="109"/>
        <v>1</v>
      </c>
      <c r="N450" s="706"/>
      <c r="O450" s="14">
        <f t="shared" si="110"/>
        <v>1</v>
      </c>
      <c r="P450" s="706"/>
      <c r="Q450" s="14">
        <f t="shared" si="111"/>
        <v>0</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6"/>
      <c r="E451" s="14">
        <f t="shared" si="105"/>
        <v>0.18</v>
      </c>
      <c r="F451" s="706"/>
      <c r="G451" s="14">
        <f t="shared" si="106"/>
        <v>1</v>
      </c>
      <c r="H451" s="706"/>
      <c r="I451" s="14">
        <f t="shared" si="107"/>
        <v>0.08</v>
      </c>
      <c r="J451" s="706"/>
      <c r="K451" s="14">
        <f t="shared" si="108"/>
        <v>1</v>
      </c>
      <c r="L451" s="706"/>
      <c r="M451" s="14">
        <f t="shared" si="109"/>
        <v>1</v>
      </c>
      <c r="N451" s="706"/>
      <c r="O451" s="14">
        <f t="shared" si="110"/>
        <v>1</v>
      </c>
      <c r="P451" s="706"/>
      <c r="Q451" s="14">
        <f t="shared" si="111"/>
        <v>0</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6"/>
      <c r="E452" s="14">
        <f t="shared" si="105"/>
        <v>0.18</v>
      </c>
      <c r="F452" s="706"/>
      <c r="G452" s="14">
        <f t="shared" si="106"/>
        <v>1</v>
      </c>
      <c r="H452" s="706"/>
      <c r="I452" s="14">
        <f t="shared" si="107"/>
        <v>0.08</v>
      </c>
      <c r="J452" s="706"/>
      <c r="K452" s="14">
        <f t="shared" si="108"/>
        <v>1</v>
      </c>
      <c r="L452" s="706"/>
      <c r="M452" s="14">
        <f t="shared" si="109"/>
        <v>1</v>
      </c>
      <c r="N452" s="706"/>
      <c r="O452" s="14">
        <f t="shared" si="110"/>
        <v>1</v>
      </c>
      <c r="P452" s="706"/>
      <c r="Q452" s="14">
        <f t="shared" si="111"/>
        <v>0</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6"/>
      <c r="E453" s="14">
        <f t="shared" si="105"/>
        <v>0.18</v>
      </c>
      <c r="F453" s="706"/>
      <c r="G453" s="14">
        <f t="shared" si="106"/>
        <v>1</v>
      </c>
      <c r="H453" s="706"/>
      <c r="I453" s="14">
        <f t="shared" si="107"/>
        <v>0.08</v>
      </c>
      <c r="J453" s="706"/>
      <c r="K453" s="14">
        <f t="shared" si="108"/>
        <v>1</v>
      </c>
      <c r="L453" s="706"/>
      <c r="M453" s="14">
        <f t="shared" si="109"/>
        <v>1</v>
      </c>
      <c r="N453" s="706"/>
      <c r="O453" s="14">
        <f t="shared" si="110"/>
        <v>1</v>
      </c>
      <c r="P453" s="706"/>
      <c r="Q453" s="14">
        <f t="shared" si="111"/>
        <v>0</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6"/>
      <c r="E454" s="14">
        <f t="shared" si="105"/>
        <v>0.18</v>
      </c>
      <c r="F454" s="706"/>
      <c r="G454" s="14">
        <f t="shared" si="106"/>
        <v>1</v>
      </c>
      <c r="H454" s="706"/>
      <c r="I454" s="14">
        <f t="shared" si="107"/>
        <v>0.08</v>
      </c>
      <c r="J454" s="706"/>
      <c r="K454" s="14">
        <f t="shared" si="108"/>
        <v>1</v>
      </c>
      <c r="L454" s="706"/>
      <c r="M454" s="14">
        <f t="shared" si="109"/>
        <v>1</v>
      </c>
      <c r="N454" s="706"/>
      <c r="O454" s="14">
        <f t="shared" si="110"/>
        <v>1</v>
      </c>
      <c r="P454" s="706"/>
      <c r="Q454" s="14">
        <f t="shared" si="111"/>
        <v>0</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6"/>
      <c r="E455" s="14">
        <f t="shared" si="105"/>
        <v>0.18</v>
      </c>
      <c r="F455" s="706"/>
      <c r="G455" s="14">
        <f t="shared" si="106"/>
        <v>1</v>
      </c>
      <c r="H455" s="706"/>
      <c r="I455" s="14">
        <f t="shared" si="107"/>
        <v>0.08</v>
      </c>
      <c r="J455" s="706"/>
      <c r="K455" s="14">
        <f t="shared" si="108"/>
        <v>1</v>
      </c>
      <c r="L455" s="706"/>
      <c r="M455" s="14">
        <f t="shared" si="109"/>
        <v>1</v>
      </c>
      <c r="N455" s="706"/>
      <c r="O455" s="14">
        <f t="shared" si="110"/>
        <v>1</v>
      </c>
      <c r="P455" s="706"/>
      <c r="Q455" s="14">
        <f t="shared" si="111"/>
        <v>0</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6"/>
      <c r="E456" s="14">
        <f t="shared" si="105"/>
        <v>0.18</v>
      </c>
      <c r="F456" s="706"/>
      <c r="G456" s="14">
        <f t="shared" si="106"/>
        <v>1</v>
      </c>
      <c r="H456" s="706"/>
      <c r="I456" s="14">
        <f t="shared" si="107"/>
        <v>0.08</v>
      </c>
      <c r="J456" s="706"/>
      <c r="K456" s="14">
        <f t="shared" si="108"/>
        <v>1</v>
      </c>
      <c r="L456" s="706"/>
      <c r="M456" s="14">
        <f t="shared" si="109"/>
        <v>1</v>
      </c>
      <c r="N456" s="706"/>
      <c r="O456" s="14">
        <f t="shared" si="110"/>
        <v>1</v>
      </c>
      <c r="P456" s="706"/>
      <c r="Q456" s="14">
        <f t="shared" si="111"/>
        <v>0</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6"/>
      <c r="E457" s="14">
        <f t="shared" si="105"/>
        <v>0.18</v>
      </c>
      <c r="F457" s="706"/>
      <c r="G457" s="14">
        <f t="shared" si="106"/>
        <v>1</v>
      </c>
      <c r="H457" s="706"/>
      <c r="I457" s="14">
        <f t="shared" si="107"/>
        <v>0.08</v>
      </c>
      <c r="J457" s="706"/>
      <c r="K457" s="14">
        <f t="shared" si="108"/>
        <v>1</v>
      </c>
      <c r="L457" s="706"/>
      <c r="M457" s="14">
        <f t="shared" si="109"/>
        <v>1</v>
      </c>
      <c r="N457" s="706"/>
      <c r="O457" s="14">
        <f t="shared" si="110"/>
        <v>1</v>
      </c>
      <c r="P457" s="706"/>
      <c r="Q457" s="14">
        <f t="shared" si="111"/>
        <v>0</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6"/>
      <c r="E458" s="14">
        <f t="shared" si="105"/>
        <v>0.18</v>
      </c>
      <c r="F458" s="706"/>
      <c r="G458" s="14">
        <f t="shared" si="106"/>
        <v>1</v>
      </c>
      <c r="H458" s="706"/>
      <c r="I458" s="14">
        <f t="shared" si="107"/>
        <v>0.08</v>
      </c>
      <c r="J458" s="706"/>
      <c r="K458" s="14">
        <f t="shared" si="108"/>
        <v>1</v>
      </c>
      <c r="L458" s="706"/>
      <c r="M458" s="14">
        <f t="shared" si="109"/>
        <v>1</v>
      </c>
      <c r="N458" s="706"/>
      <c r="O458" s="14">
        <f t="shared" si="110"/>
        <v>1</v>
      </c>
      <c r="P458" s="706"/>
      <c r="Q458" s="14">
        <f t="shared" si="111"/>
        <v>0</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6"/>
      <c r="E459" s="14">
        <f t="shared" si="105"/>
        <v>0.18</v>
      </c>
      <c r="F459" s="706"/>
      <c r="G459" s="14">
        <f t="shared" si="106"/>
        <v>1</v>
      </c>
      <c r="H459" s="706"/>
      <c r="I459" s="14">
        <f t="shared" si="107"/>
        <v>0.08</v>
      </c>
      <c r="J459" s="706"/>
      <c r="K459" s="14">
        <f t="shared" si="108"/>
        <v>1</v>
      </c>
      <c r="L459" s="706"/>
      <c r="M459" s="14">
        <f t="shared" si="109"/>
        <v>1</v>
      </c>
      <c r="N459" s="706"/>
      <c r="O459" s="14">
        <f t="shared" si="110"/>
        <v>1</v>
      </c>
      <c r="P459" s="706"/>
      <c r="Q459" s="14">
        <f t="shared" si="111"/>
        <v>0</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6"/>
      <c r="E460" s="14">
        <f t="shared" si="105"/>
        <v>0.18</v>
      </c>
      <c r="F460" s="706"/>
      <c r="G460" s="14">
        <f t="shared" si="106"/>
        <v>1</v>
      </c>
      <c r="H460" s="706"/>
      <c r="I460" s="14">
        <f t="shared" si="107"/>
        <v>0.08</v>
      </c>
      <c r="J460" s="706"/>
      <c r="K460" s="14">
        <f t="shared" si="108"/>
        <v>1</v>
      </c>
      <c r="L460" s="706"/>
      <c r="M460" s="14">
        <f t="shared" si="109"/>
        <v>1</v>
      </c>
      <c r="N460" s="706"/>
      <c r="O460" s="14">
        <f t="shared" si="110"/>
        <v>1</v>
      </c>
      <c r="P460" s="706"/>
      <c r="Q460" s="14">
        <f t="shared" si="111"/>
        <v>0</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6"/>
      <c r="E461" s="14">
        <f t="shared" si="105"/>
        <v>0.18</v>
      </c>
      <c r="F461" s="706"/>
      <c r="G461" s="14">
        <f t="shared" si="106"/>
        <v>1</v>
      </c>
      <c r="H461" s="706"/>
      <c r="I461" s="14">
        <f t="shared" si="107"/>
        <v>0.08</v>
      </c>
      <c r="J461" s="706"/>
      <c r="K461" s="14">
        <f t="shared" si="108"/>
        <v>1</v>
      </c>
      <c r="L461" s="706"/>
      <c r="M461" s="14">
        <f t="shared" si="109"/>
        <v>1</v>
      </c>
      <c r="N461" s="706"/>
      <c r="O461" s="14">
        <f t="shared" si="110"/>
        <v>1</v>
      </c>
      <c r="P461" s="706"/>
      <c r="Q461" s="14">
        <f t="shared" si="111"/>
        <v>0</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6"/>
      <c r="E462" s="14">
        <f t="shared" si="105"/>
        <v>0.18</v>
      </c>
      <c r="F462" s="706"/>
      <c r="G462" s="14">
        <f t="shared" si="106"/>
        <v>1</v>
      </c>
      <c r="H462" s="706"/>
      <c r="I462" s="14">
        <f t="shared" si="107"/>
        <v>0.08</v>
      </c>
      <c r="J462" s="706"/>
      <c r="K462" s="14">
        <f t="shared" si="108"/>
        <v>1</v>
      </c>
      <c r="L462" s="706"/>
      <c r="M462" s="14">
        <f t="shared" si="109"/>
        <v>1</v>
      </c>
      <c r="N462" s="706"/>
      <c r="O462" s="14">
        <f t="shared" si="110"/>
        <v>1</v>
      </c>
      <c r="P462" s="706"/>
      <c r="Q462" s="14">
        <f t="shared" si="111"/>
        <v>0</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6"/>
      <c r="E463" s="14">
        <f t="shared" si="105"/>
        <v>0.18</v>
      </c>
      <c r="F463" s="706"/>
      <c r="G463" s="14">
        <f t="shared" si="106"/>
        <v>1</v>
      </c>
      <c r="H463" s="706"/>
      <c r="I463" s="14">
        <f t="shared" si="107"/>
        <v>0.08</v>
      </c>
      <c r="J463" s="706"/>
      <c r="K463" s="14">
        <f t="shared" si="108"/>
        <v>1</v>
      </c>
      <c r="L463" s="706"/>
      <c r="M463" s="14">
        <f t="shared" si="109"/>
        <v>1</v>
      </c>
      <c r="N463" s="706"/>
      <c r="O463" s="14">
        <f t="shared" si="110"/>
        <v>1</v>
      </c>
      <c r="P463" s="706"/>
      <c r="Q463" s="14">
        <f t="shared" si="111"/>
        <v>0</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6"/>
      <c r="E464" s="14">
        <f t="shared" si="105"/>
        <v>0.18</v>
      </c>
      <c r="F464" s="706"/>
      <c r="G464" s="14">
        <f t="shared" si="106"/>
        <v>1</v>
      </c>
      <c r="H464" s="706"/>
      <c r="I464" s="14">
        <f t="shared" si="107"/>
        <v>0.08</v>
      </c>
      <c r="J464" s="706"/>
      <c r="K464" s="14">
        <f t="shared" si="108"/>
        <v>1</v>
      </c>
      <c r="L464" s="706"/>
      <c r="M464" s="14">
        <f t="shared" si="109"/>
        <v>1</v>
      </c>
      <c r="N464" s="706"/>
      <c r="O464" s="14">
        <f t="shared" si="110"/>
        <v>1</v>
      </c>
      <c r="P464" s="706"/>
      <c r="Q464" s="14">
        <f t="shared" si="111"/>
        <v>0</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6"/>
      <c r="E465" s="14">
        <f t="shared" si="105"/>
        <v>0.18</v>
      </c>
      <c r="F465" s="706"/>
      <c r="G465" s="14">
        <f t="shared" si="106"/>
        <v>1</v>
      </c>
      <c r="H465" s="706"/>
      <c r="I465" s="14">
        <f t="shared" si="107"/>
        <v>0.08</v>
      </c>
      <c r="J465" s="706"/>
      <c r="K465" s="14">
        <f t="shared" si="108"/>
        <v>1</v>
      </c>
      <c r="L465" s="706"/>
      <c r="M465" s="14">
        <f t="shared" si="109"/>
        <v>1</v>
      </c>
      <c r="N465" s="706"/>
      <c r="O465" s="14">
        <f t="shared" si="110"/>
        <v>1</v>
      </c>
      <c r="P465" s="706"/>
      <c r="Q465" s="14">
        <f t="shared" si="111"/>
        <v>0</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6"/>
      <c r="E466" s="14">
        <f t="shared" si="105"/>
        <v>0.18</v>
      </c>
      <c r="F466" s="706"/>
      <c r="G466" s="14">
        <f t="shared" si="106"/>
        <v>1</v>
      </c>
      <c r="H466" s="706"/>
      <c r="I466" s="14">
        <f t="shared" si="107"/>
        <v>0.08</v>
      </c>
      <c r="J466" s="706"/>
      <c r="K466" s="14">
        <f t="shared" si="108"/>
        <v>1</v>
      </c>
      <c r="L466" s="706"/>
      <c r="M466" s="14">
        <f t="shared" si="109"/>
        <v>1</v>
      </c>
      <c r="N466" s="706"/>
      <c r="O466" s="14">
        <f t="shared" si="110"/>
        <v>1</v>
      </c>
      <c r="P466" s="706"/>
      <c r="Q466" s="14">
        <f t="shared" si="111"/>
        <v>0</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6"/>
      <c r="E467" s="14">
        <f t="shared" si="105"/>
        <v>0.18</v>
      </c>
      <c r="F467" s="706"/>
      <c r="G467" s="14">
        <f t="shared" si="106"/>
        <v>1</v>
      </c>
      <c r="H467" s="706"/>
      <c r="I467" s="14">
        <f t="shared" si="107"/>
        <v>0.08</v>
      </c>
      <c r="J467" s="706"/>
      <c r="K467" s="14">
        <f t="shared" si="108"/>
        <v>1</v>
      </c>
      <c r="L467" s="706"/>
      <c r="M467" s="14">
        <f t="shared" si="109"/>
        <v>1</v>
      </c>
      <c r="N467" s="706"/>
      <c r="O467" s="14">
        <f t="shared" si="110"/>
        <v>1</v>
      </c>
      <c r="P467" s="706"/>
      <c r="Q467" s="14">
        <f t="shared" si="111"/>
        <v>0</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6"/>
      <c r="E468" s="14">
        <f t="shared" si="105"/>
        <v>0.18</v>
      </c>
      <c r="F468" s="706"/>
      <c r="G468" s="14">
        <f t="shared" si="106"/>
        <v>1</v>
      </c>
      <c r="H468" s="706"/>
      <c r="I468" s="14">
        <f t="shared" si="107"/>
        <v>0.08</v>
      </c>
      <c r="J468" s="706"/>
      <c r="K468" s="14">
        <f t="shared" si="108"/>
        <v>1</v>
      </c>
      <c r="L468" s="706"/>
      <c r="M468" s="14">
        <f t="shared" si="109"/>
        <v>1</v>
      </c>
      <c r="N468" s="706"/>
      <c r="O468" s="14">
        <f t="shared" si="110"/>
        <v>1</v>
      </c>
      <c r="P468" s="706"/>
      <c r="Q468" s="14">
        <f t="shared" si="111"/>
        <v>0</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6"/>
      <c r="E469" s="14">
        <f t="shared" si="105"/>
        <v>0.18</v>
      </c>
      <c r="F469" s="706"/>
      <c r="G469" s="14">
        <f t="shared" si="106"/>
        <v>1</v>
      </c>
      <c r="H469" s="706"/>
      <c r="I469" s="14">
        <f t="shared" si="107"/>
        <v>0.08</v>
      </c>
      <c r="J469" s="706"/>
      <c r="K469" s="14">
        <f t="shared" si="108"/>
        <v>1</v>
      </c>
      <c r="L469" s="706"/>
      <c r="M469" s="14">
        <f t="shared" si="109"/>
        <v>1</v>
      </c>
      <c r="N469" s="706"/>
      <c r="O469" s="14">
        <f t="shared" si="110"/>
        <v>1</v>
      </c>
      <c r="P469" s="706"/>
      <c r="Q469" s="14">
        <f t="shared" si="111"/>
        <v>0</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6"/>
      <c r="E470" s="14">
        <f t="shared" si="105"/>
        <v>0.18</v>
      </c>
      <c r="F470" s="706"/>
      <c r="G470" s="14">
        <f t="shared" si="106"/>
        <v>1</v>
      </c>
      <c r="H470" s="706"/>
      <c r="I470" s="14">
        <f t="shared" si="107"/>
        <v>0.08</v>
      </c>
      <c r="J470" s="706"/>
      <c r="K470" s="14">
        <f t="shared" si="108"/>
        <v>1</v>
      </c>
      <c r="L470" s="706"/>
      <c r="M470" s="14">
        <f t="shared" si="109"/>
        <v>1</v>
      </c>
      <c r="N470" s="706"/>
      <c r="O470" s="14">
        <f t="shared" si="110"/>
        <v>1</v>
      </c>
      <c r="P470" s="706"/>
      <c r="Q470" s="14">
        <f t="shared" si="111"/>
        <v>0</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6"/>
      <c r="E471" s="14">
        <f t="shared" si="105"/>
        <v>0.18</v>
      </c>
      <c r="F471" s="706"/>
      <c r="G471" s="14">
        <f t="shared" si="106"/>
        <v>1</v>
      </c>
      <c r="H471" s="706"/>
      <c r="I471" s="14">
        <f t="shared" si="107"/>
        <v>0.08</v>
      </c>
      <c r="J471" s="706"/>
      <c r="K471" s="14">
        <f t="shared" si="108"/>
        <v>1</v>
      </c>
      <c r="L471" s="706"/>
      <c r="M471" s="14">
        <f t="shared" si="109"/>
        <v>1</v>
      </c>
      <c r="N471" s="706"/>
      <c r="O471" s="14">
        <f t="shared" si="110"/>
        <v>1</v>
      </c>
      <c r="P471" s="706"/>
      <c r="Q471" s="14">
        <f t="shared" si="111"/>
        <v>0</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6"/>
      <c r="E472" s="14">
        <f t="shared" si="105"/>
        <v>0.18</v>
      </c>
      <c r="F472" s="706"/>
      <c r="G472" s="14">
        <f t="shared" si="106"/>
        <v>1</v>
      </c>
      <c r="H472" s="706"/>
      <c r="I472" s="14">
        <f t="shared" si="107"/>
        <v>0.08</v>
      </c>
      <c r="J472" s="706"/>
      <c r="K472" s="14">
        <f t="shared" si="108"/>
        <v>1</v>
      </c>
      <c r="L472" s="706"/>
      <c r="M472" s="14">
        <f t="shared" si="109"/>
        <v>1</v>
      </c>
      <c r="N472" s="706"/>
      <c r="O472" s="14">
        <f t="shared" si="110"/>
        <v>1</v>
      </c>
      <c r="P472" s="706"/>
      <c r="Q472" s="14">
        <f t="shared" si="111"/>
        <v>0</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6"/>
      <c r="E473" s="14">
        <f t="shared" si="105"/>
        <v>0.18</v>
      </c>
      <c r="F473" s="706"/>
      <c r="G473" s="14">
        <f t="shared" si="106"/>
        <v>1</v>
      </c>
      <c r="H473" s="706"/>
      <c r="I473" s="14">
        <f t="shared" si="107"/>
        <v>0.08</v>
      </c>
      <c r="J473" s="706"/>
      <c r="K473" s="14">
        <f t="shared" si="108"/>
        <v>1</v>
      </c>
      <c r="L473" s="706"/>
      <c r="M473" s="14">
        <f t="shared" si="109"/>
        <v>1</v>
      </c>
      <c r="N473" s="706"/>
      <c r="O473" s="14">
        <f t="shared" si="110"/>
        <v>1</v>
      </c>
      <c r="P473" s="706"/>
      <c r="Q473" s="14">
        <f t="shared" si="111"/>
        <v>0</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6"/>
      <c r="E474" s="14">
        <f t="shared" si="105"/>
        <v>0.18</v>
      </c>
      <c r="F474" s="706"/>
      <c r="G474" s="14">
        <f t="shared" si="106"/>
        <v>1</v>
      </c>
      <c r="H474" s="706"/>
      <c r="I474" s="14">
        <f t="shared" si="107"/>
        <v>0.08</v>
      </c>
      <c r="J474" s="706"/>
      <c r="K474" s="14">
        <f t="shared" si="108"/>
        <v>1</v>
      </c>
      <c r="L474" s="706"/>
      <c r="M474" s="14">
        <f t="shared" si="109"/>
        <v>1</v>
      </c>
      <c r="N474" s="706"/>
      <c r="O474" s="14">
        <f t="shared" si="110"/>
        <v>1</v>
      </c>
      <c r="P474" s="706"/>
      <c r="Q474" s="14">
        <f t="shared" si="111"/>
        <v>0</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6"/>
      <c r="E475" s="14">
        <f t="shared" si="105"/>
        <v>0.18</v>
      </c>
      <c r="F475" s="706"/>
      <c r="G475" s="14">
        <f t="shared" si="106"/>
        <v>1</v>
      </c>
      <c r="H475" s="706"/>
      <c r="I475" s="14">
        <f t="shared" si="107"/>
        <v>0.08</v>
      </c>
      <c r="J475" s="706"/>
      <c r="K475" s="14">
        <f t="shared" si="108"/>
        <v>1</v>
      </c>
      <c r="L475" s="706"/>
      <c r="M475" s="14">
        <f t="shared" si="109"/>
        <v>1</v>
      </c>
      <c r="N475" s="706"/>
      <c r="O475" s="14">
        <f t="shared" si="110"/>
        <v>1</v>
      </c>
      <c r="P475" s="706"/>
      <c r="Q475" s="14">
        <f t="shared" si="111"/>
        <v>0</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6"/>
      <c r="E476" s="14">
        <f t="shared" ref="E476:E527" si="120">(SUMIF($8:$8,D476,$9:$9)-SUMIF($8:$8,$D$27,$9:$9)+100)/100</f>
        <v>0.18</v>
      </c>
      <c r="F476" s="706"/>
      <c r="G476" s="14">
        <f t="shared" ref="G476:G527" si="121">(SUMIF($10:$10,F476,$11:$11)-SUMIF($10:$10,$F$27,$11:$11)+100)/100</f>
        <v>1</v>
      </c>
      <c r="H476" s="706"/>
      <c r="I476" s="14">
        <f t="shared" ref="I476:I527" si="122">(SUMIF($12:$12,H476,$13:$13)-SUMIF($12:$12,$H$27,$13:$13)+100)/100</f>
        <v>0.08</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6"/>
      <c r="E477" s="14">
        <f t="shared" si="120"/>
        <v>0.18</v>
      </c>
      <c r="F477" s="706"/>
      <c r="G477" s="14">
        <f t="shared" si="121"/>
        <v>1</v>
      </c>
      <c r="H477" s="706"/>
      <c r="I477" s="14">
        <f t="shared" si="122"/>
        <v>0.08</v>
      </c>
      <c r="J477" s="706"/>
      <c r="K477" s="14">
        <f t="shared" si="123"/>
        <v>1</v>
      </c>
      <c r="L477" s="706"/>
      <c r="M477" s="14">
        <f t="shared" si="124"/>
        <v>1</v>
      </c>
      <c r="N477" s="706"/>
      <c r="O477" s="14">
        <f t="shared" si="125"/>
        <v>1</v>
      </c>
      <c r="P477" s="706"/>
      <c r="Q477" s="14">
        <f t="shared" si="126"/>
        <v>0</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6"/>
      <c r="E478" s="14">
        <f t="shared" si="120"/>
        <v>0.18</v>
      </c>
      <c r="F478" s="706"/>
      <c r="G478" s="14">
        <f t="shared" si="121"/>
        <v>1</v>
      </c>
      <c r="H478" s="706"/>
      <c r="I478" s="14">
        <f t="shared" si="122"/>
        <v>0.08</v>
      </c>
      <c r="J478" s="706"/>
      <c r="K478" s="14">
        <f t="shared" si="123"/>
        <v>1</v>
      </c>
      <c r="L478" s="706"/>
      <c r="M478" s="14">
        <f t="shared" si="124"/>
        <v>1</v>
      </c>
      <c r="N478" s="706"/>
      <c r="O478" s="14">
        <f t="shared" si="125"/>
        <v>1</v>
      </c>
      <c r="P478" s="706"/>
      <c r="Q478" s="14">
        <f t="shared" si="126"/>
        <v>0</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6"/>
      <c r="E479" s="14">
        <f t="shared" si="120"/>
        <v>0.18</v>
      </c>
      <c r="F479" s="706"/>
      <c r="G479" s="14">
        <f t="shared" si="121"/>
        <v>1</v>
      </c>
      <c r="H479" s="706"/>
      <c r="I479" s="14">
        <f t="shared" si="122"/>
        <v>0.08</v>
      </c>
      <c r="J479" s="706"/>
      <c r="K479" s="14">
        <f t="shared" si="123"/>
        <v>1</v>
      </c>
      <c r="L479" s="706"/>
      <c r="M479" s="14">
        <f t="shared" si="124"/>
        <v>1</v>
      </c>
      <c r="N479" s="706"/>
      <c r="O479" s="14">
        <f t="shared" si="125"/>
        <v>1</v>
      </c>
      <c r="P479" s="706"/>
      <c r="Q479" s="14">
        <f t="shared" si="126"/>
        <v>0</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6"/>
      <c r="E480" s="14">
        <f t="shared" si="120"/>
        <v>0.18</v>
      </c>
      <c r="F480" s="706"/>
      <c r="G480" s="14">
        <f t="shared" si="121"/>
        <v>1</v>
      </c>
      <c r="H480" s="706"/>
      <c r="I480" s="14">
        <f t="shared" si="122"/>
        <v>0.08</v>
      </c>
      <c r="J480" s="706"/>
      <c r="K480" s="14">
        <f t="shared" si="123"/>
        <v>1</v>
      </c>
      <c r="L480" s="706"/>
      <c r="M480" s="14">
        <f t="shared" si="124"/>
        <v>1</v>
      </c>
      <c r="N480" s="706"/>
      <c r="O480" s="14">
        <f t="shared" si="125"/>
        <v>1</v>
      </c>
      <c r="P480" s="706"/>
      <c r="Q480" s="14">
        <f t="shared" si="126"/>
        <v>0</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6"/>
      <c r="E481" s="14">
        <f t="shared" si="120"/>
        <v>0.18</v>
      </c>
      <c r="F481" s="706"/>
      <c r="G481" s="14">
        <f t="shared" si="121"/>
        <v>1</v>
      </c>
      <c r="H481" s="706"/>
      <c r="I481" s="14">
        <f t="shared" si="122"/>
        <v>0.08</v>
      </c>
      <c r="J481" s="706"/>
      <c r="K481" s="14">
        <f t="shared" si="123"/>
        <v>1</v>
      </c>
      <c r="L481" s="706"/>
      <c r="M481" s="14">
        <f t="shared" si="124"/>
        <v>1</v>
      </c>
      <c r="N481" s="706"/>
      <c r="O481" s="14">
        <f t="shared" si="125"/>
        <v>1</v>
      </c>
      <c r="P481" s="706"/>
      <c r="Q481" s="14">
        <f t="shared" si="126"/>
        <v>0</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6"/>
      <c r="E482" s="14">
        <f t="shared" si="120"/>
        <v>0.18</v>
      </c>
      <c r="F482" s="706"/>
      <c r="G482" s="14">
        <f t="shared" si="121"/>
        <v>1</v>
      </c>
      <c r="H482" s="706"/>
      <c r="I482" s="14">
        <f t="shared" si="122"/>
        <v>0.08</v>
      </c>
      <c r="J482" s="706"/>
      <c r="K482" s="14">
        <f t="shared" si="123"/>
        <v>1</v>
      </c>
      <c r="L482" s="706"/>
      <c r="M482" s="14">
        <f t="shared" si="124"/>
        <v>1</v>
      </c>
      <c r="N482" s="706"/>
      <c r="O482" s="14">
        <f t="shared" si="125"/>
        <v>1</v>
      </c>
      <c r="P482" s="706"/>
      <c r="Q482" s="14">
        <f t="shared" si="126"/>
        <v>0</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6"/>
      <c r="E483" s="14">
        <f t="shared" si="120"/>
        <v>0.18</v>
      </c>
      <c r="F483" s="706"/>
      <c r="G483" s="14">
        <f t="shared" si="121"/>
        <v>1</v>
      </c>
      <c r="H483" s="706"/>
      <c r="I483" s="14">
        <f t="shared" si="122"/>
        <v>0.08</v>
      </c>
      <c r="J483" s="706"/>
      <c r="K483" s="14">
        <f t="shared" si="123"/>
        <v>1</v>
      </c>
      <c r="L483" s="706"/>
      <c r="M483" s="14">
        <f t="shared" si="124"/>
        <v>1</v>
      </c>
      <c r="N483" s="706"/>
      <c r="O483" s="14">
        <f t="shared" si="125"/>
        <v>1</v>
      </c>
      <c r="P483" s="706"/>
      <c r="Q483" s="14">
        <f t="shared" si="126"/>
        <v>0</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6"/>
      <c r="E484" s="14">
        <f t="shared" si="120"/>
        <v>0.18</v>
      </c>
      <c r="F484" s="706"/>
      <c r="G484" s="14">
        <f t="shared" si="121"/>
        <v>1</v>
      </c>
      <c r="H484" s="706"/>
      <c r="I484" s="14">
        <f t="shared" si="122"/>
        <v>0.08</v>
      </c>
      <c r="J484" s="706"/>
      <c r="K484" s="14">
        <f t="shared" si="123"/>
        <v>1</v>
      </c>
      <c r="L484" s="706"/>
      <c r="M484" s="14">
        <f t="shared" si="124"/>
        <v>1</v>
      </c>
      <c r="N484" s="706"/>
      <c r="O484" s="14">
        <f t="shared" si="125"/>
        <v>1</v>
      </c>
      <c r="P484" s="706"/>
      <c r="Q484" s="14">
        <f t="shared" si="126"/>
        <v>0</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6"/>
      <c r="E485" s="14">
        <f t="shared" si="120"/>
        <v>0.18</v>
      </c>
      <c r="F485" s="706"/>
      <c r="G485" s="14">
        <f t="shared" si="121"/>
        <v>1</v>
      </c>
      <c r="H485" s="706"/>
      <c r="I485" s="14">
        <f t="shared" si="122"/>
        <v>0.08</v>
      </c>
      <c r="J485" s="706"/>
      <c r="K485" s="14">
        <f t="shared" si="123"/>
        <v>1</v>
      </c>
      <c r="L485" s="706"/>
      <c r="M485" s="14">
        <f t="shared" si="124"/>
        <v>1</v>
      </c>
      <c r="N485" s="706"/>
      <c r="O485" s="14">
        <f t="shared" si="125"/>
        <v>1</v>
      </c>
      <c r="P485" s="706"/>
      <c r="Q485" s="14">
        <f t="shared" si="126"/>
        <v>0</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6"/>
      <c r="E486" s="14">
        <f t="shared" si="120"/>
        <v>0.18</v>
      </c>
      <c r="F486" s="706"/>
      <c r="G486" s="14">
        <f t="shared" si="121"/>
        <v>1</v>
      </c>
      <c r="H486" s="706"/>
      <c r="I486" s="14">
        <f t="shared" si="122"/>
        <v>0.08</v>
      </c>
      <c r="J486" s="706"/>
      <c r="K486" s="14">
        <f t="shared" si="123"/>
        <v>1</v>
      </c>
      <c r="L486" s="706"/>
      <c r="M486" s="14">
        <f t="shared" si="124"/>
        <v>1</v>
      </c>
      <c r="N486" s="706"/>
      <c r="O486" s="14">
        <f t="shared" si="125"/>
        <v>1</v>
      </c>
      <c r="P486" s="706"/>
      <c r="Q486" s="14">
        <f t="shared" si="126"/>
        <v>0</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6"/>
      <c r="E487" s="14">
        <f t="shared" si="120"/>
        <v>0.18</v>
      </c>
      <c r="F487" s="706"/>
      <c r="G487" s="14">
        <f t="shared" si="121"/>
        <v>1</v>
      </c>
      <c r="H487" s="706"/>
      <c r="I487" s="14">
        <f t="shared" si="122"/>
        <v>0.08</v>
      </c>
      <c r="J487" s="706"/>
      <c r="K487" s="14">
        <f t="shared" si="123"/>
        <v>1</v>
      </c>
      <c r="L487" s="706"/>
      <c r="M487" s="14">
        <f t="shared" si="124"/>
        <v>1</v>
      </c>
      <c r="N487" s="706"/>
      <c r="O487" s="14">
        <f t="shared" si="125"/>
        <v>1</v>
      </c>
      <c r="P487" s="706"/>
      <c r="Q487" s="14">
        <f t="shared" si="126"/>
        <v>0</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6"/>
      <c r="E488" s="14">
        <f t="shared" si="120"/>
        <v>0.18</v>
      </c>
      <c r="F488" s="706"/>
      <c r="G488" s="14">
        <f t="shared" si="121"/>
        <v>1</v>
      </c>
      <c r="H488" s="706"/>
      <c r="I488" s="14">
        <f t="shared" si="122"/>
        <v>0.08</v>
      </c>
      <c r="J488" s="706"/>
      <c r="K488" s="14">
        <f t="shared" si="123"/>
        <v>1</v>
      </c>
      <c r="L488" s="706"/>
      <c r="M488" s="14">
        <f t="shared" si="124"/>
        <v>1</v>
      </c>
      <c r="N488" s="706"/>
      <c r="O488" s="14">
        <f t="shared" si="125"/>
        <v>1</v>
      </c>
      <c r="P488" s="706"/>
      <c r="Q488" s="14">
        <f t="shared" si="126"/>
        <v>0</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6"/>
      <c r="E489" s="14">
        <f t="shared" si="120"/>
        <v>0.18</v>
      </c>
      <c r="F489" s="706"/>
      <c r="G489" s="14">
        <f t="shared" si="121"/>
        <v>1</v>
      </c>
      <c r="H489" s="706"/>
      <c r="I489" s="14">
        <f t="shared" si="122"/>
        <v>0.08</v>
      </c>
      <c r="J489" s="706"/>
      <c r="K489" s="14">
        <f t="shared" si="123"/>
        <v>1</v>
      </c>
      <c r="L489" s="706"/>
      <c r="M489" s="14">
        <f t="shared" si="124"/>
        <v>1</v>
      </c>
      <c r="N489" s="706"/>
      <c r="O489" s="14">
        <f t="shared" si="125"/>
        <v>1</v>
      </c>
      <c r="P489" s="706"/>
      <c r="Q489" s="14">
        <f t="shared" si="126"/>
        <v>0</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6"/>
      <c r="E490" s="14">
        <f t="shared" si="120"/>
        <v>0.18</v>
      </c>
      <c r="F490" s="706"/>
      <c r="G490" s="14">
        <f t="shared" si="121"/>
        <v>1</v>
      </c>
      <c r="H490" s="706"/>
      <c r="I490" s="14">
        <f t="shared" si="122"/>
        <v>0.08</v>
      </c>
      <c r="J490" s="706"/>
      <c r="K490" s="14">
        <f t="shared" si="123"/>
        <v>1</v>
      </c>
      <c r="L490" s="706"/>
      <c r="M490" s="14">
        <f t="shared" si="124"/>
        <v>1</v>
      </c>
      <c r="N490" s="706"/>
      <c r="O490" s="14">
        <f t="shared" si="125"/>
        <v>1</v>
      </c>
      <c r="P490" s="706"/>
      <c r="Q490" s="14">
        <f t="shared" si="126"/>
        <v>0</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6"/>
      <c r="E491" s="14">
        <f t="shared" si="120"/>
        <v>0.18</v>
      </c>
      <c r="F491" s="706"/>
      <c r="G491" s="14">
        <f t="shared" si="121"/>
        <v>1</v>
      </c>
      <c r="H491" s="706"/>
      <c r="I491" s="14">
        <f t="shared" si="122"/>
        <v>0.08</v>
      </c>
      <c r="J491" s="706"/>
      <c r="K491" s="14">
        <f t="shared" si="123"/>
        <v>1</v>
      </c>
      <c r="L491" s="706"/>
      <c r="M491" s="14">
        <f t="shared" si="124"/>
        <v>1</v>
      </c>
      <c r="N491" s="706"/>
      <c r="O491" s="14">
        <f t="shared" si="125"/>
        <v>1</v>
      </c>
      <c r="P491" s="706"/>
      <c r="Q491" s="14">
        <f t="shared" si="126"/>
        <v>0</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6"/>
      <c r="E492" s="14">
        <f t="shared" si="120"/>
        <v>0.18</v>
      </c>
      <c r="F492" s="706"/>
      <c r="G492" s="14">
        <f t="shared" si="121"/>
        <v>1</v>
      </c>
      <c r="H492" s="706"/>
      <c r="I492" s="14">
        <f t="shared" si="122"/>
        <v>0.08</v>
      </c>
      <c r="J492" s="706"/>
      <c r="K492" s="14">
        <f t="shared" si="123"/>
        <v>1</v>
      </c>
      <c r="L492" s="706"/>
      <c r="M492" s="14">
        <f t="shared" si="124"/>
        <v>1</v>
      </c>
      <c r="N492" s="706"/>
      <c r="O492" s="14">
        <f t="shared" si="125"/>
        <v>1</v>
      </c>
      <c r="P492" s="706"/>
      <c r="Q492" s="14">
        <f t="shared" si="126"/>
        <v>0</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6"/>
      <c r="E493" s="14">
        <f t="shared" si="120"/>
        <v>0.18</v>
      </c>
      <c r="F493" s="706"/>
      <c r="G493" s="14">
        <f t="shared" si="121"/>
        <v>1</v>
      </c>
      <c r="H493" s="706"/>
      <c r="I493" s="14">
        <f t="shared" si="122"/>
        <v>0.08</v>
      </c>
      <c r="J493" s="706"/>
      <c r="K493" s="14">
        <f t="shared" si="123"/>
        <v>1</v>
      </c>
      <c r="L493" s="706"/>
      <c r="M493" s="14">
        <f t="shared" si="124"/>
        <v>1</v>
      </c>
      <c r="N493" s="706"/>
      <c r="O493" s="14">
        <f t="shared" si="125"/>
        <v>1</v>
      </c>
      <c r="P493" s="706"/>
      <c r="Q493" s="14">
        <f t="shared" si="126"/>
        <v>0</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6"/>
      <c r="E494" s="14">
        <f t="shared" si="120"/>
        <v>0.18</v>
      </c>
      <c r="F494" s="706"/>
      <c r="G494" s="14">
        <f t="shared" si="121"/>
        <v>1</v>
      </c>
      <c r="H494" s="706"/>
      <c r="I494" s="14">
        <f t="shared" si="122"/>
        <v>0.08</v>
      </c>
      <c r="J494" s="706"/>
      <c r="K494" s="14">
        <f t="shared" si="123"/>
        <v>1</v>
      </c>
      <c r="L494" s="706"/>
      <c r="M494" s="14">
        <f t="shared" si="124"/>
        <v>1</v>
      </c>
      <c r="N494" s="706"/>
      <c r="O494" s="14">
        <f t="shared" si="125"/>
        <v>1</v>
      </c>
      <c r="P494" s="706"/>
      <c r="Q494" s="14">
        <f t="shared" si="126"/>
        <v>0</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6"/>
      <c r="E495" s="14">
        <f t="shared" si="120"/>
        <v>0.18</v>
      </c>
      <c r="F495" s="706"/>
      <c r="G495" s="14">
        <f t="shared" si="121"/>
        <v>1</v>
      </c>
      <c r="H495" s="706"/>
      <c r="I495" s="14">
        <f t="shared" si="122"/>
        <v>0.08</v>
      </c>
      <c r="J495" s="706"/>
      <c r="K495" s="14">
        <f t="shared" si="123"/>
        <v>1</v>
      </c>
      <c r="L495" s="706"/>
      <c r="M495" s="14">
        <f t="shared" si="124"/>
        <v>1</v>
      </c>
      <c r="N495" s="706"/>
      <c r="O495" s="14">
        <f t="shared" si="125"/>
        <v>1</v>
      </c>
      <c r="P495" s="706"/>
      <c r="Q495" s="14">
        <f t="shared" si="126"/>
        <v>0</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6"/>
      <c r="E496" s="14">
        <f t="shared" si="120"/>
        <v>0.18</v>
      </c>
      <c r="F496" s="706"/>
      <c r="G496" s="14">
        <f t="shared" si="121"/>
        <v>1</v>
      </c>
      <c r="H496" s="706"/>
      <c r="I496" s="14">
        <f t="shared" si="122"/>
        <v>0.08</v>
      </c>
      <c r="J496" s="706"/>
      <c r="K496" s="14">
        <f t="shared" si="123"/>
        <v>1</v>
      </c>
      <c r="L496" s="706"/>
      <c r="M496" s="14">
        <f t="shared" si="124"/>
        <v>1</v>
      </c>
      <c r="N496" s="706"/>
      <c r="O496" s="14">
        <f t="shared" si="125"/>
        <v>1</v>
      </c>
      <c r="P496" s="706"/>
      <c r="Q496" s="14">
        <f t="shared" si="126"/>
        <v>0</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6"/>
      <c r="E497" s="14">
        <f t="shared" si="120"/>
        <v>0.18</v>
      </c>
      <c r="F497" s="706"/>
      <c r="G497" s="14">
        <f t="shared" si="121"/>
        <v>1</v>
      </c>
      <c r="H497" s="706"/>
      <c r="I497" s="14">
        <f t="shared" si="122"/>
        <v>0.08</v>
      </c>
      <c r="J497" s="706"/>
      <c r="K497" s="14">
        <f t="shared" si="123"/>
        <v>1</v>
      </c>
      <c r="L497" s="706"/>
      <c r="M497" s="14">
        <f t="shared" si="124"/>
        <v>1</v>
      </c>
      <c r="N497" s="706"/>
      <c r="O497" s="14">
        <f t="shared" si="125"/>
        <v>1</v>
      </c>
      <c r="P497" s="706"/>
      <c r="Q497" s="14">
        <f t="shared" si="126"/>
        <v>0</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6"/>
      <c r="E498" s="14">
        <f t="shared" si="120"/>
        <v>0.18</v>
      </c>
      <c r="F498" s="706"/>
      <c r="G498" s="14">
        <f t="shared" si="121"/>
        <v>1</v>
      </c>
      <c r="H498" s="706"/>
      <c r="I498" s="14">
        <f t="shared" si="122"/>
        <v>0.08</v>
      </c>
      <c r="J498" s="706"/>
      <c r="K498" s="14">
        <f t="shared" si="123"/>
        <v>1</v>
      </c>
      <c r="L498" s="706"/>
      <c r="M498" s="14">
        <f t="shared" si="124"/>
        <v>1</v>
      </c>
      <c r="N498" s="706"/>
      <c r="O498" s="14">
        <f t="shared" si="125"/>
        <v>1</v>
      </c>
      <c r="P498" s="706"/>
      <c r="Q498" s="14">
        <f t="shared" si="126"/>
        <v>0</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6"/>
      <c r="E499" s="14">
        <f t="shared" si="120"/>
        <v>0.18</v>
      </c>
      <c r="F499" s="706"/>
      <c r="G499" s="14">
        <f t="shared" si="121"/>
        <v>1</v>
      </c>
      <c r="H499" s="706"/>
      <c r="I499" s="14">
        <f t="shared" si="122"/>
        <v>0.08</v>
      </c>
      <c r="J499" s="706"/>
      <c r="K499" s="14">
        <f t="shared" si="123"/>
        <v>1</v>
      </c>
      <c r="L499" s="706"/>
      <c r="M499" s="14">
        <f t="shared" si="124"/>
        <v>1</v>
      </c>
      <c r="N499" s="706"/>
      <c r="O499" s="14">
        <f t="shared" si="125"/>
        <v>1</v>
      </c>
      <c r="P499" s="706"/>
      <c r="Q499" s="14">
        <f t="shared" si="126"/>
        <v>0</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6"/>
      <c r="E500" s="14">
        <f t="shared" si="120"/>
        <v>0.18</v>
      </c>
      <c r="F500" s="706"/>
      <c r="G500" s="14">
        <f t="shared" si="121"/>
        <v>1</v>
      </c>
      <c r="H500" s="706"/>
      <c r="I500" s="14">
        <f t="shared" si="122"/>
        <v>0.08</v>
      </c>
      <c r="J500" s="706"/>
      <c r="K500" s="14">
        <f t="shared" si="123"/>
        <v>1</v>
      </c>
      <c r="L500" s="706"/>
      <c r="M500" s="14">
        <f t="shared" si="124"/>
        <v>1</v>
      </c>
      <c r="N500" s="706"/>
      <c r="O500" s="14">
        <f t="shared" si="125"/>
        <v>1</v>
      </c>
      <c r="P500" s="706"/>
      <c r="Q500" s="14">
        <f t="shared" si="126"/>
        <v>0</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6"/>
      <c r="E501" s="14">
        <f t="shared" si="120"/>
        <v>0.18</v>
      </c>
      <c r="F501" s="706"/>
      <c r="G501" s="14">
        <f t="shared" si="121"/>
        <v>1</v>
      </c>
      <c r="H501" s="706"/>
      <c r="I501" s="14">
        <f t="shared" si="122"/>
        <v>0.08</v>
      </c>
      <c r="J501" s="706"/>
      <c r="K501" s="14">
        <f t="shared" si="123"/>
        <v>1</v>
      </c>
      <c r="L501" s="706"/>
      <c r="M501" s="14">
        <f t="shared" si="124"/>
        <v>1</v>
      </c>
      <c r="N501" s="706"/>
      <c r="O501" s="14">
        <f t="shared" si="125"/>
        <v>1</v>
      </c>
      <c r="P501" s="706"/>
      <c r="Q501" s="14">
        <f t="shared" si="126"/>
        <v>0</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6"/>
      <c r="E502" s="14">
        <f t="shared" si="120"/>
        <v>0.18</v>
      </c>
      <c r="F502" s="706"/>
      <c r="G502" s="14">
        <f t="shared" si="121"/>
        <v>1</v>
      </c>
      <c r="H502" s="706"/>
      <c r="I502" s="14">
        <f t="shared" si="122"/>
        <v>0.08</v>
      </c>
      <c r="J502" s="706"/>
      <c r="K502" s="14">
        <f t="shared" si="123"/>
        <v>1</v>
      </c>
      <c r="L502" s="706"/>
      <c r="M502" s="14">
        <f t="shared" si="124"/>
        <v>1</v>
      </c>
      <c r="N502" s="706"/>
      <c r="O502" s="14">
        <f t="shared" si="125"/>
        <v>1</v>
      </c>
      <c r="P502" s="706"/>
      <c r="Q502" s="14">
        <f t="shared" si="126"/>
        <v>0</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6"/>
      <c r="E503" s="14">
        <f t="shared" si="120"/>
        <v>0.18</v>
      </c>
      <c r="F503" s="706"/>
      <c r="G503" s="14">
        <f t="shared" si="121"/>
        <v>1</v>
      </c>
      <c r="H503" s="706"/>
      <c r="I503" s="14">
        <f t="shared" si="122"/>
        <v>0.08</v>
      </c>
      <c r="J503" s="706"/>
      <c r="K503" s="14">
        <f t="shared" si="123"/>
        <v>1</v>
      </c>
      <c r="L503" s="706"/>
      <c r="M503" s="14">
        <f t="shared" si="124"/>
        <v>1</v>
      </c>
      <c r="N503" s="706"/>
      <c r="O503" s="14">
        <f t="shared" si="125"/>
        <v>1</v>
      </c>
      <c r="P503" s="706"/>
      <c r="Q503" s="14">
        <f t="shared" si="126"/>
        <v>0</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6"/>
      <c r="E504" s="14">
        <f t="shared" si="120"/>
        <v>0.18</v>
      </c>
      <c r="F504" s="706"/>
      <c r="G504" s="14">
        <f t="shared" si="121"/>
        <v>1</v>
      </c>
      <c r="H504" s="706"/>
      <c r="I504" s="14">
        <f t="shared" si="122"/>
        <v>0.08</v>
      </c>
      <c r="J504" s="706"/>
      <c r="K504" s="14">
        <f t="shared" si="123"/>
        <v>1</v>
      </c>
      <c r="L504" s="706"/>
      <c r="M504" s="14">
        <f t="shared" si="124"/>
        <v>1</v>
      </c>
      <c r="N504" s="706"/>
      <c r="O504" s="14">
        <f t="shared" si="125"/>
        <v>1</v>
      </c>
      <c r="P504" s="706"/>
      <c r="Q504" s="14">
        <f t="shared" si="126"/>
        <v>0</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6"/>
      <c r="E505" s="14">
        <f t="shared" si="120"/>
        <v>0.18</v>
      </c>
      <c r="F505" s="706"/>
      <c r="G505" s="14">
        <f t="shared" si="121"/>
        <v>1</v>
      </c>
      <c r="H505" s="706"/>
      <c r="I505" s="14">
        <f t="shared" si="122"/>
        <v>0.08</v>
      </c>
      <c r="J505" s="706"/>
      <c r="K505" s="14">
        <f t="shared" si="123"/>
        <v>1</v>
      </c>
      <c r="L505" s="706"/>
      <c r="M505" s="14">
        <f t="shared" si="124"/>
        <v>1</v>
      </c>
      <c r="N505" s="706"/>
      <c r="O505" s="14">
        <f t="shared" si="125"/>
        <v>1</v>
      </c>
      <c r="P505" s="706"/>
      <c r="Q505" s="14">
        <f t="shared" si="126"/>
        <v>0</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6"/>
      <c r="E506" s="14">
        <f t="shared" si="120"/>
        <v>0.18</v>
      </c>
      <c r="F506" s="706"/>
      <c r="G506" s="14">
        <f t="shared" si="121"/>
        <v>1</v>
      </c>
      <c r="H506" s="706"/>
      <c r="I506" s="14">
        <f t="shared" si="122"/>
        <v>0.08</v>
      </c>
      <c r="J506" s="706"/>
      <c r="K506" s="14">
        <f t="shared" si="123"/>
        <v>1</v>
      </c>
      <c r="L506" s="706"/>
      <c r="M506" s="14">
        <f t="shared" si="124"/>
        <v>1</v>
      </c>
      <c r="N506" s="706"/>
      <c r="O506" s="14">
        <f t="shared" si="125"/>
        <v>1</v>
      </c>
      <c r="P506" s="706"/>
      <c r="Q506" s="14">
        <f t="shared" si="126"/>
        <v>0</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6"/>
      <c r="E507" s="14">
        <f t="shared" si="120"/>
        <v>0.18</v>
      </c>
      <c r="F507" s="706"/>
      <c r="G507" s="14">
        <f t="shared" si="121"/>
        <v>1</v>
      </c>
      <c r="H507" s="706"/>
      <c r="I507" s="14">
        <f t="shared" si="122"/>
        <v>0.08</v>
      </c>
      <c r="J507" s="706"/>
      <c r="K507" s="14">
        <f t="shared" si="123"/>
        <v>1</v>
      </c>
      <c r="L507" s="706"/>
      <c r="M507" s="14">
        <f t="shared" si="124"/>
        <v>1</v>
      </c>
      <c r="N507" s="706"/>
      <c r="O507" s="14">
        <f t="shared" si="125"/>
        <v>1</v>
      </c>
      <c r="P507" s="706"/>
      <c r="Q507" s="14">
        <f t="shared" si="126"/>
        <v>0</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6"/>
      <c r="E508" s="14">
        <f t="shared" si="120"/>
        <v>0.18</v>
      </c>
      <c r="F508" s="706"/>
      <c r="G508" s="14">
        <f t="shared" si="121"/>
        <v>1</v>
      </c>
      <c r="H508" s="706"/>
      <c r="I508" s="14">
        <f t="shared" si="122"/>
        <v>0.08</v>
      </c>
      <c r="J508" s="706"/>
      <c r="K508" s="14">
        <f t="shared" si="123"/>
        <v>1</v>
      </c>
      <c r="L508" s="706"/>
      <c r="M508" s="14">
        <f t="shared" si="124"/>
        <v>1</v>
      </c>
      <c r="N508" s="706"/>
      <c r="O508" s="14">
        <f t="shared" si="125"/>
        <v>1</v>
      </c>
      <c r="P508" s="706"/>
      <c r="Q508" s="14">
        <f t="shared" si="126"/>
        <v>0</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6"/>
      <c r="E509" s="14">
        <f t="shared" si="120"/>
        <v>0.18</v>
      </c>
      <c r="F509" s="706"/>
      <c r="G509" s="14">
        <f t="shared" si="121"/>
        <v>1</v>
      </c>
      <c r="H509" s="706"/>
      <c r="I509" s="14">
        <f t="shared" si="122"/>
        <v>0.08</v>
      </c>
      <c r="J509" s="706"/>
      <c r="K509" s="14">
        <f t="shared" si="123"/>
        <v>1</v>
      </c>
      <c r="L509" s="706"/>
      <c r="M509" s="14">
        <f t="shared" si="124"/>
        <v>1</v>
      </c>
      <c r="N509" s="706"/>
      <c r="O509" s="14">
        <f t="shared" si="125"/>
        <v>1</v>
      </c>
      <c r="P509" s="706"/>
      <c r="Q509" s="14">
        <f t="shared" si="126"/>
        <v>0</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6"/>
      <c r="E510" s="14">
        <f t="shared" si="120"/>
        <v>0.18</v>
      </c>
      <c r="F510" s="706"/>
      <c r="G510" s="14">
        <f t="shared" si="121"/>
        <v>1</v>
      </c>
      <c r="H510" s="706"/>
      <c r="I510" s="14">
        <f t="shared" si="122"/>
        <v>0.08</v>
      </c>
      <c r="J510" s="706"/>
      <c r="K510" s="14">
        <f t="shared" si="123"/>
        <v>1</v>
      </c>
      <c r="L510" s="706"/>
      <c r="M510" s="14">
        <f t="shared" si="124"/>
        <v>1</v>
      </c>
      <c r="N510" s="706"/>
      <c r="O510" s="14">
        <f t="shared" si="125"/>
        <v>1</v>
      </c>
      <c r="P510" s="706"/>
      <c r="Q510" s="14">
        <f t="shared" si="126"/>
        <v>0</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6"/>
      <c r="E511" s="14">
        <f t="shared" si="120"/>
        <v>0.18</v>
      </c>
      <c r="F511" s="706"/>
      <c r="G511" s="14">
        <f t="shared" si="121"/>
        <v>1</v>
      </c>
      <c r="H511" s="706"/>
      <c r="I511" s="14">
        <f t="shared" si="122"/>
        <v>0.08</v>
      </c>
      <c r="J511" s="706"/>
      <c r="K511" s="14">
        <f t="shared" si="123"/>
        <v>1</v>
      </c>
      <c r="L511" s="706"/>
      <c r="M511" s="14">
        <f t="shared" si="124"/>
        <v>1</v>
      </c>
      <c r="N511" s="706"/>
      <c r="O511" s="14">
        <f t="shared" si="125"/>
        <v>1</v>
      </c>
      <c r="P511" s="706"/>
      <c r="Q511" s="14">
        <f t="shared" si="126"/>
        <v>0</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6"/>
      <c r="E512" s="14">
        <f t="shared" si="120"/>
        <v>0.18</v>
      </c>
      <c r="F512" s="706"/>
      <c r="G512" s="14">
        <f t="shared" si="121"/>
        <v>1</v>
      </c>
      <c r="H512" s="706"/>
      <c r="I512" s="14">
        <f t="shared" si="122"/>
        <v>0.08</v>
      </c>
      <c r="J512" s="706"/>
      <c r="K512" s="14">
        <f t="shared" si="123"/>
        <v>1</v>
      </c>
      <c r="L512" s="706"/>
      <c r="M512" s="14">
        <f t="shared" si="124"/>
        <v>1</v>
      </c>
      <c r="N512" s="706"/>
      <c r="O512" s="14">
        <f t="shared" si="125"/>
        <v>1</v>
      </c>
      <c r="P512" s="706"/>
      <c r="Q512" s="14">
        <f t="shared" si="126"/>
        <v>0</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6"/>
      <c r="E513" s="14">
        <f t="shared" si="120"/>
        <v>0.18</v>
      </c>
      <c r="F513" s="706"/>
      <c r="G513" s="14">
        <f t="shared" si="121"/>
        <v>1</v>
      </c>
      <c r="H513" s="706"/>
      <c r="I513" s="14">
        <f t="shared" si="122"/>
        <v>0.08</v>
      </c>
      <c r="J513" s="706"/>
      <c r="K513" s="14">
        <f t="shared" si="123"/>
        <v>1</v>
      </c>
      <c r="L513" s="706"/>
      <c r="M513" s="14">
        <f t="shared" si="124"/>
        <v>1</v>
      </c>
      <c r="N513" s="706"/>
      <c r="O513" s="14">
        <f t="shared" si="125"/>
        <v>1</v>
      </c>
      <c r="P513" s="706"/>
      <c r="Q513" s="14">
        <f t="shared" si="126"/>
        <v>0</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6"/>
      <c r="E514" s="14">
        <f t="shared" si="120"/>
        <v>0.18</v>
      </c>
      <c r="F514" s="706"/>
      <c r="G514" s="14">
        <f t="shared" si="121"/>
        <v>1</v>
      </c>
      <c r="H514" s="706"/>
      <c r="I514" s="14">
        <f t="shared" si="122"/>
        <v>0.08</v>
      </c>
      <c r="J514" s="706"/>
      <c r="K514" s="14">
        <f t="shared" si="123"/>
        <v>1</v>
      </c>
      <c r="L514" s="706"/>
      <c r="M514" s="14">
        <f t="shared" si="124"/>
        <v>1</v>
      </c>
      <c r="N514" s="706"/>
      <c r="O514" s="14">
        <f t="shared" si="125"/>
        <v>1</v>
      </c>
      <c r="P514" s="706"/>
      <c r="Q514" s="14">
        <f t="shared" si="126"/>
        <v>0</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6"/>
      <c r="E515" s="14">
        <f t="shared" si="120"/>
        <v>0.18</v>
      </c>
      <c r="F515" s="706"/>
      <c r="G515" s="14">
        <f t="shared" si="121"/>
        <v>1</v>
      </c>
      <c r="H515" s="706"/>
      <c r="I515" s="14">
        <f t="shared" si="122"/>
        <v>0.08</v>
      </c>
      <c r="J515" s="706"/>
      <c r="K515" s="14">
        <f t="shared" si="123"/>
        <v>1</v>
      </c>
      <c r="L515" s="706"/>
      <c r="M515" s="14">
        <f t="shared" si="124"/>
        <v>1</v>
      </c>
      <c r="N515" s="706"/>
      <c r="O515" s="14">
        <f t="shared" si="125"/>
        <v>1</v>
      </c>
      <c r="P515" s="706"/>
      <c r="Q515" s="14">
        <f t="shared" si="126"/>
        <v>0</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6"/>
      <c r="E516" s="14">
        <f t="shared" si="120"/>
        <v>0.18</v>
      </c>
      <c r="F516" s="706"/>
      <c r="G516" s="14">
        <f t="shared" si="121"/>
        <v>1</v>
      </c>
      <c r="H516" s="706"/>
      <c r="I516" s="14">
        <f t="shared" si="122"/>
        <v>0.08</v>
      </c>
      <c r="J516" s="706"/>
      <c r="K516" s="14">
        <f t="shared" si="123"/>
        <v>1</v>
      </c>
      <c r="L516" s="706"/>
      <c r="M516" s="14">
        <f t="shared" si="124"/>
        <v>1</v>
      </c>
      <c r="N516" s="706"/>
      <c r="O516" s="14">
        <f t="shared" si="125"/>
        <v>1</v>
      </c>
      <c r="P516" s="706"/>
      <c r="Q516" s="14">
        <f t="shared" si="126"/>
        <v>0</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6"/>
      <c r="E517" s="14">
        <f t="shared" si="120"/>
        <v>0.18</v>
      </c>
      <c r="F517" s="706"/>
      <c r="G517" s="14">
        <f t="shared" si="121"/>
        <v>1</v>
      </c>
      <c r="H517" s="706"/>
      <c r="I517" s="14">
        <f t="shared" si="122"/>
        <v>0.08</v>
      </c>
      <c r="J517" s="706"/>
      <c r="K517" s="14">
        <f t="shared" si="123"/>
        <v>1</v>
      </c>
      <c r="L517" s="706"/>
      <c r="M517" s="14">
        <f t="shared" si="124"/>
        <v>1</v>
      </c>
      <c r="N517" s="706"/>
      <c r="O517" s="14">
        <f t="shared" si="125"/>
        <v>1</v>
      </c>
      <c r="P517" s="706"/>
      <c r="Q517" s="14">
        <f t="shared" si="126"/>
        <v>0</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6"/>
      <c r="E518" s="14">
        <f t="shared" si="120"/>
        <v>0.18</v>
      </c>
      <c r="F518" s="706"/>
      <c r="G518" s="14">
        <f t="shared" si="121"/>
        <v>1</v>
      </c>
      <c r="H518" s="706"/>
      <c r="I518" s="14">
        <f t="shared" si="122"/>
        <v>0.08</v>
      </c>
      <c r="J518" s="706"/>
      <c r="K518" s="14">
        <f t="shared" si="123"/>
        <v>1</v>
      </c>
      <c r="L518" s="706"/>
      <c r="M518" s="14">
        <f t="shared" si="124"/>
        <v>1</v>
      </c>
      <c r="N518" s="706"/>
      <c r="O518" s="14">
        <f t="shared" si="125"/>
        <v>1</v>
      </c>
      <c r="P518" s="706"/>
      <c r="Q518" s="14">
        <f t="shared" si="126"/>
        <v>0</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6"/>
      <c r="E519" s="14">
        <f t="shared" si="120"/>
        <v>0.18</v>
      </c>
      <c r="F519" s="706"/>
      <c r="G519" s="14">
        <f t="shared" si="121"/>
        <v>1</v>
      </c>
      <c r="H519" s="706"/>
      <c r="I519" s="14">
        <f t="shared" si="122"/>
        <v>0.08</v>
      </c>
      <c r="J519" s="706"/>
      <c r="K519" s="14">
        <f t="shared" si="123"/>
        <v>1</v>
      </c>
      <c r="L519" s="706"/>
      <c r="M519" s="14">
        <f t="shared" si="124"/>
        <v>1</v>
      </c>
      <c r="N519" s="706"/>
      <c r="O519" s="14">
        <f t="shared" si="125"/>
        <v>1</v>
      </c>
      <c r="P519" s="706"/>
      <c r="Q519" s="14">
        <f t="shared" si="126"/>
        <v>0</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6"/>
      <c r="E520" s="14">
        <f t="shared" si="120"/>
        <v>0.18</v>
      </c>
      <c r="F520" s="706"/>
      <c r="G520" s="14">
        <f t="shared" si="121"/>
        <v>1</v>
      </c>
      <c r="H520" s="706"/>
      <c r="I520" s="14">
        <f t="shared" si="122"/>
        <v>0.08</v>
      </c>
      <c r="J520" s="706"/>
      <c r="K520" s="14">
        <f t="shared" si="123"/>
        <v>1</v>
      </c>
      <c r="L520" s="706"/>
      <c r="M520" s="14">
        <f t="shared" si="124"/>
        <v>1</v>
      </c>
      <c r="N520" s="706"/>
      <c r="O520" s="14">
        <f t="shared" si="125"/>
        <v>1</v>
      </c>
      <c r="P520" s="706"/>
      <c r="Q520" s="14">
        <f t="shared" si="126"/>
        <v>0</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6"/>
      <c r="E521" s="14">
        <f t="shared" si="120"/>
        <v>0.18</v>
      </c>
      <c r="F521" s="706"/>
      <c r="G521" s="14">
        <f t="shared" si="121"/>
        <v>1</v>
      </c>
      <c r="H521" s="706"/>
      <c r="I521" s="14">
        <f t="shared" si="122"/>
        <v>0.08</v>
      </c>
      <c r="J521" s="706"/>
      <c r="K521" s="14">
        <f t="shared" si="123"/>
        <v>1</v>
      </c>
      <c r="L521" s="706"/>
      <c r="M521" s="14">
        <f t="shared" si="124"/>
        <v>1</v>
      </c>
      <c r="N521" s="706"/>
      <c r="O521" s="14">
        <f t="shared" si="125"/>
        <v>1</v>
      </c>
      <c r="P521" s="706"/>
      <c r="Q521" s="14">
        <f t="shared" si="126"/>
        <v>0</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6"/>
      <c r="E522" s="14">
        <f t="shared" si="120"/>
        <v>0.18</v>
      </c>
      <c r="F522" s="706"/>
      <c r="G522" s="14">
        <f t="shared" si="121"/>
        <v>1</v>
      </c>
      <c r="H522" s="706"/>
      <c r="I522" s="14">
        <f t="shared" si="122"/>
        <v>0.08</v>
      </c>
      <c r="J522" s="706"/>
      <c r="K522" s="14">
        <f t="shared" si="123"/>
        <v>1</v>
      </c>
      <c r="L522" s="706"/>
      <c r="M522" s="14">
        <f t="shared" si="124"/>
        <v>1</v>
      </c>
      <c r="N522" s="706"/>
      <c r="O522" s="14">
        <f t="shared" si="125"/>
        <v>1</v>
      </c>
      <c r="P522" s="706"/>
      <c r="Q522" s="14">
        <f t="shared" si="126"/>
        <v>0</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6"/>
      <c r="E523" s="14">
        <f t="shared" si="120"/>
        <v>0.18</v>
      </c>
      <c r="F523" s="706"/>
      <c r="G523" s="14">
        <f t="shared" si="121"/>
        <v>1</v>
      </c>
      <c r="H523" s="706"/>
      <c r="I523" s="14">
        <f t="shared" si="122"/>
        <v>0.08</v>
      </c>
      <c r="J523" s="706"/>
      <c r="K523" s="14">
        <f t="shared" si="123"/>
        <v>1</v>
      </c>
      <c r="L523" s="706"/>
      <c r="M523" s="14">
        <f t="shared" si="124"/>
        <v>1</v>
      </c>
      <c r="N523" s="706"/>
      <c r="O523" s="14">
        <f t="shared" si="125"/>
        <v>1</v>
      </c>
      <c r="P523" s="706"/>
      <c r="Q523" s="14">
        <f t="shared" si="126"/>
        <v>0</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6"/>
      <c r="E524" s="14">
        <f t="shared" si="120"/>
        <v>0.18</v>
      </c>
      <c r="F524" s="706"/>
      <c r="G524" s="14">
        <f t="shared" si="121"/>
        <v>1</v>
      </c>
      <c r="H524" s="706"/>
      <c r="I524" s="14">
        <f t="shared" si="122"/>
        <v>0.08</v>
      </c>
      <c r="J524" s="706"/>
      <c r="K524" s="14">
        <f t="shared" si="123"/>
        <v>1</v>
      </c>
      <c r="L524" s="706"/>
      <c r="M524" s="14">
        <f t="shared" si="124"/>
        <v>1</v>
      </c>
      <c r="N524" s="706"/>
      <c r="O524" s="14">
        <f t="shared" si="125"/>
        <v>1</v>
      </c>
      <c r="P524" s="706"/>
      <c r="Q524" s="14">
        <f t="shared" si="126"/>
        <v>0</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6"/>
      <c r="E525" s="14">
        <f t="shared" si="120"/>
        <v>0.18</v>
      </c>
      <c r="F525" s="706"/>
      <c r="G525" s="14">
        <f t="shared" si="121"/>
        <v>1</v>
      </c>
      <c r="H525" s="706"/>
      <c r="I525" s="14">
        <f t="shared" si="122"/>
        <v>0.08</v>
      </c>
      <c r="J525" s="706"/>
      <c r="K525" s="14">
        <f t="shared" si="123"/>
        <v>1</v>
      </c>
      <c r="L525" s="706"/>
      <c r="M525" s="14">
        <f t="shared" si="124"/>
        <v>1</v>
      </c>
      <c r="N525" s="706"/>
      <c r="O525" s="14">
        <f t="shared" si="125"/>
        <v>1</v>
      </c>
      <c r="P525" s="706"/>
      <c r="Q525" s="14">
        <f t="shared" si="126"/>
        <v>0</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6"/>
      <c r="E526" s="14">
        <f t="shared" si="120"/>
        <v>0.18</v>
      </c>
      <c r="F526" s="706"/>
      <c r="G526" s="14">
        <f t="shared" si="121"/>
        <v>1</v>
      </c>
      <c r="H526" s="706"/>
      <c r="I526" s="14">
        <f t="shared" si="122"/>
        <v>0.08</v>
      </c>
      <c r="J526" s="706"/>
      <c r="K526" s="14">
        <f t="shared" si="123"/>
        <v>1</v>
      </c>
      <c r="L526" s="706"/>
      <c r="M526" s="14">
        <f t="shared" si="124"/>
        <v>1</v>
      </c>
      <c r="N526" s="706"/>
      <c r="O526" s="14">
        <f t="shared" si="125"/>
        <v>1</v>
      </c>
      <c r="P526" s="706"/>
      <c r="Q526" s="14">
        <f t="shared" si="126"/>
        <v>0</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6"/>
      <c r="E527" s="14">
        <f t="shared" si="120"/>
        <v>0.18</v>
      </c>
      <c r="F527" s="706"/>
      <c r="G527" s="14">
        <f t="shared" si="121"/>
        <v>1</v>
      </c>
      <c r="H527" s="706"/>
      <c r="I527" s="14">
        <f t="shared" si="122"/>
        <v>0.08</v>
      </c>
      <c r="J527" s="706"/>
      <c r="K527" s="14">
        <f t="shared" si="123"/>
        <v>1</v>
      </c>
      <c r="L527" s="706"/>
      <c r="M527" s="14">
        <f t="shared" si="124"/>
        <v>1</v>
      </c>
      <c r="N527" s="706"/>
      <c r="O527" s="14">
        <f t="shared" si="125"/>
        <v>1</v>
      </c>
      <c r="P527" s="706"/>
      <c r="Q527" s="14">
        <f t="shared" si="126"/>
        <v>0</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28"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944</v>
      </c>
      <c r="B8" s="1178" t="s">
        <v>943</v>
      </c>
      <c r="C8" s="1037"/>
    </row>
    <row r="9" spans="1:7">
      <c r="A9" s="1176"/>
      <c r="B9" s="1890" t="str">
        <f>项目基本情况!B1</f>
        <v>辽宁省大连市房地产市场价值预评估</v>
      </c>
      <c r="C9" s="1038"/>
      <c r="D9" s="1039"/>
      <c r="E9" s="1039"/>
      <c r="F9" s="1039"/>
      <c r="G9" s="1039"/>
    </row>
    <row r="10" spans="1:7">
      <c r="A10" s="1176"/>
      <c r="B10" s="1072"/>
      <c r="C10" s="1038"/>
      <c r="D10" s="1039"/>
      <c r="E10" s="1039"/>
      <c r="F10" s="1039"/>
      <c r="G10" s="1039"/>
    </row>
    <row r="11" spans="1:7">
      <c r="A11" s="1179" t="s">
        <v>944</v>
      </c>
      <c r="B11" s="1178" t="s">
        <v>945</v>
      </c>
      <c r="C11" s="1037"/>
    </row>
    <row r="12" spans="1:7">
      <c r="A12" s="1176"/>
      <c r="B12" s="1891" t="str">
        <f>项目基本情况!B4</f>
        <v>xx</v>
      </c>
      <c r="C12" s="1037"/>
    </row>
    <row r="13" spans="1:7">
      <c r="A13" s="1176"/>
      <c r="B13" s="1071"/>
      <c r="C13" s="1037"/>
    </row>
    <row r="14" spans="1:7">
      <c r="A14" s="1179" t="s">
        <v>944</v>
      </c>
      <c r="B14" s="1178" t="s">
        <v>946</v>
      </c>
      <c r="C14" s="1037"/>
    </row>
    <row r="15" spans="1:7">
      <c r="A15" s="1176"/>
      <c r="B15" s="1891" t="s">
        <v>775</v>
      </c>
      <c r="C15" s="1037"/>
    </row>
    <row r="16" spans="1:7">
      <c r="A16" s="1176"/>
      <c r="B16" s="1071"/>
      <c r="C16" s="1037"/>
    </row>
    <row r="17" spans="1:5">
      <c r="A17" s="1179" t="s">
        <v>944</v>
      </c>
      <c r="B17" s="1178" t="s">
        <v>947</v>
      </c>
      <c r="C17" s="1037"/>
    </row>
    <row r="18" spans="1:5" s="1041" customFormat="1">
      <c r="A18" s="1177"/>
      <c r="B18" s="1891" t="str">
        <f ca="1">CONCATENATE(项目基本情况!B3,"（注册号:",项目基本情况!C3,"）、",项目基本情况!D3,"（注册号:",项目基本情况!E3,")")</f>
        <v>吴薇（注册号:1419970001）、崔锴（注册号:1120100036)</v>
      </c>
      <c r="C18" s="1040"/>
      <c r="E18" s="1040"/>
    </row>
    <row r="19" spans="1:5">
      <c r="A19" s="1176"/>
      <c r="B19" s="1071"/>
      <c r="C19" s="1037"/>
    </row>
    <row r="20" spans="1:5">
      <c r="A20" s="1179" t="s">
        <v>944</v>
      </c>
      <c r="B20" s="1178" t="s">
        <v>948</v>
      </c>
      <c r="C20" s="1037"/>
    </row>
    <row r="21" spans="1:5">
      <c r="A21" s="1176"/>
      <c r="B21" s="1891"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F28" sqref="F2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2088</v>
      </c>
      <c r="B1" s="306"/>
      <c r="C1" s="729"/>
      <c r="D1" s="2679" t="s">
        <v>2859</v>
      </c>
      <c r="E1" s="2680" t="s">
        <v>1248</v>
      </c>
      <c r="F1" s="2681"/>
      <c r="G1" s="2682"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1998</v>
      </c>
      <c r="B2" s="764">
        <f ca="1">IF(C2="元",IF('数据-取费表'!B28="租赁期内按合同租金",C40+L47+J29,C40+L47),ROUND(IF('数据-取费表'!B28="租赁期内按合同租金",(C40+L47+J29)/10000,(C40+L47)/10000),0))</f>
        <v>20</v>
      </c>
      <c r="C2" s="2320" t="str">
        <f>'数据-取费表'!B3</f>
        <v>万元</v>
      </c>
      <c r="D2" s="1206"/>
      <c r="E2" s="1207"/>
      <c r="F2" s="1207"/>
      <c r="G2" s="1232"/>
      <c r="H2" s="728"/>
      <c r="I2" s="1208"/>
      <c r="J2" s="1208"/>
      <c r="K2" s="1209"/>
      <c r="L2" s="1208"/>
      <c r="M2" s="1208"/>
    </row>
    <row r="3" spans="1:37" ht="18" customHeight="1" thickBot="1">
      <c r="A3" s="310" t="s">
        <v>1999</v>
      </c>
      <c r="B3" s="765">
        <f ca="1">ROUND(IF('数据-取费表'!B28="租赁期内按合同租金",(C40+L47+J29)/F43,(C40+L47)/F43),0)</f>
        <v>2038</v>
      </c>
      <c r="C3" s="2320" t="s">
        <v>2089</v>
      </c>
      <c r="D3" s="1206"/>
      <c r="E3" s="1207"/>
      <c r="F3" s="1207"/>
      <c r="G3" s="1232"/>
      <c r="H3" s="311" t="s">
        <v>2090</v>
      </c>
      <c r="I3" s="1208"/>
      <c r="J3" s="1208"/>
      <c r="K3" s="1209"/>
      <c r="L3" s="1208"/>
      <c r="M3" s="1208"/>
    </row>
    <row r="4" spans="1:37" ht="18" customHeight="1">
      <c r="A4" s="312" t="s">
        <v>2091</v>
      </c>
      <c r="B4" s="313" t="s">
        <v>2092</v>
      </c>
      <c r="C4" s="313" t="s">
        <v>2093</v>
      </c>
      <c r="D4" s="313" t="s">
        <v>2094</v>
      </c>
      <c r="E4" s="314" t="s">
        <v>2095</v>
      </c>
      <c r="F4" s="315"/>
      <c r="G4" s="1230"/>
      <c r="H4" s="312" t="s">
        <v>2091</v>
      </c>
      <c r="I4" s="313" t="s">
        <v>2092</v>
      </c>
      <c r="J4" s="313" t="s">
        <v>2093</v>
      </c>
      <c r="K4" s="313" t="s">
        <v>2094</v>
      </c>
      <c r="L4" s="314" t="s">
        <v>2095</v>
      </c>
      <c r="M4" s="315"/>
    </row>
    <row r="5" spans="1:37" ht="18" customHeight="1">
      <c r="A5" s="316">
        <v>1</v>
      </c>
      <c r="B5" s="317" t="s">
        <v>2096</v>
      </c>
      <c r="C5" s="318">
        <f ca="1">C6+C10+C12</f>
        <v>21627</v>
      </c>
      <c r="D5" s="2733" t="s">
        <v>2812</v>
      </c>
      <c r="E5" s="1206"/>
      <c r="F5" s="1375"/>
      <c r="G5" s="1230"/>
      <c r="H5" s="316">
        <v>1</v>
      </c>
      <c r="I5" s="317" t="s">
        <v>2096</v>
      </c>
      <c r="J5" s="318">
        <f ca="1">J6+J10+J12</f>
        <v>0</v>
      </c>
      <c r="K5" s="2321" t="s">
        <v>2097</v>
      </c>
      <c r="L5" s="1206"/>
      <c r="M5" s="1375"/>
    </row>
    <row r="6" spans="1:37" ht="18" customHeight="1">
      <c r="A6" s="1376" t="s">
        <v>2098</v>
      </c>
      <c r="B6" s="2007" t="s">
        <v>2099</v>
      </c>
      <c r="C6" s="318">
        <f>ROUND(F6*F8*F7*(1-F9),0)</f>
        <v>21600</v>
      </c>
      <c r="D6" s="80" t="s">
        <v>2786</v>
      </c>
      <c r="E6" s="319" t="s">
        <v>2100</v>
      </c>
      <c r="F6" s="320">
        <f>'数据-取费表'!B29</f>
        <v>2000</v>
      </c>
      <c r="G6" s="1230"/>
      <c r="H6" s="1376" t="s">
        <v>2098</v>
      </c>
      <c r="I6" s="2007" t="s">
        <v>2099</v>
      </c>
      <c r="J6" s="318">
        <f>ROUND(M6*M8*M7*(1-M9),0)</f>
        <v>0</v>
      </c>
      <c r="K6" s="80" t="s">
        <v>2786</v>
      </c>
      <c r="L6" s="319" t="s">
        <v>2100</v>
      </c>
      <c r="M6" s="320">
        <f>'数据-取费表'!B36</f>
        <v>0</v>
      </c>
    </row>
    <row r="7" spans="1:37" ht="18" customHeight="1">
      <c r="A7" s="1439"/>
      <c r="B7" s="322"/>
      <c r="C7" s="323"/>
      <c r="D7" s="324"/>
      <c r="E7" s="319" t="s">
        <v>2101</v>
      </c>
      <c r="F7" s="320">
        <f>IF('数据-取费表'!B41="",IF(D1="仅计算典型户型",'数据-取费表'!E5,'数据-取费表'!B5),'数据-取费表'!B41)</f>
        <v>1</v>
      </c>
      <c r="G7" s="1230"/>
      <c r="H7" s="321"/>
      <c r="I7" s="322"/>
      <c r="J7" s="323"/>
      <c r="K7" s="324"/>
      <c r="L7" s="319" t="s">
        <v>2101</v>
      </c>
      <c r="M7" s="320">
        <f>IF('数据-取费表'!B41="",IF(D1="仅计算典型户型",'数据-取费表'!E5,'数据-取费表'!B5),'数据-取费表'!B41)</f>
        <v>1</v>
      </c>
    </row>
    <row r="8" spans="1:37" ht="18" customHeight="1">
      <c r="A8" s="1439"/>
      <c r="B8" s="322"/>
      <c r="C8" s="323"/>
      <c r="D8" s="324"/>
      <c r="E8" s="319" t="s">
        <v>2102</v>
      </c>
      <c r="F8" s="320">
        <f>'数据-取费表'!B42</f>
        <v>12</v>
      </c>
      <c r="G8" s="1230"/>
      <c r="H8" s="321"/>
      <c r="I8" s="322"/>
      <c r="J8" s="323"/>
      <c r="K8" s="324"/>
      <c r="L8" s="319" t="s">
        <v>2103</v>
      </c>
      <c r="M8" s="320">
        <f>'数据-取费表'!B42</f>
        <v>12</v>
      </c>
    </row>
    <row r="9" spans="1:37" ht="18" customHeight="1">
      <c r="A9" s="1439"/>
      <c r="B9" s="322"/>
      <c r="C9" s="323"/>
      <c r="D9" s="328"/>
      <c r="E9" s="319" t="s">
        <v>2104</v>
      </c>
      <c r="F9" s="329">
        <f>'数据-取费表'!B32</f>
        <v>0.1</v>
      </c>
      <c r="G9" s="1230"/>
      <c r="H9" s="321"/>
      <c r="I9" s="322"/>
      <c r="J9" s="1378"/>
      <c r="K9" s="95"/>
      <c r="L9" s="330" t="s">
        <v>2104</v>
      </c>
      <c r="M9" s="329">
        <f>'数据-取费表'!B38</f>
        <v>0</v>
      </c>
    </row>
    <row r="10" spans="1:37" ht="18" customHeight="1">
      <c r="A10" s="1376" t="s">
        <v>2105</v>
      </c>
      <c r="B10" s="2322" t="s">
        <v>2106</v>
      </c>
      <c r="C10" s="1377">
        <f ca="1">ROUND(IF(F10="押一",C6/12*F11,IF(F10="押二",C6/12*2*F11,IF(F10="押三",C6/12*3*F11,C11*F11))),0)</f>
        <v>27</v>
      </c>
      <c r="D10" s="2323" t="s">
        <v>2794</v>
      </c>
      <c r="E10" s="330" t="s">
        <v>2107</v>
      </c>
      <c r="F10" s="2324" t="s">
        <v>2875</v>
      </c>
      <c r="G10" s="1230"/>
      <c r="H10" s="1376" t="s">
        <v>2105</v>
      </c>
      <c r="I10" s="2322" t="s">
        <v>2106</v>
      </c>
      <c r="J10" s="1377">
        <f ca="1">ROUND(IF(M10="押一",J6/12*M11,IF(M10="押二",J6/12*2*M11,IF(M10="押三",J6/12*3*M11,J11*M11))),0)</f>
        <v>0</v>
      </c>
      <c r="K10" s="80" t="s">
        <v>2794</v>
      </c>
      <c r="L10" s="330" t="s">
        <v>2107</v>
      </c>
      <c r="M10" s="2324"/>
    </row>
    <row r="11" spans="1:37" s="341" customFormat="1" ht="18" customHeight="1">
      <c r="A11" s="348"/>
      <c r="B11" s="2325" t="s">
        <v>2108</v>
      </c>
      <c r="C11" s="1410"/>
      <c r="D11" s="324"/>
      <c r="E11" s="330" t="s">
        <v>2109</v>
      </c>
      <c r="F11" s="331">
        <f ca="1">'数据-取费表'!B30</f>
        <v>1.4999999999999999E-2</v>
      </c>
      <c r="G11" s="1231"/>
      <c r="H11" s="325"/>
      <c r="I11" s="2325" t="s">
        <v>2110</v>
      </c>
      <c r="J11" s="1410"/>
      <c r="K11" s="324"/>
      <c r="L11" s="330" t="s">
        <v>2109</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2111</v>
      </c>
      <c r="B12" s="2326" t="s">
        <v>2112</v>
      </c>
      <c r="C12" s="1417"/>
      <c r="D12" s="2327"/>
      <c r="E12" s="1423"/>
      <c r="F12" s="1418"/>
      <c r="G12" s="1230"/>
      <c r="H12" s="1416" t="s">
        <v>2111</v>
      </c>
      <c r="I12" s="2326" t="s">
        <v>2112</v>
      </c>
      <c r="J12" s="1417"/>
      <c r="K12" s="1433"/>
      <c r="L12" s="1423"/>
      <c r="M12" s="1434"/>
    </row>
    <row r="13" spans="1:37" s="341" customFormat="1" ht="18" customHeight="1" thickTop="1">
      <c r="A13" s="1412">
        <v>2</v>
      </c>
      <c r="B13" s="1413" t="s">
        <v>2113</v>
      </c>
      <c r="C13" s="327">
        <f ca="1">ROUND(C29*F13,0)</f>
        <v>398159</v>
      </c>
      <c r="D13" s="1414" t="s">
        <v>2114</v>
      </c>
      <c r="E13" s="1414" t="s">
        <v>2115</v>
      </c>
      <c r="F13" s="1415">
        <f>'数据-取费表'!E20</f>
        <v>0.75</v>
      </c>
      <c r="G13" s="1231"/>
      <c r="H13" s="1412">
        <v>2</v>
      </c>
      <c r="I13" s="1413" t="s">
        <v>2113</v>
      </c>
      <c r="J13" s="1378">
        <f ca="1">ROUND(J14*J15,0)</f>
        <v>0</v>
      </c>
      <c r="K13" s="1419" t="s">
        <v>2114</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348075</v>
      </c>
      <c r="D14" s="1871" t="s">
        <v>2118</v>
      </c>
      <c r="E14" s="1872"/>
      <c r="F14" s="974"/>
      <c r="G14" s="1231"/>
      <c r="H14" s="337" t="s">
        <v>2098</v>
      </c>
      <c r="I14" s="319" t="s">
        <v>2119</v>
      </c>
      <c r="J14" s="14">
        <f ca="1">C29</f>
        <v>530878</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10442</v>
      </c>
      <c r="D15" s="339" t="s">
        <v>2122</v>
      </c>
      <c r="E15" s="339" t="s">
        <v>2123</v>
      </c>
      <c r="F15" s="340">
        <f>'数据-取费表'!E21</f>
        <v>0.03</v>
      </c>
      <c r="G15" s="1230"/>
      <c r="H15" s="1422" t="s">
        <v>2124</v>
      </c>
      <c r="I15" s="1423" t="s">
        <v>2125</v>
      </c>
      <c r="J15" s="1435">
        <f>'数据-取费表'!B39</f>
        <v>0</v>
      </c>
      <c r="K15" s="1436"/>
      <c r="L15" s="1437"/>
      <c r="M15" s="1438"/>
    </row>
    <row r="16" spans="1:37" s="341" customFormat="1" ht="18" customHeight="1" thickTop="1">
      <c r="A16" s="337" t="s">
        <v>2126</v>
      </c>
      <c r="B16" s="319" t="s">
        <v>2127</v>
      </c>
      <c r="C16" s="14">
        <f>ROUND(C14*F16,0)</f>
        <v>17404</v>
      </c>
      <c r="D16" s="319" t="s">
        <v>2122</v>
      </c>
      <c r="E16" s="319" t="s">
        <v>2123</v>
      </c>
      <c r="F16" s="342">
        <f>IF('数据-取费表'!B10="住宅",'数据-取费表'!E22,0)</f>
        <v>0.05</v>
      </c>
      <c r="G16" s="1231"/>
      <c r="H16" s="1412" t="s">
        <v>14</v>
      </c>
      <c r="I16" s="1413" t="s">
        <v>2128</v>
      </c>
      <c r="J16" s="327">
        <f ca="1">ROUND(J17+J22+J23+J24,0)</f>
        <v>12422</v>
      </c>
      <c r="K16" s="1419" t="s">
        <v>2129</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19890</v>
      </c>
      <c r="D17" s="319" t="s">
        <v>2132</v>
      </c>
      <c r="E17" s="319" t="s">
        <v>2133</v>
      </c>
      <c r="F17" s="16">
        <f>'数据-取费表'!E23</f>
        <v>200</v>
      </c>
      <c r="G17" s="1231"/>
      <c r="H17" s="337" t="s">
        <v>2134</v>
      </c>
      <c r="I17" s="319" t="s">
        <v>2135</v>
      </c>
      <c r="J17" s="14">
        <f ca="1">ROUND(IF(项目基本情况!B7="自然人",J6*M17/(1+'数据-取费表'!F30),J18+J19+J20),0)</f>
        <v>4459</v>
      </c>
      <c r="K17" s="1871" t="s">
        <v>2136</v>
      </c>
      <c r="L17" s="1876" t="s">
        <v>2137</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5221</v>
      </c>
      <c r="D18" s="319" t="s">
        <v>2122</v>
      </c>
      <c r="E18" s="319" t="s">
        <v>2123</v>
      </c>
      <c r="F18" s="342">
        <f>'数据-取费表'!E24</f>
        <v>1.4999999999999999E-2</v>
      </c>
      <c r="G18" s="1230"/>
      <c r="H18" s="337" t="s">
        <v>2140</v>
      </c>
      <c r="I18" s="319" t="s">
        <v>2141</v>
      </c>
      <c r="J18" s="14">
        <f>IF(项目基本情况!B7="自然人","——",ROUND(J6*M18/(1+'数据-取费表'!F30),0))</f>
        <v>0</v>
      </c>
      <c r="K18" s="1876" t="s">
        <v>2814</v>
      </c>
      <c r="L18" s="319" t="s">
        <v>2123</v>
      </c>
      <c r="M18" s="342">
        <f>'数据-取费表'!E29</f>
        <v>5.6000000000000001E-2</v>
      </c>
    </row>
    <row r="19" spans="1:37" s="341" customFormat="1" ht="18" customHeight="1">
      <c r="A19" s="337" t="s">
        <v>2134</v>
      </c>
      <c r="B19" s="319" t="s">
        <v>2142</v>
      </c>
      <c r="C19" s="14">
        <f>SUM(C14:C18)</f>
        <v>401032</v>
      </c>
      <c r="D19" s="56" t="s">
        <v>2143</v>
      </c>
      <c r="E19" s="1881"/>
      <c r="F19" s="16"/>
      <c r="G19" s="1231"/>
      <c r="H19" s="337" t="s">
        <v>2120</v>
      </c>
      <c r="I19" s="319" t="s">
        <v>2144</v>
      </c>
      <c r="J19" s="14">
        <f ca="1">IF(项目基本情况!B7="自然人","——",IF(K19="按租金收入计税",ROUND(J6*M19/(1+'数据-取费表'!F30),0),ROUND(C29*M19*0.7,0)))</f>
        <v>4459</v>
      </c>
      <c r="K19" s="1997" t="s">
        <v>2145</v>
      </c>
      <c r="L19" s="319" t="s">
        <v>2123</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2105</v>
      </c>
      <c r="B20" s="319" t="s">
        <v>2146</v>
      </c>
      <c r="C20" s="14">
        <f>ROUND(C19*F20,0)</f>
        <v>8021</v>
      </c>
      <c r="D20" s="344" t="s">
        <v>2147</v>
      </c>
      <c r="E20" s="319" t="s">
        <v>2148</v>
      </c>
      <c r="F20" s="342">
        <f>'数据-取费表'!E25</f>
        <v>0.02</v>
      </c>
      <c r="G20" s="1231"/>
      <c r="H20" s="337" t="s">
        <v>2126</v>
      </c>
      <c r="I20" s="80" t="s">
        <v>2149</v>
      </c>
      <c r="J20" s="15">
        <f>IF(项目基本情况!B7="自然人","——",ROUND(M20*M21,0))</f>
        <v>0</v>
      </c>
      <c r="K20" s="346" t="s">
        <v>2150</v>
      </c>
      <c r="L20" s="319" t="s">
        <v>2151</v>
      </c>
      <c r="M20" s="347">
        <f>'数据-取费表'!E40</f>
        <v>0</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3">
        <f>F21</f>
        <v>0.02</v>
      </c>
      <c r="D21" s="344" t="s">
        <v>2154</v>
      </c>
      <c r="E21" s="319" t="s">
        <v>2155</v>
      </c>
      <c r="F21" s="342">
        <f>'数据-取费表'!E26</f>
        <v>0.02</v>
      </c>
      <c r="G21" s="1230"/>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81"/>
      <c r="F22" s="16"/>
      <c r="G22" s="1230"/>
      <c r="H22" s="337" t="s">
        <v>2124</v>
      </c>
      <c r="I22" s="319" t="s">
        <v>2159</v>
      </c>
      <c r="J22" s="14">
        <f ca="1">ROUND(J14*M22,0)</f>
        <v>7963</v>
      </c>
      <c r="K22" s="1876"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19430</v>
      </c>
      <c r="D23" s="1991" t="str">
        <f>IF(F23&lt;=1,"(建造成本+管理费用)×利率×(建设周期÷2)","(建造成本+管理费用)×((1+利率)^(建设周期÷2)-1)")</f>
        <v>(建造成本+管理费用)×((1+利率)^(建设周期÷2)-1)</v>
      </c>
      <c r="E23" s="319" t="s">
        <v>2162</v>
      </c>
      <c r="F23" s="347">
        <f>'数据-取费表'!B21</f>
        <v>2</v>
      </c>
      <c r="G23" s="1230"/>
      <c r="H23" s="337" t="s">
        <v>2152</v>
      </c>
      <c r="I23" s="319" t="s">
        <v>2163</v>
      </c>
      <c r="J23" s="14">
        <f ca="1">ROUND(J13*M23,0)</f>
        <v>0</v>
      </c>
      <c r="K23" s="1876"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1991" t="str">
        <f>IF(F23&lt;=1,"销售费用×利率×(建设周期÷2)","销售费用×((1+利率)^(建设周期÷2)-1)")</f>
        <v>销售费用×((1+利率)^(建设周期÷2)-1)</v>
      </c>
      <c r="E24" s="319" t="s">
        <v>2168</v>
      </c>
      <c r="F24" s="352">
        <f ca="1">'数据-取费表'!E27</f>
        <v>4.7500000000000001E-2</v>
      </c>
      <c r="G24" s="1231"/>
      <c r="H24" s="1422" t="s">
        <v>2157</v>
      </c>
      <c r="I24" s="1423" t="s">
        <v>2146</v>
      </c>
      <c r="J24" s="1424">
        <f ca="1">ROUND(J5*M24,0)</f>
        <v>0</v>
      </c>
      <c r="K24" s="1425" t="s">
        <v>2169</v>
      </c>
      <c r="L24" s="1423" t="s">
        <v>2165</v>
      </c>
      <c r="M24" s="1418">
        <f>'数据-取费表'!B46</f>
        <v>1.4999999999999999E-2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81"/>
      <c r="F25" s="16"/>
      <c r="G25" s="1231"/>
      <c r="H25" s="1412" t="s">
        <v>22</v>
      </c>
      <c r="I25" s="1427" t="s">
        <v>2173</v>
      </c>
      <c r="J25" s="327">
        <f ca="1">J5-J16</f>
        <v>-12422</v>
      </c>
      <c r="K25" s="1428" t="s">
        <v>2174</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61358</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0.05</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2" t="s">
        <v>2190</v>
      </c>
      <c r="B29" s="1423" t="s">
        <v>2191</v>
      </c>
      <c r="C29" s="1424">
        <f ca="1">ROUND((C19+C20+C23+C26)/(1-F21-C24-C27-C28),0)</f>
        <v>530878</v>
      </c>
      <c r="D29" s="1425"/>
      <c r="E29" s="1423"/>
      <c r="F29" s="1426"/>
      <c r="G29" s="790"/>
      <c r="H29" s="356" t="s">
        <v>24</v>
      </c>
      <c r="I29" s="357" t="s">
        <v>2192</v>
      </c>
      <c r="J29" s="358">
        <f ca="1">ROUND(J26/(1+F40)^F41,0)</f>
        <v>0</v>
      </c>
      <c r="K29" s="359" t="s">
        <v>2193</v>
      </c>
      <c r="L29" s="360"/>
      <c r="M29" s="361">
        <f>IF(D1="仅计算典型户型",'数据-取费表'!E5,'数据-取费表'!B5)</f>
        <v>99.45</v>
      </c>
    </row>
    <row r="30" spans="1:37" ht="18" customHeight="1" thickTop="1">
      <c r="A30" s="1412" t="s">
        <v>14</v>
      </c>
      <c r="B30" s="1413" t="s">
        <v>2194</v>
      </c>
      <c r="C30" s="327">
        <f ca="1">ROUND(C31+C36+C37+C38,0)</f>
        <v>12505</v>
      </c>
      <c r="D30" s="1419" t="s">
        <v>2195</v>
      </c>
      <c r="E30" s="1420"/>
      <c r="F30" s="1421"/>
      <c r="G30" s="790"/>
      <c r="H30" s="1210"/>
      <c r="I30" s="1211"/>
      <c r="J30" s="1212"/>
      <c r="K30" s="1213"/>
      <c r="L30" s="1214"/>
      <c r="M30" s="1215"/>
    </row>
    <row r="31" spans="1:37" ht="18" customHeight="1">
      <c r="A31" s="337" t="s">
        <v>2098</v>
      </c>
      <c r="B31" s="319" t="s">
        <v>2135</v>
      </c>
      <c r="C31" s="14">
        <f>ROUND(IF(项目基本情况!B7="自然人",C6*F31/(1+'数据-取费表'!F30),C32+C33+C34),0)</f>
        <v>3621</v>
      </c>
      <c r="D31" s="1871" t="s">
        <v>2196</v>
      </c>
      <c r="E31" s="1876" t="s">
        <v>2197</v>
      </c>
      <c r="F31" s="343" t="str">
        <f>IF(项目基本情况!B7="企业","",IF('数据-取费表'!B10="住宅",5%,IF(F6*F7*F8/12/(1+'数据-取费表'!F30)&gt;20000,12%,7%)))</f>
        <v/>
      </c>
      <c r="G31" s="790"/>
      <c r="H31" s="1210"/>
      <c r="I31" s="1211"/>
      <c r="J31" s="1212"/>
      <c r="K31" s="1213"/>
      <c r="L31" s="1214"/>
      <c r="M31" s="1215"/>
    </row>
    <row r="32" spans="1:37" ht="18" customHeight="1">
      <c r="A32" s="337" t="s">
        <v>2116</v>
      </c>
      <c r="B32" s="319" t="s">
        <v>2198</v>
      </c>
      <c r="C32" s="14">
        <f>IF(项目基本情况!B7="自然人","——",ROUND(C6*F32/(1+'数据-取费表'!F30),0))</f>
        <v>1152</v>
      </c>
      <c r="D32" s="1876" t="s">
        <v>2813</v>
      </c>
      <c r="E32" s="319" t="s">
        <v>2148</v>
      </c>
      <c r="F32" s="352">
        <f>'数据-取费表'!E29</f>
        <v>5.6000000000000001E-2</v>
      </c>
      <c r="G32" s="790"/>
      <c r="H32" s="1216"/>
      <c r="I32" s="1217"/>
      <c r="J32" s="1218"/>
      <c r="K32" s="1219"/>
      <c r="L32" s="1220"/>
      <c r="M32" s="1221"/>
    </row>
    <row r="33" spans="1:18" ht="18" customHeight="1">
      <c r="A33" s="337" t="s">
        <v>2120</v>
      </c>
      <c r="B33" s="319" t="s">
        <v>2144</v>
      </c>
      <c r="C33" s="14">
        <f>IF(项目基本情况!B7="自然人","——",IF(D33="按租金收入计税",ROUND(C6*F33/(1+'数据-取费表'!F30),0),IF(D33="按房产原值计税",ROUND(C29*F33*0.7,0),'数据-取费表'!B43)))</f>
        <v>2469</v>
      </c>
      <c r="D33" s="1997" t="s">
        <v>2874</v>
      </c>
      <c r="E33" s="319" t="s">
        <v>2123</v>
      </c>
      <c r="F33" s="342">
        <f>IF(D33="按票据","——",IF(D33="按租金收入计税",'数据-取费表'!E39,'数据-取费表'!E38))</f>
        <v>0.12</v>
      </c>
      <c r="G33" s="790"/>
      <c r="H33" s="1222"/>
      <c r="I33" s="363" t="s">
        <v>2200</v>
      </c>
      <c r="J33" s="364"/>
      <c r="K33" s="1223"/>
      <c r="L33" s="1222"/>
      <c r="M33" s="1222"/>
    </row>
    <row r="34" spans="1:18" ht="18" customHeight="1">
      <c r="A34" s="1376" t="s">
        <v>2126</v>
      </c>
      <c r="B34" s="80" t="s">
        <v>2149</v>
      </c>
      <c r="C34" s="15">
        <f>IF(项目基本情况!B7="自然人","——",ROUND(F34*F35,0))</f>
        <v>0</v>
      </c>
      <c r="D34" s="346" t="s">
        <v>2150</v>
      </c>
      <c r="E34" s="319" t="s">
        <v>2151</v>
      </c>
      <c r="F34" s="347">
        <f>'数据-取费表'!E40</f>
        <v>0</v>
      </c>
      <c r="G34" s="790"/>
      <c r="H34" s="1210"/>
      <c r="I34" s="365" t="s">
        <v>2201</v>
      </c>
      <c r="J34" s="366">
        <f ca="1">ROUND(C13*J35,0)</f>
        <v>33844</v>
      </c>
      <c r="K34" s="1224"/>
      <c r="L34" s="1225"/>
      <c r="M34" s="1225"/>
    </row>
    <row r="35" spans="1:18" ht="24.6" customHeight="1">
      <c r="A35" s="1380"/>
      <c r="B35" s="328"/>
      <c r="C35" s="19"/>
      <c r="D35" s="349"/>
      <c r="E35" s="319" t="s">
        <v>2156</v>
      </c>
      <c r="F35" s="320">
        <f>IF(D1="仅计算典型户型",'数据-取费表'!E6,'数据-取费表'!B6)</f>
        <v>0</v>
      </c>
      <c r="G35" s="790"/>
      <c r="H35" s="1210"/>
      <c r="I35" s="367" t="s">
        <v>2202</v>
      </c>
      <c r="J35" s="368">
        <f>'数据-取费表'!B17</f>
        <v>8.5000000000000006E-2</v>
      </c>
      <c r="K35" s="1223"/>
      <c r="L35" s="1222"/>
      <c r="M35" s="1222"/>
    </row>
    <row r="36" spans="1:18" ht="18" customHeight="1">
      <c r="A36" s="1379" t="s">
        <v>2105</v>
      </c>
      <c r="B36" s="319" t="s">
        <v>2203</v>
      </c>
      <c r="C36" s="14">
        <f ca="1">ROUND(C29*F36,0)</f>
        <v>7963</v>
      </c>
      <c r="D36" s="1876" t="s">
        <v>2204</v>
      </c>
      <c r="E36" s="319" t="s">
        <v>2148</v>
      </c>
      <c r="F36" s="350">
        <f>'数据-取费表'!B44</f>
        <v>1.4999999999999999E-2</v>
      </c>
      <c r="G36" s="790"/>
      <c r="H36" s="1222"/>
      <c r="I36" s="369" t="s">
        <v>2205</v>
      </c>
      <c r="J36" s="370"/>
      <c r="K36" s="1226"/>
      <c r="L36" s="1222"/>
      <c r="M36" s="1222"/>
    </row>
    <row r="37" spans="1:18" ht="18" customHeight="1">
      <c r="A37" s="337" t="s">
        <v>2152</v>
      </c>
      <c r="B37" s="319" t="s">
        <v>2163</v>
      </c>
      <c r="C37" s="14">
        <f ca="1">ROUND(C13*F37,0)</f>
        <v>597</v>
      </c>
      <c r="D37" s="1876" t="s">
        <v>2164</v>
      </c>
      <c r="E37" s="319" t="s">
        <v>2165</v>
      </c>
      <c r="F37" s="351">
        <f>'数据-取费表'!B45</f>
        <v>1.5E-3</v>
      </c>
      <c r="G37" s="790"/>
      <c r="H37" s="1222"/>
      <c r="I37" s="216" t="s">
        <v>2206</v>
      </c>
      <c r="J37" s="371"/>
      <c r="K37" s="1226"/>
      <c r="L37" s="1222"/>
      <c r="M37" s="1222"/>
    </row>
    <row r="38" spans="1:18" ht="18" customHeight="1" thickBot="1">
      <c r="A38" s="1422" t="s">
        <v>2157</v>
      </c>
      <c r="B38" s="1423" t="s">
        <v>2146</v>
      </c>
      <c r="C38" s="1424">
        <f ca="1">ROUND(C5*F38,0)</f>
        <v>324</v>
      </c>
      <c r="D38" s="1425" t="s">
        <v>2169</v>
      </c>
      <c r="E38" s="1423" t="s">
        <v>2165</v>
      </c>
      <c r="F38" s="1418">
        <f>'数据-取费表'!B46</f>
        <v>1.4999999999999999E-2</v>
      </c>
      <c r="G38" s="790"/>
      <c r="H38" s="1222"/>
      <c r="I38" s="365" t="s">
        <v>2207</v>
      </c>
      <c r="J38" s="220">
        <f ca="1">ROUND(J34/C39,3)</f>
        <v>3.71</v>
      </c>
      <c r="K38" s="1227"/>
      <c r="L38" s="1222"/>
      <c r="M38" s="1222"/>
    </row>
    <row r="39" spans="1:18" ht="18" customHeight="1" thickTop="1">
      <c r="A39" s="1412" t="s">
        <v>22</v>
      </c>
      <c r="B39" s="1427" t="s">
        <v>2208</v>
      </c>
      <c r="C39" s="327">
        <f ca="1">C5-C30</f>
        <v>9122</v>
      </c>
      <c r="D39" s="1428" t="s">
        <v>2209</v>
      </c>
      <c r="E39" s="1429"/>
      <c r="F39" s="1430"/>
      <c r="G39" s="790"/>
      <c r="H39" s="1222"/>
      <c r="I39" s="365" t="s">
        <v>2210</v>
      </c>
      <c r="J39" s="220">
        <f ca="1">1-J38</f>
        <v>-2.71</v>
      </c>
      <c r="K39" s="1227"/>
      <c r="L39" s="1222"/>
      <c r="M39" s="1222"/>
    </row>
    <row r="40" spans="1:18" s="790" customFormat="1" ht="18" customHeight="1">
      <c r="A40" s="316" t="s">
        <v>23</v>
      </c>
      <c r="B40" s="317" t="s">
        <v>2211</v>
      </c>
      <c r="C40" s="318">
        <f ca="1">ROUND(C39*(1-((1+F42)/(1+F40))^F41)/(F40-F42),0)</f>
        <v>202703</v>
      </c>
      <c r="D40" s="346" t="s">
        <v>2179</v>
      </c>
      <c r="E40" s="319" t="s">
        <v>2180</v>
      </c>
      <c r="F40" s="329">
        <f>'数据-取费表'!B16</f>
        <v>0.05</v>
      </c>
      <c r="H40" s="1228"/>
      <c r="I40" s="216" t="s">
        <v>2212</v>
      </c>
      <c r="J40" s="217"/>
      <c r="K40" s="1227"/>
      <c r="L40" s="1228"/>
      <c r="M40" s="1228"/>
      <c r="Q40" s="794"/>
    </row>
    <row r="41" spans="1:18" s="790" customFormat="1" ht="18" customHeight="1">
      <c r="A41" s="321"/>
      <c r="B41" s="322"/>
      <c r="C41" s="323"/>
      <c r="D41" s="354" t="s">
        <v>2213</v>
      </c>
      <c r="E41" s="1817" t="s">
        <v>2876</v>
      </c>
      <c r="F41" s="355">
        <f>IF('数据-取费表'!B28="租赁期内按合同租金",'数据-取费表'!B34,IF(E41="收益年期(n)",'数据-取费表'!B33,'数据-取费表'!B13))</f>
        <v>33.65</v>
      </c>
      <c r="H41" s="1229"/>
      <c r="I41" s="219" t="s">
        <v>2086</v>
      </c>
      <c r="J41" s="220">
        <f ca="1">ROUND(C13/C40,3)</f>
        <v>1.964</v>
      </c>
      <c r="K41" s="1226"/>
      <c r="L41" s="1229"/>
      <c r="M41" s="1229"/>
      <c r="Q41" s="794"/>
    </row>
    <row r="42" spans="1:18" s="790" customFormat="1" ht="18" customHeight="1">
      <c r="A42" s="325"/>
      <c r="B42" s="326"/>
      <c r="C42" s="327"/>
      <c r="D42" s="349"/>
      <c r="E42" s="319" t="s">
        <v>2189</v>
      </c>
      <c r="F42" s="329">
        <f>'数据-取费表'!B31</f>
        <v>2.5000000000000001E-2</v>
      </c>
      <c r="H42" s="1229"/>
      <c r="I42" s="219" t="s">
        <v>2087</v>
      </c>
      <c r="J42" s="221">
        <f ca="1">1-J41</f>
        <v>-0.96399999999999997</v>
      </c>
      <c r="K42" s="1226"/>
      <c r="L42" s="1229"/>
      <c r="M42" s="1229"/>
      <c r="Q42" s="794"/>
    </row>
    <row r="43" spans="1:18" s="790" customFormat="1" ht="18" customHeight="1" thickBot="1">
      <c r="A43" s="356" t="s">
        <v>24</v>
      </c>
      <c r="B43" s="357" t="s">
        <v>2214</v>
      </c>
      <c r="C43" s="358">
        <f ca="1">ROUND(C40/F43,0)</f>
        <v>2038</v>
      </c>
      <c r="D43" s="359" t="s">
        <v>2215</v>
      </c>
      <c r="E43" s="360" t="s">
        <v>2216</v>
      </c>
      <c r="F43" s="361">
        <f>IF(D1="仅计算典型户型",'数据-取费表'!E5,'数据-取费表'!B5)</f>
        <v>99.45</v>
      </c>
      <c r="G43" s="792"/>
      <c r="H43" s="1229"/>
      <c r="I43" s="1229"/>
      <c r="J43" s="1229"/>
      <c r="K43" s="1226"/>
      <c r="L43" s="1229"/>
      <c r="M43" s="1229"/>
      <c r="O43" s="1353" t="s">
        <v>2217</v>
      </c>
      <c r="P43" s="1354"/>
      <c r="Q43" s="1350"/>
      <c r="R43" s="1354"/>
    </row>
    <row r="44" spans="1:18" s="790" customFormat="1" ht="18" customHeight="1" thickBot="1">
      <c r="A44" s="775"/>
      <c r="B44" s="775"/>
      <c r="C44" s="789"/>
      <c r="D44" s="775"/>
      <c r="E44" s="775"/>
      <c r="F44" s="775"/>
      <c r="G44" s="792"/>
      <c r="K44" s="791"/>
      <c r="O44" s="1355" t="s">
        <v>2218</v>
      </c>
      <c r="P44" s="1356" t="s">
        <v>2219</v>
      </c>
      <c r="Q44" s="1357" t="s">
        <v>2220</v>
      </c>
      <c r="R44" s="1358" t="s">
        <v>2221</v>
      </c>
    </row>
    <row r="45" spans="1:18" s="790" customFormat="1" ht="18" customHeight="1" thickBot="1">
      <c r="A45" s="775"/>
      <c r="B45" s="775"/>
      <c r="C45" s="789"/>
      <c r="D45" s="775"/>
      <c r="E45" s="775"/>
      <c r="F45" s="775"/>
      <c r="G45" s="793"/>
      <c r="K45" s="791"/>
      <c r="O45" s="1359" t="s">
        <v>953</v>
      </c>
      <c r="P45" s="1360" t="s">
        <v>2222</v>
      </c>
      <c r="Q45" s="1361">
        <f ca="1">C40+J29</f>
        <v>202703</v>
      </c>
      <c r="R45" s="1362" t="s">
        <v>2223</v>
      </c>
    </row>
    <row r="46" spans="1:18" s="790" customFormat="1" ht="18" customHeight="1" thickBot="1">
      <c r="A46" s="775"/>
      <c r="D46" s="775"/>
      <c r="E46" s="775"/>
      <c r="F46" s="775"/>
      <c r="K46" s="791"/>
      <c r="O46" s="1359" t="s">
        <v>954</v>
      </c>
      <c r="P46" s="1360" t="s">
        <v>2224</v>
      </c>
      <c r="Q46" s="1361" t="str">
        <f>J61</f>
        <v>0</v>
      </c>
      <c r="R46" s="1362" t="s">
        <v>2225</v>
      </c>
    </row>
    <row r="47" spans="1:18" s="790" customFormat="1" ht="21.75" thickBot="1">
      <c r="A47" s="2328" t="s">
        <v>2226</v>
      </c>
      <c r="C47" s="1295">
        <f ca="1">IF(C2="元",C69-C40,ROUND((C69-C40)/10000,0))</f>
        <v>-106</v>
      </c>
      <c r="D47" s="2329" t="str">
        <f>C2</f>
        <v>万元</v>
      </c>
      <c r="E47" s="775"/>
      <c r="F47" s="775"/>
      <c r="I47" s="2330" t="s">
        <v>2227</v>
      </c>
      <c r="J47" s="1335"/>
      <c r="K47" s="1336"/>
      <c r="L47" s="1349">
        <f>IF(M48="住宅",0,IF(L49&gt;J52,L61,J61))</f>
        <v>0</v>
      </c>
      <c r="O47" s="1363" t="s">
        <v>955</v>
      </c>
      <c r="P47" s="1360" t="s">
        <v>2228</v>
      </c>
      <c r="Q47" s="1361">
        <f ca="1">C29</f>
        <v>530878</v>
      </c>
      <c r="R47" s="1362" t="s">
        <v>2223</v>
      </c>
    </row>
    <row r="48" spans="1:18" s="790" customFormat="1" ht="15.75" thickBot="1">
      <c r="A48" s="312" t="s">
        <v>2229</v>
      </c>
      <c r="B48" s="313" t="s">
        <v>2230</v>
      </c>
      <c r="C48" s="313" t="s">
        <v>2231</v>
      </c>
      <c r="D48" s="313" t="s">
        <v>2232</v>
      </c>
      <c r="E48" s="1289" t="s">
        <v>2233</v>
      </c>
      <c r="F48" s="1290"/>
      <c r="I48" s="2331" t="s">
        <v>2234</v>
      </c>
      <c r="J48" s="2332" t="s">
        <v>2867</v>
      </c>
      <c r="K48" s="2333" t="s">
        <v>2235</v>
      </c>
      <c r="L48" s="1337">
        <f>'数据-取费表'!B11</f>
        <v>70</v>
      </c>
      <c r="M48" s="1350" t="str">
        <f>IF('数据-取费表'!B10="住宅","住宅","非住宅")</f>
        <v>住宅</v>
      </c>
      <c r="O48" s="1363" t="s">
        <v>956</v>
      </c>
      <c r="P48" s="1360" t="s">
        <v>2236</v>
      </c>
      <c r="Q48" s="1364" t="e">
        <f>J59</f>
        <v>#VALUE!</v>
      </c>
      <c r="R48" s="1362"/>
    </row>
    <row r="49" spans="1:18" s="790" customFormat="1" ht="15.75" thickBot="1">
      <c r="A49" s="1449" t="s">
        <v>1026</v>
      </c>
      <c r="B49" s="317" t="s">
        <v>2237</v>
      </c>
      <c r="C49" s="1450">
        <f ca="1">C50+C54+C56</f>
        <v>0</v>
      </c>
      <c r="D49" s="1451"/>
      <c r="E49" s="101"/>
      <c r="F49" s="16"/>
      <c r="I49" s="2334" t="s">
        <v>2238</v>
      </c>
      <c r="J49" s="2335" t="s">
        <v>2877</v>
      </c>
      <c r="K49" s="2336" t="s">
        <v>2239</v>
      </c>
      <c r="L49" s="1122">
        <f>'数据-取费表'!B13</f>
        <v>33.65</v>
      </c>
      <c r="O49" s="1363" t="s">
        <v>957</v>
      </c>
      <c r="P49" s="1360" t="s">
        <v>2240</v>
      </c>
      <c r="Q49" s="1364">
        <f>J53</f>
        <v>0.09</v>
      </c>
      <c r="R49" s="1362"/>
    </row>
    <row r="50" spans="1:18" s="790" customFormat="1" ht="15.75" thickBot="1">
      <c r="A50" s="345" t="s">
        <v>2098</v>
      </c>
      <c r="B50" s="2007" t="s">
        <v>2241</v>
      </c>
      <c r="C50" s="318">
        <f>ROUND(F50*F52*F51*(1-F53),0)</f>
        <v>0</v>
      </c>
      <c r="D50" s="93" t="s">
        <v>2787</v>
      </c>
      <c r="E50" s="2337" t="s">
        <v>2242</v>
      </c>
      <c r="F50" s="1291"/>
      <c r="I50" s="2334" t="s">
        <v>2243</v>
      </c>
      <c r="J50" s="1122">
        <f>'数据-取费表'!B26</f>
        <v>2005</v>
      </c>
      <c r="K50" s="2338" t="s">
        <v>2244</v>
      </c>
      <c r="L50" s="1338"/>
      <c r="O50" s="1363" t="s">
        <v>958</v>
      </c>
      <c r="P50" s="1360" t="s">
        <v>2245</v>
      </c>
      <c r="Q50" s="1361">
        <f>J54</f>
        <v>45</v>
      </c>
      <c r="R50" s="1362" t="s">
        <v>2246</v>
      </c>
    </row>
    <row r="51" spans="1:18" s="790" customFormat="1" ht="15.75" thickBot="1">
      <c r="A51" s="321"/>
      <c r="B51" s="322"/>
      <c r="C51" s="323"/>
      <c r="D51" s="324"/>
      <c r="E51" s="339" t="s">
        <v>2101</v>
      </c>
      <c r="F51" s="1288">
        <f>F7</f>
        <v>1</v>
      </c>
      <c r="I51" s="2334" t="s">
        <v>2247</v>
      </c>
      <c r="J51" s="1339">
        <f>SUMPRODUCT((I64:I66=J48)*(J63:L63=J49)*(J64:L66))</f>
        <v>60</v>
      </c>
      <c r="K51" s="2338" t="s">
        <v>2248</v>
      </c>
      <c r="L51" s="1338"/>
      <c r="O51" s="1359" t="s">
        <v>959</v>
      </c>
      <c r="P51" s="1360" t="str">
        <f>IF(C2="元","收益价值(元)","收益价值(万元)")</f>
        <v>收益价值(万元)</v>
      </c>
      <c r="Q51" s="1361">
        <f ca="1">ROUND(IF(C2="元",Q45+Q46,(Q45+Q46)/10000),0)</f>
        <v>20</v>
      </c>
      <c r="R51" s="1362" t="s">
        <v>960</v>
      </c>
    </row>
    <row r="52" spans="1:18" s="790" customFormat="1" ht="16.5" thickBot="1">
      <c r="A52" s="321"/>
      <c r="B52" s="322"/>
      <c r="C52" s="323"/>
      <c r="D52" s="324"/>
      <c r="E52" s="319" t="s">
        <v>2103</v>
      </c>
      <c r="F52" s="320">
        <f>F8</f>
        <v>12</v>
      </c>
      <c r="I52" s="2339" t="s">
        <v>2249</v>
      </c>
      <c r="J52" s="1340">
        <f>IF(J50="",J51,J50+J51-YEAR('数据-取费表'!B2))</f>
        <v>45</v>
      </c>
      <c r="K52" s="2340" t="s">
        <v>2250</v>
      </c>
      <c r="L52" s="1341">
        <f ca="1">ROUND(-PV('数据-取费表'!B15,J52,(C40-C13*J35)),0)</f>
        <v>3234731</v>
      </c>
      <c r="O52" s="1353" t="s">
        <v>2251</v>
      </c>
      <c r="P52" s="1354"/>
      <c r="Q52" s="1350"/>
      <c r="R52" s="1354"/>
    </row>
    <row r="53" spans="1:18" s="790" customFormat="1" ht="15.75" thickBot="1">
      <c r="A53" s="325"/>
      <c r="B53" s="326"/>
      <c r="C53" s="327"/>
      <c r="D53" s="328"/>
      <c r="E53" s="319" t="s">
        <v>2104</v>
      </c>
      <c r="F53" s="1348"/>
      <c r="I53" s="2341" t="s">
        <v>2252</v>
      </c>
      <c r="J53" s="1342">
        <v>0.09</v>
      </c>
      <c r="K53" s="2341" t="s">
        <v>2253</v>
      </c>
      <c r="L53" s="1342"/>
      <c r="O53" s="1355" t="s">
        <v>2218</v>
      </c>
      <c r="P53" s="1356" t="s">
        <v>2219</v>
      </c>
      <c r="Q53" s="1357" t="s">
        <v>2220</v>
      </c>
      <c r="R53" s="1358" t="s">
        <v>2221</v>
      </c>
    </row>
    <row r="54" spans="1:18" s="790" customFormat="1" ht="29.25" customHeight="1" thickBot="1">
      <c r="A54" s="1376" t="s">
        <v>2105</v>
      </c>
      <c r="B54" s="2322" t="s">
        <v>2106</v>
      </c>
      <c r="C54" s="1377">
        <f ca="1">ROUND(IF(F54="押一",C50/12*F11,IF(F54="押二",C50/12*2*F11,IF(F54="押三",C50/12*3*F11,C55*F11))),0)</f>
        <v>0</v>
      </c>
      <c r="D54" s="2323" t="s">
        <v>2795</v>
      </c>
      <c r="E54" s="330" t="s">
        <v>2107</v>
      </c>
      <c r="F54" s="2324"/>
      <c r="I54" s="2702" t="s">
        <v>2797</v>
      </c>
      <c r="J54" s="1343">
        <f>IF(M48="住宅",IF(E1="——",MAX(J52,L49),MAX(J52,L49-'数据-取费表'!B25)),IF(E1="——",MIN(J52,L49),MIN(J52,L49-'数据-取费表'!B25)))</f>
        <v>45</v>
      </c>
      <c r="K54" s="3019" t="s">
        <v>2785</v>
      </c>
      <c r="L54" s="3020"/>
      <c r="O54" s="1359" t="s">
        <v>953</v>
      </c>
      <c r="P54" s="1360" t="s">
        <v>2222</v>
      </c>
      <c r="Q54" s="1361">
        <f ca="1">C40+J29</f>
        <v>202703</v>
      </c>
      <c r="R54" s="1362" t="s">
        <v>2223</v>
      </c>
    </row>
    <row r="55" spans="1:18" s="790" customFormat="1" ht="20.25" thickBot="1">
      <c r="A55" s="1376"/>
      <c r="B55" s="2342" t="s">
        <v>2110</v>
      </c>
      <c r="C55" s="1410"/>
      <c r="D55" s="93"/>
      <c r="E55" s="2343"/>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4"/>
      <c r="K55" s="2344"/>
      <c r="L55" s="2344"/>
      <c r="O55" s="1359" t="s">
        <v>954</v>
      </c>
      <c r="P55" s="1360" t="s">
        <v>2254</v>
      </c>
      <c r="Q55" s="1361">
        <f>L61</f>
        <v>0</v>
      </c>
      <c r="R55" s="1362" t="s">
        <v>2255</v>
      </c>
    </row>
    <row r="56" spans="1:18" s="790" customFormat="1" ht="20.25" thickBot="1">
      <c r="A56" s="1416" t="s">
        <v>2111</v>
      </c>
      <c r="B56" s="2326" t="s">
        <v>2112</v>
      </c>
      <c r="C56" s="1417"/>
      <c r="D56" s="1433"/>
      <c r="E56" s="2345"/>
      <c r="F56" s="1493"/>
      <c r="I56" s="2346" t="s">
        <v>2256</v>
      </c>
      <c r="J56" s="1855" t="e">
        <f>ROUND(IF(J48="钢混",J58/J51,1-(1-2%)*(J51-J58)/J51),3)</f>
        <v>#VALUE!</v>
      </c>
      <c r="K56" s="2347" t="s">
        <v>2257</v>
      </c>
      <c r="L56" s="1344" t="s">
        <v>2879</v>
      </c>
      <c r="O56" s="1363" t="s">
        <v>955</v>
      </c>
      <c r="P56" s="1360" t="s">
        <v>2258</v>
      </c>
      <c r="Q56" s="1361">
        <f>IF(L56="比较法",L50,IF(L56="基准地价",L51,0))</f>
        <v>0</v>
      </c>
      <c r="R56" s="1362" t="s">
        <v>2223</v>
      </c>
    </row>
    <row r="57" spans="1:18" s="790" customFormat="1" ht="44.25" thickTop="1" thickBot="1">
      <c r="A57" s="1412">
        <v>2</v>
      </c>
      <c r="B57" s="1413" t="s">
        <v>2113</v>
      </c>
      <c r="C57" s="1492">
        <f ca="1">C13</f>
        <v>398159</v>
      </c>
      <c r="D57" s="1286"/>
      <c r="E57" s="1287"/>
      <c r="F57" s="1294"/>
      <c r="I57" s="2348" t="s">
        <v>2259</v>
      </c>
      <c r="J57" s="1347" t="s">
        <v>2878</v>
      </c>
      <c r="K57" s="2334" t="s">
        <v>2260</v>
      </c>
      <c r="L57" s="1122" t="str">
        <f>IF(L49&lt;J52,"——",L49-J52)</f>
        <v>——</v>
      </c>
      <c r="O57" s="1363" t="s">
        <v>956</v>
      </c>
      <c r="P57" s="1360" t="s">
        <v>2261</v>
      </c>
      <c r="Q57" s="1364">
        <f>L53</f>
        <v>0</v>
      </c>
      <c r="R57" s="1362"/>
    </row>
    <row r="58" spans="1:18" s="790" customFormat="1" ht="29.25" thickBot="1">
      <c r="A58" s="1293"/>
      <c r="B58" s="319" t="s">
        <v>2191</v>
      </c>
      <c r="C58" s="188">
        <f ca="1">C29</f>
        <v>530878</v>
      </c>
      <c r="D58" s="1286"/>
      <c r="E58" s="1287"/>
      <c r="F58" s="1294"/>
      <c r="I58" s="2349" t="s">
        <v>2262</v>
      </c>
      <c r="J58" s="1346" t="str">
        <f>IF(OR(M48="住宅",J52&lt;L49,J57="是"),"——",J52-L49)</f>
        <v>——</v>
      </c>
      <c r="K58" s="2334" t="s">
        <v>2263</v>
      </c>
      <c r="L58" s="1122" t="str">
        <f>IF(L49&lt;J52,"——",IF(L56="比较法",L50,IF(L56="基准地价",L51,L52)))</f>
        <v>——</v>
      </c>
      <c r="O58" s="1363" t="s">
        <v>957</v>
      </c>
      <c r="P58" s="1360" t="s">
        <v>2264</v>
      </c>
      <c r="Q58" s="1361" t="e">
        <f>L59</f>
        <v>#DIV/0!</v>
      </c>
      <c r="R58" s="1362" t="s">
        <v>2265</v>
      </c>
    </row>
    <row r="59" spans="1:18" s="790" customFormat="1" ht="29.25" thickBot="1">
      <c r="A59" s="332" t="s">
        <v>14</v>
      </c>
      <c r="B59" s="333" t="s">
        <v>2194</v>
      </c>
      <c r="C59" s="334">
        <f ca="1">ROUND(C60+C65+C66+C67,0)</f>
        <v>53154</v>
      </c>
      <c r="D59" s="12" t="s">
        <v>2195</v>
      </c>
      <c r="E59" s="1881"/>
      <c r="F59" s="16"/>
      <c r="I59" s="2349" t="s">
        <v>2266</v>
      </c>
      <c r="J59" s="1854" t="e">
        <f>IF(J56&lt;0.4,0.4,J56)</f>
        <v>#VALUE!</v>
      </c>
      <c r="K59" s="2340" t="s">
        <v>2267</v>
      </c>
      <c r="L59" s="1122" t="e">
        <f>ROUND(POWER(1+L53,L48-L49)*(POWER(1+L53,L49)-1)/(POWER(1+L53,L48)-1),4)</f>
        <v>#DIV/0!</v>
      </c>
      <c r="O59" s="1363" t="s">
        <v>958</v>
      </c>
      <c r="P59" s="1360" t="str">
        <f>K60</f>
        <v>建筑物剩余耐用年限下的土地年期修正系数Kn</v>
      </c>
      <c r="Q59" s="1361" t="e">
        <f>L60</f>
        <v>#DIV/0!</v>
      </c>
      <c r="R59" s="1362" t="s">
        <v>2268</v>
      </c>
    </row>
    <row r="60" spans="1:18" s="790" customFormat="1" ht="29.25" thickBot="1">
      <c r="A60" s="337" t="s">
        <v>15</v>
      </c>
      <c r="B60" s="319" t="s">
        <v>2135</v>
      </c>
      <c r="C60" s="14">
        <f ca="1">ROUND(IF(项目基本情况!B7="自然人",C49*F60,C61+C62+C63),0)</f>
        <v>44594</v>
      </c>
      <c r="D60" s="1871" t="s">
        <v>2196</v>
      </c>
      <c r="E60" s="1876" t="s">
        <v>2197</v>
      </c>
      <c r="F60" s="343" t="str">
        <f>IF(项目基本情况!B7="企业","",IF('数据-取费表'!B10="住宅",5%,IF(F50*F51*F52/12/(1+'数据-取费表'!F30)&gt;20000,12%,7%)))</f>
        <v/>
      </c>
      <c r="I60" s="2349" t="s">
        <v>2269</v>
      </c>
      <c r="J60" s="1346" t="str">
        <f>IF(OR(M48="住宅",J52&lt;L49,J57="是"),"——",ROUND(C29*J59,0))</f>
        <v>——</v>
      </c>
      <c r="K60" s="234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959</v>
      </c>
      <c r="P60" s="1360" t="str">
        <f>IF(C2="元","收益价值(元)","收益价值(万元)")</f>
        <v>收益价值(万元)</v>
      </c>
      <c r="Q60" s="1361">
        <f ca="1">ROUND(IF(C2="元",Q54+Q55,(Q54+Q55)/10000),0)</f>
        <v>20</v>
      </c>
      <c r="R60" s="1362" t="s">
        <v>960</v>
      </c>
    </row>
    <row r="61" spans="1:18" s="790" customFormat="1" ht="16.5" thickBot="1">
      <c r="A61" s="337" t="s">
        <v>16</v>
      </c>
      <c r="B61" s="319" t="s">
        <v>2198</v>
      </c>
      <c r="C61" s="14">
        <f ca="1">IF(项目基本情况!B7="自然人","——",ROUND(C49*F61/(1+'数据-取费表'!F30),0))</f>
        <v>0</v>
      </c>
      <c r="D61" s="1876" t="s">
        <v>2199</v>
      </c>
      <c r="E61" s="319" t="s">
        <v>2148</v>
      </c>
      <c r="F61" s="352">
        <f t="shared" ref="F61:F67" si="0">F32</f>
        <v>5.6000000000000001E-2</v>
      </c>
      <c r="I61" s="2350" t="s">
        <v>2270</v>
      </c>
      <c r="J61" s="1345" t="str">
        <f>IF(OR(M48="住宅",J52&lt;L49,J57="是"),"0",ROUND(J60/(1+J53)^J54,0))</f>
        <v>0</v>
      </c>
      <c r="K61" s="2351" t="s">
        <v>2271</v>
      </c>
      <c r="L61" s="1345">
        <f>IF(OR(M48="住宅",L49&lt;J52),0,ROUND(L58*(L59/L60-1),0))</f>
        <v>0</v>
      </c>
      <c r="O61" s="1353" t="s">
        <v>2272</v>
      </c>
      <c r="P61" s="1354"/>
      <c r="Q61" s="1350"/>
      <c r="R61" s="1354"/>
    </row>
    <row r="62" spans="1:18" s="790" customFormat="1" ht="15.75" thickBot="1">
      <c r="A62" s="337" t="s">
        <v>17</v>
      </c>
      <c r="B62" s="319" t="s">
        <v>2273</v>
      </c>
      <c r="C62" s="14">
        <f ca="1">IF(项目基本情况!B7="自然人","——",IF(D62="按租金收入计税",ROUND(C49*F62,0),IF(D62="按房产原值计税",ROUND(C58*F62*0.7,0),'数据-取费表'!B43)))</f>
        <v>44594</v>
      </c>
      <c r="D62" s="1997" t="s">
        <v>2145</v>
      </c>
      <c r="E62" s="319" t="s">
        <v>2148</v>
      </c>
      <c r="F62" s="342">
        <f t="shared" si="0"/>
        <v>0.12</v>
      </c>
      <c r="O62" s="1355" t="s">
        <v>2218</v>
      </c>
      <c r="P62" s="1356" t="s">
        <v>2219</v>
      </c>
      <c r="Q62" s="1357" t="s">
        <v>2220</v>
      </c>
      <c r="R62" s="1358" t="s">
        <v>2221</v>
      </c>
    </row>
    <row r="63" spans="1:18" s="790" customFormat="1" ht="15.75" thickBot="1">
      <c r="A63" s="345" t="s">
        <v>18</v>
      </c>
      <c r="B63" s="80" t="s">
        <v>2274</v>
      </c>
      <c r="C63" s="15">
        <f>IF(项目基本情况!B7="自然人","——",ROUND(F63*F64,0))</f>
        <v>0</v>
      </c>
      <c r="D63" s="346" t="s">
        <v>2275</v>
      </c>
      <c r="E63" s="319" t="s">
        <v>2276</v>
      </c>
      <c r="F63" s="347">
        <f t="shared" si="0"/>
        <v>0</v>
      </c>
      <c r="I63" s="2352" t="s">
        <v>2277</v>
      </c>
      <c r="J63" s="1858" t="s">
        <v>2278</v>
      </c>
      <c r="K63" s="1858" t="s">
        <v>2279</v>
      </c>
      <c r="L63" s="1858" t="s">
        <v>2280</v>
      </c>
      <c r="M63" s="1857" t="s">
        <v>2281</v>
      </c>
      <c r="O63" s="1359" t="s">
        <v>953</v>
      </c>
      <c r="P63" s="1360" t="s">
        <v>2222</v>
      </c>
      <c r="Q63" s="1361">
        <f ca="1">C40+J29</f>
        <v>202703</v>
      </c>
      <c r="R63" s="1362" t="s">
        <v>2223</v>
      </c>
    </row>
    <row r="64" spans="1:18" s="790" customFormat="1" ht="20.25" thickBot="1">
      <c r="A64" s="348"/>
      <c r="B64" s="328"/>
      <c r="C64" s="19"/>
      <c r="D64" s="349"/>
      <c r="E64" s="319" t="s">
        <v>2282</v>
      </c>
      <c r="F64" s="320">
        <f t="shared" si="0"/>
        <v>0</v>
      </c>
      <c r="I64" s="2352" t="s">
        <v>2283</v>
      </c>
      <c r="J64" s="1858">
        <v>70</v>
      </c>
      <c r="K64" s="1858">
        <v>50</v>
      </c>
      <c r="L64" s="1858">
        <v>80</v>
      </c>
      <c r="M64" s="1856">
        <v>0.02</v>
      </c>
      <c r="O64" s="1359" t="s">
        <v>954</v>
      </c>
      <c r="P64" s="1360" t="s">
        <v>2254</v>
      </c>
      <c r="Q64" s="1361">
        <f>L61</f>
        <v>0</v>
      </c>
      <c r="R64" s="1362" t="s">
        <v>2255</v>
      </c>
    </row>
    <row r="65" spans="1:18" s="790" customFormat="1" ht="23.25" thickBot="1">
      <c r="A65" s="337" t="s">
        <v>19</v>
      </c>
      <c r="B65" s="319" t="s">
        <v>2203</v>
      </c>
      <c r="C65" s="14">
        <f ca="1">ROUND(C58*F65,0)</f>
        <v>7963</v>
      </c>
      <c r="D65" s="1876" t="s">
        <v>2204</v>
      </c>
      <c r="E65" s="319" t="s">
        <v>2148</v>
      </c>
      <c r="F65" s="350">
        <f t="shared" si="0"/>
        <v>1.4999999999999999E-2</v>
      </c>
      <c r="I65" s="2352" t="s">
        <v>2284</v>
      </c>
      <c r="J65" s="1858">
        <v>50</v>
      </c>
      <c r="K65" s="1858">
        <v>35</v>
      </c>
      <c r="L65" s="1858">
        <v>60</v>
      </c>
      <c r="M65" s="1857">
        <v>0</v>
      </c>
      <c r="O65" s="1363" t="s">
        <v>955</v>
      </c>
      <c r="P65" s="1360" t="s">
        <v>2258</v>
      </c>
      <c r="Q65" s="1365">
        <f ca="1">L52</f>
        <v>3234731</v>
      </c>
      <c r="R65" s="1366" t="s">
        <v>2285</v>
      </c>
    </row>
    <row r="66" spans="1:18" s="790" customFormat="1" ht="20.25" thickBot="1">
      <c r="A66" s="337" t="s">
        <v>20</v>
      </c>
      <c r="B66" s="319" t="s">
        <v>2163</v>
      </c>
      <c r="C66" s="14">
        <f ca="1">ROUND(C57*F66,0)</f>
        <v>597</v>
      </c>
      <c r="D66" s="1876" t="s">
        <v>2164</v>
      </c>
      <c r="E66" s="319" t="s">
        <v>2165</v>
      </c>
      <c r="F66" s="351">
        <f t="shared" si="0"/>
        <v>1.5E-3</v>
      </c>
      <c r="I66" s="2352" t="s">
        <v>2286</v>
      </c>
      <c r="J66" s="1858">
        <v>40</v>
      </c>
      <c r="K66" s="1858">
        <v>30</v>
      </c>
      <c r="L66" s="1858">
        <v>50</v>
      </c>
      <c r="M66" s="1856">
        <v>0.02</v>
      </c>
      <c r="O66" s="1363" t="s">
        <v>956</v>
      </c>
      <c r="P66" s="1367" t="s">
        <v>2287</v>
      </c>
      <c r="Q66" s="1361">
        <f ca="1">ROUND(Q67-Q68*Q69,0)</f>
        <v>-24722</v>
      </c>
      <c r="R66" s="1362"/>
    </row>
    <row r="67" spans="1:18" s="790" customFormat="1" ht="15.75" thickBot="1">
      <c r="A67" s="337" t="s">
        <v>21</v>
      </c>
      <c r="B67" s="319" t="s">
        <v>2146</v>
      </c>
      <c r="C67" s="14">
        <f ca="1">ROUND(C49*F67,0)</f>
        <v>0</v>
      </c>
      <c r="D67" s="1876" t="s">
        <v>2169</v>
      </c>
      <c r="E67" s="319" t="s">
        <v>2165</v>
      </c>
      <c r="F67" s="329">
        <f t="shared" si="0"/>
        <v>1.4999999999999999E-2</v>
      </c>
      <c r="O67" s="1363" t="s">
        <v>961</v>
      </c>
      <c r="P67" s="1367" t="s">
        <v>2288</v>
      </c>
      <c r="Q67" s="1361">
        <f ca="1">C39</f>
        <v>9122</v>
      </c>
      <c r="R67" s="1362" t="s">
        <v>2223</v>
      </c>
    </row>
    <row r="68" spans="1:18" ht="15.75" thickBot="1">
      <c r="A68" s="332" t="s">
        <v>22</v>
      </c>
      <c r="B68" s="89" t="s">
        <v>2173</v>
      </c>
      <c r="C68" s="334">
        <f ca="1">C49-C59</f>
        <v>-53154</v>
      </c>
      <c r="D68" s="1871" t="s">
        <v>2174</v>
      </c>
      <c r="E68" s="1875"/>
      <c r="F68" s="353"/>
      <c r="H68" s="790"/>
      <c r="I68" s="790"/>
      <c r="J68" s="790"/>
      <c r="K68" s="790"/>
      <c r="L68" s="790"/>
      <c r="M68" s="790"/>
      <c r="O68" s="1363" t="s">
        <v>962</v>
      </c>
      <c r="P68" s="1367" t="s">
        <v>2289</v>
      </c>
      <c r="Q68" s="1361">
        <f ca="1">C13</f>
        <v>398159</v>
      </c>
      <c r="R68" s="1362" t="s">
        <v>2223</v>
      </c>
    </row>
    <row r="69" spans="1:18" ht="15.75" thickBot="1">
      <c r="A69" s="316" t="s">
        <v>23</v>
      </c>
      <c r="B69" s="317" t="s">
        <v>2211</v>
      </c>
      <c r="C69" s="318">
        <f ca="1">ROUND(C68*(1-((1+F71)/(1+F69))^F70)/(F69-F71),0)</f>
        <v>-857232</v>
      </c>
      <c r="D69" s="346" t="s">
        <v>2179</v>
      </c>
      <c r="E69" s="319" t="s">
        <v>2180</v>
      </c>
      <c r="F69" s="329">
        <f>F40</f>
        <v>0.05</v>
      </c>
      <c r="H69" s="790"/>
      <c r="I69" s="790"/>
      <c r="J69" s="790"/>
      <c r="K69" s="790"/>
      <c r="L69" s="790"/>
      <c r="M69" s="790"/>
      <c r="O69" s="1363" t="s">
        <v>963</v>
      </c>
      <c r="P69" s="1367" t="s">
        <v>2290</v>
      </c>
      <c r="Q69" s="1364">
        <f>J35</f>
        <v>8.5000000000000006E-2</v>
      </c>
      <c r="R69" s="1362"/>
    </row>
    <row r="70" spans="1:18" ht="15.75" thickBot="1">
      <c r="A70" s="321"/>
      <c r="B70" s="322"/>
      <c r="C70" s="323"/>
      <c r="D70" s="354" t="s">
        <v>2213</v>
      </c>
      <c r="E70" s="319" t="s">
        <v>2185</v>
      </c>
      <c r="F70" s="355">
        <f>F41</f>
        <v>33.65</v>
      </c>
      <c r="H70" s="790"/>
      <c r="I70" s="790"/>
      <c r="J70" s="790"/>
      <c r="K70" s="790"/>
      <c r="L70" s="790"/>
      <c r="M70" s="790"/>
      <c r="O70" s="1363" t="s">
        <v>957</v>
      </c>
      <c r="P70" s="1360" t="s">
        <v>2261</v>
      </c>
      <c r="Q70" s="1364">
        <f>L53</f>
        <v>0</v>
      </c>
      <c r="R70" s="1362"/>
    </row>
    <row r="71" spans="1:18" ht="20.25" thickBot="1">
      <c r="A71" s="325"/>
      <c r="B71" s="326"/>
      <c r="C71" s="327"/>
      <c r="D71" s="349"/>
      <c r="E71" s="319" t="s">
        <v>2189</v>
      </c>
      <c r="F71" s="1348"/>
      <c r="H71" s="790"/>
      <c r="M71" s="790"/>
      <c r="O71" s="1363" t="s">
        <v>958</v>
      </c>
      <c r="P71" s="1360" t="s">
        <v>2264</v>
      </c>
      <c r="Q71" s="1361" t="e">
        <f>L59</f>
        <v>#DIV/0!</v>
      </c>
      <c r="R71" s="1362" t="s">
        <v>2265</v>
      </c>
    </row>
    <row r="72" spans="1:18" ht="15.75" thickBot="1">
      <c r="A72" s="356" t="s">
        <v>24</v>
      </c>
      <c r="B72" s="357" t="s">
        <v>2214</v>
      </c>
      <c r="C72" s="358">
        <f ca="1">ROUND(C69/F72,0)</f>
        <v>-8620</v>
      </c>
      <c r="D72" s="359" t="s">
        <v>2215</v>
      </c>
      <c r="E72" s="360" t="s">
        <v>2216</v>
      </c>
      <c r="F72" s="361">
        <f>F43</f>
        <v>99.45</v>
      </c>
      <c r="O72" s="1363" t="s">
        <v>964</v>
      </c>
      <c r="P72" s="1360" t="str">
        <f>K60</f>
        <v>建筑物剩余耐用年限下的土地年期修正系数Kn</v>
      </c>
      <c r="Q72" s="1361" t="e">
        <f>L60</f>
        <v>#DIV/0!</v>
      </c>
      <c r="R72" s="1362" t="s">
        <v>2268</v>
      </c>
    </row>
    <row r="73" spans="1:18" ht="15.75" thickBot="1">
      <c r="A73" s="790"/>
      <c r="B73" s="794"/>
      <c r="C73" s="794"/>
      <c r="D73" s="790"/>
      <c r="E73" s="790"/>
      <c r="F73" s="790"/>
      <c r="O73" s="1359" t="s">
        <v>959</v>
      </c>
      <c r="P73" s="1360" t="str">
        <f>IF(C2="元","收益价值(元)","收益价值(万元)")</f>
        <v>收益价值(万元)</v>
      </c>
      <c r="Q73" s="1361">
        <f ca="1">ROUND(IF(C2="元",Q63+Q64,(Q63+Q64)/10000),0)</f>
        <v>20</v>
      </c>
      <c r="R73" s="1362"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1" t="s">
        <v>1020</v>
      </c>
      <c r="B1" s="3022"/>
      <c r="C1" s="3023"/>
      <c r="D1" s="3024">
        <f>SUM(I10,I15,I20,I21,I23)</f>
        <v>0</v>
      </c>
      <c r="E1" s="3024"/>
      <c r="F1" s="3024"/>
      <c r="G1" s="3024"/>
      <c r="H1" s="3024"/>
      <c r="I1" s="3025"/>
    </row>
    <row r="2" spans="1:9">
      <c r="A2" s="3026" t="s">
        <v>1021</v>
      </c>
      <c r="B2" s="3027" t="s">
        <v>970</v>
      </c>
      <c r="C2" s="3027"/>
      <c r="D2" s="1381" t="s">
        <v>971</v>
      </c>
      <c r="E2" s="1381" t="s">
        <v>972</v>
      </c>
      <c r="F2" s="1381" t="s">
        <v>973</v>
      </c>
      <c r="G2" s="1381" t="s">
        <v>974</v>
      </c>
      <c r="H2" s="1381" t="s">
        <v>975</v>
      </c>
      <c r="I2" s="1382" t="s">
        <v>976</v>
      </c>
    </row>
    <row r="3" spans="1:9">
      <c r="A3" s="3026"/>
      <c r="B3" s="3027" t="s">
        <v>977</v>
      </c>
      <c r="C3" s="3027"/>
      <c r="D3" s="1383"/>
      <c r="E3" s="1381"/>
      <c r="F3" s="1384"/>
      <c r="G3" s="1384"/>
      <c r="H3" s="1385"/>
      <c r="I3" s="1386">
        <f>ROUND(D3*E3*F3*G3*H3/10000,0)</f>
        <v>0</v>
      </c>
    </row>
    <row r="4" spans="1:9">
      <c r="A4" s="3026"/>
      <c r="B4" s="3027" t="s">
        <v>978</v>
      </c>
      <c r="C4" s="3027"/>
      <c r="D4" s="1383"/>
      <c r="E4" s="1381"/>
      <c r="F4" s="1384"/>
      <c r="G4" s="1384"/>
      <c r="H4" s="1385"/>
      <c r="I4" s="1386">
        <f t="shared" ref="I4:I9" si="0">ROUND(D4*E4*F4*G4*H4/10000,0)</f>
        <v>0</v>
      </c>
    </row>
    <row r="5" spans="1:9">
      <c r="A5" s="3026"/>
      <c r="B5" s="3027" t="s">
        <v>979</v>
      </c>
      <c r="C5" s="3027"/>
      <c r="D5" s="1383"/>
      <c r="E5" s="1381"/>
      <c r="F5" s="1384"/>
      <c r="G5" s="1384"/>
      <c r="H5" s="1385"/>
      <c r="I5" s="1386">
        <f t="shared" si="0"/>
        <v>0</v>
      </c>
    </row>
    <row r="6" spans="1:9">
      <c r="A6" s="3026"/>
      <c r="B6" s="3027" t="s">
        <v>980</v>
      </c>
      <c r="C6" s="3027"/>
      <c r="D6" s="1383"/>
      <c r="E6" s="1381"/>
      <c r="F6" s="1384"/>
      <c r="G6" s="1384"/>
      <c r="H6" s="1385"/>
      <c r="I6" s="1386">
        <f t="shared" si="0"/>
        <v>0</v>
      </c>
    </row>
    <row r="7" spans="1:9">
      <c r="A7" s="3026"/>
      <c r="B7" s="3027" t="s">
        <v>981</v>
      </c>
      <c r="C7" s="3027"/>
      <c r="D7" s="1383"/>
      <c r="E7" s="1381"/>
      <c r="F7" s="1384"/>
      <c r="G7" s="1384"/>
      <c r="H7" s="1385"/>
      <c r="I7" s="1386">
        <f t="shared" si="0"/>
        <v>0</v>
      </c>
    </row>
    <row r="8" spans="1:9">
      <c r="A8" s="3026"/>
      <c r="B8" s="3027" t="s">
        <v>982</v>
      </c>
      <c r="C8" s="3027"/>
      <c r="D8" s="1383"/>
      <c r="E8" s="1381"/>
      <c r="F8" s="1384"/>
      <c r="G8" s="1384"/>
      <c r="H8" s="1385"/>
      <c r="I8" s="1386">
        <f t="shared" si="0"/>
        <v>0</v>
      </c>
    </row>
    <row r="9" spans="1:9">
      <c r="A9" s="3026"/>
      <c r="B9" s="3027" t="s">
        <v>983</v>
      </c>
      <c r="C9" s="3027"/>
      <c r="D9" s="1383"/>
      <c r="E9" s="1381"/>
      <c r="F9" s="1384"/>
      <c r="G9" s="1384"/>
      <c r="H9" s="1385"/>
      <c r="I9" s="1386">
        <f t="shared" si="0"/>
        <v>0</v>
      </c>
    </row>
    <row r="10" spans="1:9">
      <c r="A10" s="3026"/>
      <c r="B10" s="3028" t="s">
        <v>984</v>
      </c>
      <c r="C10" s="3028"/>
      <c r="D10" s="1387">
        <v>527</v>
      </c>
      <c r="E10" s="1387" t="e">
        <f>ROUND(D1*10000/D10/H9,0)</f>
        <v>#DIV/0!</v>
      </c>
      <c r="F10" s="1388"/>
      <c r="G10" s="1388"/>
      <c r="H10" s="1389"/>
      <c r="I10" s="1390">
        <f>SUM(I3:I9)</f>
        <v>0</v>
      </c>
    </row>
    <row r="11" spans="1:9" ht="14.25">
      <c r="A11" s="3026" t="s">
        <v>1022</v>
      </c>
      <c r="B11" s="3027" t="s">
        <v>985</v>
      </c>
      <c r="C11" s="3027"/>
      <c r="D11" s="1383" t="s">
        <v>986</v>
      </c>
      <c r="E11" s="1383" t="s">
        <v>987</v>
      </c>
      <c r="F11" s="1384" t="s">
        <v>988</v>
      </c>
      <c r="G11" s="1384" t="s">
        <v>975</v>
      </c>
      <c r="H11" s="1391" t="s">
        <v>989</v>
      </c>
      <c r="I11" s="1382" t="s">
        <v>976</v>
      </c>
    </row>
    <row r="12" spans="1:9">
      <c r="A12" s="3026"/>
      <c r="B12" s="3027" t="s">
        <v>990</v>
      </c>
      <c r="C12" s="3027"/>
      <c r="D12" s="1383"/>
      <c r="E12" s="1383"/>
      <c r="F12" s="1384"/>
      <c r="G12" s="1385"/>
      <c r="H12" s="1392"/>
      <c r="I12" s="1382">
        <f>ROUND(D12*E12*F12*G12/10000,0)</f>
        <v>0</v>
      </c>
    </row>
    <row r="13" spans="1:9">
      <c r="A13" s="3026"/>
      <c r="B13" s="3027" t="s">
        <v>991</v>
      </c>
      <c r="C13" s="3027"/>
      <c r="D13" s="1383"/>
      <c r="E13" s="1383"/>
      <c r="F13" s="1384"/>
      <c r="G13" s="1385"/>
      <c r="H13" s="1392"/>
      <c r="I13" s="1382">
        <f>ROUND(D13*E13*F13*G13/10000,0)</f>
        <v>0</v>
      </c>
    </row>
    <row r="14" spans="1:9">
      <c r="A14" s="3026"/>
      <c r="B14" s="3027" t="s">
        <v>992</v>
      </c>
      <c r="C14" s="3027"/>
      <c r="D14" s="1383"/>
      <c r="E14" s="1383"/>
      <c r="F14" s="1384"/>
      <c r="G14" s="1385"/>
      <c r="H14" s="1392"/>
      <c r="I14" s="1382">
        <f>ROUND(D14*E14*F14*G14/10000,0)</f>
        <v>0</v>
      </c>
    </row>
    <row r="15" spans="1:9">
      <c r="A15" s="3026"/>
      <c r="B15" s="3028" t="s">
        <v>984</v>
      </c>
      <c r="C15" s="3028"/>
      <c r="D15" s="1387"/>
      <c r="E15" s="1387">
        <f>SUM(E12:E14)</f>
        <v>0</v>
      </c>
      <c r="F15" s="1388"/>
      <c r="G15" s="1385"/>
      <c r="H15" s="1392"/>
      <c r="I15" s="1393">
        <f>SUM(I12:I14)</f>
        <v>0</v>
      </c>
    </row>
    <row r="16" spans="1:9" ht="24">
      <c r="A16" s="3026" t="s">
        <v>1023</v>
      </c>
      <c r="B16" s="3027" t="s">
        <v>993</v>
      </c>
      <c r="C16" s="3027"/>
      <c r="D16" s="1383" t="s">
        <v>971</v>
      </c>
      <c r="E16" s="1394" t="s">
        <v>994</v>
      </c>
      <c r="F16" s="1384" t="s">
        <v>995</v>
      </c>
      <c r="G16" s="1385" t="s">
        <v>975</v>
      </c>
      <c r="H16" s="1391" t="s">
        <v>989</v>
      </c>
      <c r="I16" s="1382" t="s">
        <v>976</v>
      </c>
    </row>
    <row r="17" spans="1:9" ht="14.25">
      <c r="A17" s="3026"/>
      <c r="B17" s="3027" t="s">
        <v>996</v>
      </c>
      <c r="C17" s="3027"/>
      <c r="D17" s="1383"/>
      <c r="E17" s="1383"/>
      <c r="F17" s="1384"/>
      <c r="G17" s="1385"/>
      <c r="H17" s="1395"/>
      <c r="I17" s="1396">
        <f>ROUND(D17*E17*F17*G17/10000,0)</f>
        <v>0</v>
      </c>
    </row>
    <row r="18" spans="1:9" ht="14.25">
      <c r="A18" s="3026"/>
      <c r="B18" s="3027" t="s">
        <v>997</v>
      </c>
      <c r="C18" s="3027"/>
      <c r="D18" s="1383"/>
      <c r="E18" s="1383"/>
      <c r="F18" s="1384"/>
      <c r="G18" s="1385"/>
      <c r="H18" s="1395"/>
      <c r="I18" s="1396">
        <f>ROUND(D18*E18*F18*G18/10000,0)</f>
        <v>0</v>
      </c>
    </row>
    <row r="19" spans="1:9" ht="14.25">
      <c r="A19" s="3026"/>
      <c r="B19" s="3027" t="s">
        <v>998</v>
      </c>
      <c r="C19" s="3027"/>
      <c r="D19" s="1383"/>
      <c r="E19" s="1383"/>
      <c r="F19" s="1384"/>
      <c r="G19" s="1385"/>
      <c r="H19" s="1395"/>
      <c r="I19" s="1396">
        <f>ROUND(D19*E19*F19*G19/10000,0)</f>
        <v>0</v>
      </c>
    </row>
    <row r="20" spans="1:9">
      <c r="A20" s="3026"/>
      <c r="B20" s="3028" t="s">
        <v>984</v>
      </c>
      <c r="C20" s="3028"/>
      <c r="D20" s="1387">
        <f>SUM(D17:D19)</f>
        <v>0</v>
      </c>
      <c r="E20" s="1387"/>
      <c r="F20" s="1388"/>
      <c r="G20" s="1385"/>
      <c r="H20" s="1392"/>
      <c r="I20" s="1393">
        <f>SUM(I17:I19)</f>
        <v>0</v>
      </c>
    </row>
    <row r="21" spans="1:9">
      <c r="A21" s="3026" t="s">
        <v>1024</v>
      </c>
      <c r="B21" s="3030"/>
      <c r="C21" s="3030"/>
      <c r="D21" s="3030"/>
      <c r="E21" s="3030"/>
      <c r="F21" s="3030"/>
      <c r="G21" s="3030"/>
      <c r="H21" s="1397">
        <v>0.1</v>
      </c>
      <c r="I21" s="1390">
        <f>ROUND(I10*H21,0)</f>
        <v>0</v>
      </c>
    </row>
    <row r="22" spans="1:9" ht="14.25">
      <c r="A22" s="3031" t="s">
        <v>1025</v>
      </c>
      <c r="B22" s="3032"/>
      <c r="C22" s="3033"/>
      <c r="D22" s="1398" t="s">
        <v>999</v>
      </c>
      <c r="E22" s="1398" t="s">
        <v>1000</v>
      </c>
      <c r="F22" s="1399" t="s">
        <v>975</v>
      </c>
      <c r="G22" s="1399" t="s">
        <v>1001</v>
      </c>
      <c r="H22" s="1391" t="s">
        <v>989</v>
      </c>
      <c r="I22" s="1382" t="s">
        <v>976</v>
      </c>
    </row>
    <row r="23" spans="1:9" ht="14.25" thickBot="1">
      <c r="A23" s="3034"/>
      <c r="B23" s="3035"/>
      <c r="C23" s="3036"/>
      <c r="D23" s="1400"/>
      <c r="E23" s="1400"/>
      <c r="F23" s="1400"/>
      <c r="G23" s="1401"/>
      <c r="H23" s="1402"/>
      <c r="I23" s="1403">
        <f>ROUND(E23*D23*F23*(1-G23)/10000,0)</f>
        <v>0</v>
      </c>
    </row>
    <row r="26" spans="1:9">
      <c r="A26" s="1404" t="s">
        <v>1002</v>
      </c>
      <c r="B26" s="1404"/>
      <c r="C26" s="1404"/>
      <c r="D26" s="1404"/>
      <c r="E26" s="3037">
        <f>C27-C30-C31-C32</f>
        <v>0</v>
      </c>
      <c r="F26" s="3037"/>
      <c r="G26" s="3037"/>
      <c r="H26" s="1821" t="s">
        <v>1213</v>
      </c>
    </row>
    <row r="27" spans="1:9">
      <c r="A27" s="1405">
        <v>1</v>
      </c>
      <c r="B27" s="1406" t="s">
        <v>1003</v>
      </c>
      <c r="C27" s="1406">
        <f>C28+C29</f>
        <v>0</v>
      </c>
      <c r="D27" s="1406"/>
      <c r="E27" s="3038"/>
      <c r="F27" s="3038"/>
      <c r="G27" s="3038"/>
    </row>
    <row r="28" spans="1:9">
      <c r="A28" s="1407" t="s">
        <v>1004</v>
      </c>
      <c r="B28" s="1406" t="s">
        <v>1005</v>
      </c>
      <c r="C28" s="1406"/>
      <c r="D28" s="1406"/>
      <c r="E28" s="3038"/>
      <c r="F28" s="3038"/>
      <c r="G28" s="3038"/>
    </row>
    <row r="29" spans="1:9">
      <c r="A29" s="1407" t="s">
        <v>1006</v>
      </c>
      <c r="B29" s="1406" t="s">
        <v>1007</v>
      </c>
      <c r="C29" s="1406"/>
      <c r="D29" s="1406"/>
      <c r="E29" s="1406" t="s">
        <v>1008</v>
      </c>
      <c r="F29" s="1406"/>
      <c r="G29" s="1406"/>
    </row>
    <row r="30" spans="1:9">
      <c r="A30" s="1405">
        <v>2</v>
      </c>
      <c r="B30" s="1406" t="s">
        <v>1009</v>
      </c>
      <c r="C30" s="1406">
        <f>C27*D30</f>
        <v>0</v>
      </c>
      <c r="D30" s="1408">
        <v>0.2</v>
      </c>
      <c r="E30" s="1406" t="s">
        <v>1010</v>
      </c>
      <c r="F30" s="1406"/>
      <c r="G30" s="1406"/>
    </row>
    <row r="31" spans="1:9">
      <c r="A31" s="1405">
        <v>3</v>
      </c>
      <c r="B31" s="1406" t="s">
        <v>1011</v>
      </c>
      <c r="C31" s="1406">
        <f>C25*D31</f>
        <v>0</v>
      </c>
      <c r="D31" s="1408">
        <v>0.15</v>
      </c>
      <c r="E31" s="1406" t="s">
        <v>1012</v>
      </c>
      <c r="F31" s="1406"/>
      <c r="G31" s="1406"/>
    </row>
    <row r="32" spans="1:9">
      <c r="A32" s="1405">
        <v>4</v>
      </c>
      <c r="B32" s="1406" t="s">
        <v>1013</v>
      </c>
      <c r="C32" s="1406">
        <f>C27*D32</f>
        <v>0</v>
      </c>
      <c r="D32" s="1408">
        <v>0.05</v>
      </c>
      <c r="E32" s="3029"/>
      <c r="F32" s="3029"/>
      <c r="G32" s="3029"/>
    </row>
    <row r="33" spans="1:7" hidden="1">
      <c r="A33" s="3039" t="s">
        <v>1014</v>
      </c>
      <c r="B33" s="3040"/>
      <c r="C33" s="3040"/>
      <c r="D33" s="3041"/>
      <c r="E33" s="3037"/>
      <c r="F33" s="3037"/>
      <c r="G33" s="3037"/>
    </row>
    <row r="34" spans="1:7" hidden="1">
      <c r="A34" s="1409">
        <v>1</v>
      </c>
      <c r="B34" s="1406" t="s">
        <v>1015</v>
      </c>
      <c r="C34" s="1406"/>
      <c r="D34" s="1406"/>
      <c r="E34" s="3038"/>
      <c r="F34" s="3038"/>
      <c r="G34" s="3038"/>
    </row>
    <row r="35" spans="1:7" hidden="1">
      <c r="A35" s="1409">
        <v>2</v>
      </c>
      <c r="B35" s="1406" t="s">
        <v>1016</v>
      </c>
      <c r="C35" s="1406"/>
      <c r="D35" s="1406"/>
      <c r="E35" s="3038"/>
      <c r="F35" s="3038"/>
      <c r="G35" s="3038"/>
    </row>
    <row r="36" spans="1:7" hidden="1">
      <c r="A36" s="1409">
        <v>3</v>
      </c>
      <c r="B36" s="1406" t="s">
        <v>1017</v>
      </c>
      <c r="C36" s="1406"/>
      <c r="D36" s="1406"/>
      <c r="E36" s="3038"/>
      <c r="F36" s="3038"/>
      <c r="G36" s="3038"/>
    </row>
    <row r="37" spans="1:7" hidden="1">
      <c r="A37" s="1409">
        <v>4</v>
      </c>
      <c r="B37" s="1406" t="s">
        <v>1018</v>
      </c>
      <c r="C37" s="1406"/>
      <c r="D37" s="1406"/>
      <c r="E37" s="3038"/>
      <c r="F37" s="3038"/>
      <c r="G37" s="3038"/>
    </row>
    <row r="38" spans="1:7" hidden="1">
      <c r="A38" s="3039" t="s">
        <v>1019</v>
      </c>
      <c r="B38" s="3040"/>
      <c r="C38" s="3040"/>
      <c r="D38" s="3041"/>
      <c r="E38" s="3037"/>
      <c r="F38" s="3037"/>
      <c r="G38" s="303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K43" sqref="K4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2321</v>
      </c>
      <c r="B1" s="1726" t="s">
        <v>2322</v>
      </c>
      <c r="C1" s="1718" t="s">
        <v>2859</v>
      </c>
      <c r="D1" s="2365"/>
      <c r="E1" s="2366" t="s">
        <v>2860</v>
      </c>
      <c r="F1" s="1732" t="s">
        <v>2323</v>
      </c>
      <c r="G1" s="1731"/>
      <c r="H1" s="1731"/>
      <c r="I1" s="1731"/>
      <c r="J1" s="1731"/>
      <c r="K1" s="1733"/>
      <c r="L1" s="1725"/>
      <c r="M1" s="1726"/>
      <c r="N1" s="1726"/>
      <c r="O1" s="1726"/>
      <c r="P1" s="2367"/>
      <c r="Q1" s="1727"/>
      <c r="R1" s="1727"/>
      <c r="S1" s="1727"/>
      <c r="T1" s="1727"/>
      <c r="U1" s="1727"/>
      <c r="V1" s="1727"/>
      <c r="W1" s="1727"/>
      <c r="X1" s="1727"/>
      <c r="Y1" s="1727"/>
      <c r="Z1" s="1727"/>
      <c r="AA1" s="1727"/>
      <c r="AB1" s="1727"/>
      <c r="AC1" s="1728"/>
    </row>
    <row r="2" spans="1:29" s="372" customFormat="1" ht="28.5" customHeight="1" thickTop="1">
      <c r="A2" s="1719" t="s">
        <v>1998</v>
      </c>
      <c r="B2" s="1717">
        <f>IF(D2="——",IF(C2="元",ROUND(C49*D3,0),ROUND(C49*D3/10000,0)),IF(C2="元",ROUND(C49*D3,0),ROUND(C49*D3/10000,0))-E2)</f>
        <v>116</v>
      </c>
      <c r="C2" s="163" t="str">
        <f>'数据-取费表'!B3</f>
        <v>万元</v>
      </c>
      <c r="D2" s="2368" t="s">
        <v>1248</v>
      </c>
      <c r="E2" s="1827" t="e">
        <f ca="1">SUMIF(INDIRECT("'"&amp;G2&amp;"'"&amp;"!A:A"),"承租人权益价值",INDIRECT("'"&amp;G2&amp;"'"&amp;"!c:c"))</f>
        <v>#REF!</v>
      </c>
      <c r="F2" s="2369" t="str">
        <f>C2</f>
        <v>万元</v>
      </c>
      <c r="G2" s="2370"/>
      <c r="H2" s="975"/>
      <c r="I2" s="975"/>
      <c r="J2" s="975"/>
      <c r="K2" s="2371"/>
      <c r="L2" s="2372"/>
      <c r="M2" s="2373"/>
      <c r="N2" s="2373"/>
      <c r="O2" s="2373"/>
      <c r="P2" s="2374"/>
      <c r="Q2" s="2375"/>
      <c r="R2" s="2375"/>
      <c r="S2" s="2375"/>
      <c r="T2" s="2375"/>
      <c r="U2" s="2375"/>
      <c r="V2" s="2375"/>
      <c r="W2" s="2375"/>
      <c r="X2" s="2375"/>
      <c r="Y2" s="2375"/>
      <c r="Z2" s="2375"/>
      <c r="AA2" s="2375"/>
      <c r="AB2" s="2375"/>
      <c r="AC2" s="2376"/>
    </row>
    <row r="3" spans="1:29" s="372" customFormat="1" ht="28.5" customHeight="1" thickBot="1">
      <c r="A3" s="167" t="s">
        <v>1999</v>
      </c>
      <c r="B3" s="378">
        <f>ROUND(IF(D2="——",C49,IF(C2="万元",B2*10000/D3,B2/D3)),0)</f>
        <v>11702</v>
      </c>
      <c r="C3" s="379" t="s">
        <v>2324</v>
      </c>
      <c r="D3" s="378">
        <f>IF(C1="仅计算典型户型",'数据-取费表'!E5,'数据-取费表'!B5)</f>
        <v>99.45</v>
      </c>
      <c r="E3" s="975"/>
      <c r="F3" s="2377"/>
      <c r="G3" s="975"/>
      <c r="H3" s="975"/>
      <c r="I3" s="975"/>
      <c r="J3" s="975"/>
      <c r="K3" s="2371"/>
      <c r="L3" s="2372"/>
      <c r="M3" s="2373"/>
      <c r="N3" s="2373"/>
      <c r="O3" s="2373"/>
      <c r="P3" s="2378"/>
      <c r="Q3" s="2375"/>
      <c r="R3" s="2375"/>
      <c r="S3" s="2375"/>
      <c r="T3" s="2375"/>
      <c r="U3" s="2375"/>
      <c r="V3" s="2375"/>
      <c r="W3" s="2375"/>
      <c r="X3" s="2375"/>
      <c r="Y3" s="2375"/>
      <c r="Z3" s="2375"/>
      <c r="AA3" s="2375"/>
      <c r="AB3" s="2375"/>
      <c r="AC3" s="1350"/>
    </row>
    <row r="4" spans="1:29" ht="15">
      <c r="A4" s="380" t="s">
        <v>2325</v>
      </c>
      <c r="B4" s="381"/>
      <c r="C4" s="3045" t="s">
        <v>2326</v>
      </c>
      <c r="D4" s="3046"/>
      <c r="E4" s="3047" t="s">
        <v>2327</v>
      </c>
      <c r="F4" s="3048"/>
      <c r="G4" s="3045" t="s">
        <v>2328</v>
      </c>
      <c r="H4" s="3046"/>
      <c r="I4" s="3045" t="s">
        <v>2329</v>
      </c>
      <c r="J4" s="3046"/>
      <c r="K4" s="2379" t="s">
        <v>2330</v>
      </c>
      <c r="L4" s="1235"/>
      <c r="M4" s="1236"/>
      <c r="N4" s="1236"/>
      <c r="O4" s="1236"/>
      <c r="P4" s="3049" t="s">
        <v>2331</v>
      </c>
      <c r="Q4" s="3050"/>
      <c r="R4" s="3055" t="s">
        <v>2327</v>
      </c>
      <c r="S4" s="3056"/>
      <c r="T4" s="3055" t="s">
        <v>2328</v>
      </c>
      <c r="U4" s="3056"/>
      <c r="V4" s="3061" t="s">
        <v>2329</v>
      </c>
      <c r="W4" s="3061"/>
      <c r="X4" s="1883"/>
      <c r="Y4" s="3055" t="s">
        <v>2331</v>
      </c>
      <c r="Z4" s="3056"/>
      <c r="AA4" s="3042" t="s">
        <v>2327</v>
      </c>
      <c r="AB4" s="3042" t="s">
        <v>2328</v>
      </c>
      <c r="AC4" s="3042" t="s">
        <v>2329</v>
      </c>
    </row>
    <row r="5" spans="1:29" ht="15">
      <c r="A5" s="383"/>
      <c r="B5" s="384"/>
      <c r="C5" s="3064" t="s">
        <v>2332</v>
      </c>
      <c r="D5" s="3065"/>
      <c r="E5" s="3062" t="s">
        <v>2873</v>
      </c>
      <c r="F5" s="3063"/>
      <c r="G5" s="3064" t="s">
        <v>2334</v>
      </c>
      <c r="H5" s="3065"/>
      <c r="I5" s="3064" t="s">
        <v>2335</v>
      </c>
      <c r="J5" s="3065"/>
      <c r="K5" s="2380"/>
      <c r="L5" s="1235"/>
      <c r="M5" s="1236"/>
      <c r="N5" s="1236"/>
      <c r="O5" s="1236"/>
      <c r="P5" s="3051"/>
      <c r="Q5" s="3052"/>
      <c r="R5" s="3057"/>
      <c r="S5" s="3058"/>
      <c r="T5" s="3057"/>
      <c r="U5" s="3058"/>
      <c r="V5" s="3061"/>
      <c r="W5" s="3061"/>
      <c r="X5" s="1883"/>
      <c r="Y5" s="3057"/>
      <c r="Z5" s="3058"/>
      <c r="AA5" s="3043"/>
      <c r="AB5" s="3043"/>
      <c r="AC5" s="3043"/>
    </row>
    <row r="6" spans="1:29" ht="15.75" thickBot="1">
      <c r="A6" s="385"/>
      <c r="B6" s="386"/>
      <c r="C6" s="3066" t="s">
        <v>2336</v>
      </c>
      <c r="D6" s="3067"/>
      <c r="E6" s="3068" t="s">
        <v>2336</v>
      </c>
      <c r="F6" s="3069"/>
      <c r="G6" s="3066" t="s">
        <v>2336</v>
      </c>
      <c r="H6" s="3067"/>
      <c r="I6" s="3066" t="s">
        <v>2336</v>
      </c>
      <c r="J6" s="3067"/>
      <c r="K6" s="2380" t="s">
        <v>2337</v>
      </c>
      <c r="L6" s="1235"/>
      <c r="M6" s="1236"/>
      <c r="N6" s="1236"/>
      <c r="O6" s="1236"/>
      <c r="P6" s="3053"/>
      <c r="Q6" s="3054"/>
      <c r="R6" s="3057"/>
      <c r="S6" s="3058"/>
      <c r="T6" s="3059"/>
      <c r="U6" s="3060"/>
      <c r="V6" s="3061"/>
      <c r="W6" s="3061"/>
      <c r="X6" s="1883"/>
      <c r="Y6" s="3059"/>
      <c r="Z6" s="3060"/>
      <c r="AA6" s="3044"/>
      <c r="AB6" s="3044"/>
      <c r="AC6" s="3044"/>
    </row>
    <row r="7" spans="1:29" s="35" customFormat="1" ht="15.75" thickBot="1">
      <c r="A7" s="387" t="s">
        <v>2338</v>
      </c>
      <c r="B7" s="388"/>
      <c r="C7" s="389">
        <f>'数据-取费表'!B2</f>
        <v>43999</v>
      </c>
      <c r="D7" s="390">
        <v>100</v>
      </c>
      <c r="E7" s="391">
        <v>43955</v>
      </c>
      <c r="F7" s="392">
        <f>SUMIF(58:58,YEAR(E7)&amp;"-"&amp;MONTH(E7),59:59)</f>
        <v>100</v>
      </c>
      <c r="G7" s="391">
        <v>43952</v>
      </c>
      <c r="H7" s="390">
        <f>SUMIF(58:58,YEAR(G7)&amp;"-"&amp;MONTH(G7),59:59)</f>
        <v>100</v>
      </c>
      <c r="I7" s="391">
        <v>43955</v>
      </c>
      <c r="J7" s="390">
        <f>SUMIF(58:58,YEAR(I7)&amp;"-"&amp;MONTH(I7),59:59)</f>
        <v>100</v>
      </c>
      <c r="K7" s="2381"/>
      <c r="L7" s="1237"/>
      <c r="M7" s="1238"/>
      <c r="N7" s="1238"/>
      <c r="O7" s="1238"/>
      <c r="P7" s="3077" t="s">
        <v>2339</v>
      </c>
      <c r="Q7" s="3079"/>
      <c r="R7" s="748" t="s">
        <v>34</v>
      </c>
      <c r="S7" s="749">
        <f t="shared" ref="S7:S15" si="0">F7</f>
        <v>100</v>
      </c>
      <c r="T7" s="748" t="s">
        <v>34</v>
      </c>
      <c r="U7" s="749">
        <f t="shared" ref="U7:U15" si="1">H7</f>
        <v>100</v>
      </c>
      <c r="V7" s="748" t="s">
        <v>34</v>
      </c>
      <c r="W7" s="749">
        <f t="shared" ref="W7:W15" si="2">J7</f>
        <v>100</v>
      </c>
      <c r="X7" s="750"/>
      <c r="Y7" s="3077" t="s">
        <v>2339</v>
      </c>
      <c r="Z7" s="3078"/>
      <c r="AA7" s="751">
        <f>D7/F7</f>
        <v>1</v>
      </c>
      <c r="AB7" s="751">
        <f>D7/H7</f>
        <v>1</v>
      </c>
      <c r="AC7" s="751">
        <f>D7/J7</f>
        <v>1</v>
      </c>
    </row>
    <row r="8" spans="1:29" s="35" customFormat="1" ht="15.75" thickBot="1">
      <c r="A8" s="387" t="s">
        <v>2340</v>
      </c>
      <c r="B8" s="388"/>
      <c r="C8" s="394" t="s">
        <v>2341</v>
      </c>
      <c r="D8" s="390">
        <v>100</v>
      </c>
      <c r="E8" s="2382" t="s">
        <v>2871</v>
      </c>
      <c r="F8" s="392">
        <f>SUMIF(61:61,E8,62:62)-SUMIF(61:61,C8,62:62)+100</f>
        <v>100</v>
      </c>
      <c r="G8" s="2382" t="s">
        <v>2871</v>
      </c>
      <c r="H8" s="390">
        <f>SUMIF(61:61,G8,62:62)-SUMIF(61:61,C8,62:62)+100</f>
        <v>100</v>
      </c>
      <c r="I8" s="2382" t="s">
        <v>2871</v>
      </c>
      <c r="J8" s="390">
        <f>SUMIF(61:61,I8,62:62)-SUMIF(61:61,C8,62:62)+100</f>
        <v>100</v>
      </c>
      <c r="K8" s="2381"/>
      <c r="L8" s="1237"/>
      <c r="M8" s="1238"/>
      <c r="N8" s="1238"/>
      <c r="O8" s="1238"/>
      <c r="P8" s="3077" t="s">
        <v>2342</v>
      </c>
      <c r="Q8" s="3078"/>
      <c r="R8" s="748" t="s">
        <v>34</v>
      </c>
      <c r="S8" s="749">
        <f t="shared" si="0"/>
        <v>100</v>
      </c>
      <c r="T8" s="748" t="s">
        <v>34</v>
      </c>
      <c r="U8" s="749">
        <f t="shared" si="1"/>
        <v>100</v>
      </c>
      <c r="V8" s="748" t="s">
        <v>34</v>
      </c>
      <c r="W8" s="749">
        <f t="shared" si="2"/>
        <v>100</v>
      </c>
      <c r="X8" s="750"/>
      <c r="Y8" s="3077" t="s">
        <v>2342</v>
      </c>
      <c r="Z8" s="3078"/>
      <c r="AA8" s="751">
        <f t="shared" ref="AA8:AA46" si="3">D8/F8</f>
        <v>1</v>
      </c>
      <c r="AB8" s="751">
        <f t="shared" ref="AB8:AB46" si="4">D8/H8</f>
        <v>1</v>
      </c>
      <c r="AC8" s="751">
        <f t="shared" ref="AC8:AC46" si="5">D8/J8</f>
        <v>1</v>
      </c>
    </row>
    <row r="9" spans="1:29" s="35" customFormat="1">
      <c r="A9" s="395" t="s">
        <v>2343</v>
      </c>
      <c r="B9" s="28" t="s">
        <v>2344</v>
      </c>
      <c r="C9" s="2758" t="s">
        <v>2864</v>
      </c>
      <c r="D9" s="51">
        <v>100</v>
      </c>
      <c r="E9" s="397" t="s">
        <v>2840</v>
      </c>
      <c r="F9" s="398">
        <f>SUMIF(63:63,E9,64:64)-SUMIF(63:63,C9,64:64)+100</f>
        <v>100</v>
      </c>
      <c r="G9" s="397" t="s">
        <v>2840</v>
      </c>
      <c r="H9" s="51">
        <f>SUMIF(63:63,G9,64:64)-SUMIF(63:63,C9,64:64)+100</f>
        <v>100</v>
      </c>
      <c r="I9" s="397" t="s">
        <v>2840</v>
      </c>
      <c r="J9" s="51">
        <f>SUMIF(63:63,I9,64:64)-SUMIF(63:63,C9,64:64)+100</f>
        <v>100</v>
      </c>
      <c r="K9" s="2381"/>
      <c r="L9" s="1237"/>
      <c r="M9" s="1238"/>
      <c r="N9" s="1238"/>
      <c r="O9" s="1238"/>
      <c r="P9" s="3080" t="s">
        <v>2345</v>
      </c>
      <c r="Q9" s="1870"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29" s="407" customFormat="1" ht="27">
      <c r="A10" s="401"/>
      <c r="B10" s="402" t="s">
        <v>2347</v>
      </c>
      <c r="C10" s="403" t="s">
        <v>2886</v>
      </c>
      <c r="D10" s="52">
        <v>100</v>
      </c>
      <c r="E10" s="403" t="s">
        <v>2886</v>
      </c>
      <c r="F10" s="405">
        <f>SUMIF(65:65,E10,66:66)-SUMIF(65:65,C10,66:66)+100</f>
        <v>100</v>
      </c>
      <c r="G10" s="403" t="s">
        <v>2886</v>
      </c>
      <c r="H10" s="52">
        <f>SUMIF(65:65,G10,66:66)-SUMIF(65:65,C10,66:66)+100</f>
        <v>100</v>
      </c>
      <c r="I10" s="403" t="s">
        <v>2886</v>
      </c>
      <c r="J10" s="52">
        <f>SUMIF(65:65,I10,66:66)-SUMIF(65:65,C10,66:66)+100</f>
        <v>100</v>
      </c>
      <c r="K10" s="406">
        <v>1</v>
      </c>
      <c r="L10" s="1240"/>
      <c r="M10" s="1241"/>
      <c r="N10" s="1241"/>
      <c r="O10" s="1241"/>
      <c r="P10" s="3080"/>
      <c r="Q10" s="1870"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408"/>
      <c r="B11" s="402" t="s">
        <v>2348</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80"/>
      <c r="Q11" s="1870" t="str">
        <f t="shared" si="6"/>
        <v>容积率</v>
      </c>
      <c r="R11" s="748" t="s">
        <v>28</v>
      </c>
      <c r="S11" s="749">
        <f t="shared" si="0"/>
        <v>100</v>
      </c>
      <c r="T11" s="748" t="s">
        <v>28</v>
      </c>
      <c r="U11" s="749">
        <f t="shared" si="1"/>
        <v>100</v>
      </c>
      <c r="V11" s="748" t="s">
        <v>28</v>
      </c>
      <c r="W11" s="749">
        <f t="shared" si="2"/>
        <v>100</v>
      </c>
      <c r="X11" s="750"/>
      <c r="Y11" s="2891"/>
      <c r="Z11" s="23" t="str">
        <f t="shared" si="7"/>
        <v>容积率</v>
      </c>
      <c r="AA11" s="751">
        <f t="shared" si="3"/>
        <v>1</v>
      </c>
      <c r="AB11" s="751">
        <f t="shared" si="4"/>
        <v>1</v>
      </c>
      <c r="AC11" s="751">
        <f t="shared" si="5"/>
        <v>1</v>
      </c>
    </row>
    <row r="12" spans="1:29" s="35" customFormat="1" ht="15">
      <c r="A12" s="411"/>
      <c r="B12" s="2383">
        <v>111</v>
      </c>
      <c r="C12" s="412"/>
      <c r="D12" s="413">
        <v>100</v>
      </c>
      <c r="E12" s="412"/>
      <c r="F12" s="405">
        <f>SUMIF(70:70,E12,71:71)-SUMIF(70:70,C12,71:71)+100</f>
        <v>100</v>
      </c>
      <c r="G12" s="412"/>
      <c r="H12" s="52">
        <f>SUMIF(70:70,G12,71:71)-SUMIF(70:70,C12,71:71)+100</f>
        <v>100</v>
      </c>
      <c r="I12" s="412"/>
      <c r="J12" s="52">
        <f>SUMIF(70:70,I12,71:71)-SUMIF(70:70,C12,71:71)+100</f>
        <v>100</v>
      </c>
      <c r="K12" s="2384"/>
      <c r="L12" s="1237"/>
      <c r="M12" s="1238"/>
      <c r="N12" s="1238"/>
      <c r="O12" s="1238"/>
      <c r="P12" s="3080"/>
      <c r="Q12" s="1870">
        <f t="shared" si="6"/>
        <v>111</v>
      </c>
      <c r="R12" s="748" t="s">
        <v>28</v>
      </c>
      <c r="S12" s="749">
        <f t="shared" si="0"/>
        <v>100</v>
      </c>
      <c r="T12" s="748" t="s">
        <v>28</v>
      </c>
      <c r="U12" s="749">
        <f t="shared" si="1"/>
        <v>100</v>
      </c>
      <c r="V12" s="748" t="s">
        <v>28</v>
      </c>
      <c r="W12" s="749">
        <f t="shared" si="2"/>
        <v>100</v>
      </c>
      <c r="X12" s="750"/>
      <c r="Y12" s="2891"/>
      <c r="Z12" s="23">
        <f t="shared" si="7"/>
        <v>111</v>
      </c>
      <c r="AA12" s="751">
        <f>D12/F12</f>
        <v>1</v>
      </c>
      <c r="AB12" s="751">
        <f>D12/H12</f>
        <v>1</v>
      </c>
      <c r="AC12" s="751">
        <f>D12/J12</f>
        <v>1</v>
      </c>
    </row>
    <row r="13" spans="1:29" ht="15">
      <c r="A13" s="408"/>
      <c r="B13" s="2383">
        <v>111</v>
      </c>
      <c r="C13" s="414"/>
      <c r="D13" s="415">
        <v>100</v>
      </c>
      <c r="E13" s="414"/>
      <c r="F13" s="405">
        <f>SUMIF(72:72,E13,73:73)-SUMIF(72:72,C13,73:73)+100</f>
        <v>100</v>
      </c>
      <c r="G13" s="414"/>
      <c r="H13" s="415">
        <f>SUMIF(72:72,G13,73:73)-SUMIF(72:72,C13,73:73)+100</f>
        <v>100</v>
      </c>
      <c r="I13" s="414"/>
      <c r="J13" s="415">
        <f>SUMIF(72:72,I13,73:73)-SUMIF(72:72,C13,73:73)+100</f>
        <v>100</v>
      </c>
      <c r="K13" s="2384"/>
      <c r="L13" s="1245"/>
      <c r="M13" s="1236"/>
      <c r="N13" s="1236"/>
      <c r="O13" s="1236"/>
      <c r="P13" s="3080"/>
      <c r="Q13" s="1870">
        <f t="shared" si="6"/>
        <v>111</v>
      </c>
      <c r="R13" s="748" t="s">
        <v>28</v>
      </c>
      <c r="S13" s="749">
        <f t="shared" si="0"/>
        <v>100</v>
      </c>
      <c r="T13" s="748" t="s">
        <v>28</v>
      </c>
      <c r="U13" s="749">
        <f t="shared" si="1"/>
        <v>100</v>
      </c>
      <c r="V13" s="748" t="s">
        <v>28</v>
      </c>
      <c r="W13" s="749">
        <f t="shared" si="2"/>
        <v>100</v>
      </c>
      <c r="X13" s="750"/>
      <c r="Y13" s="2891"/>
      <c r="Z13" s="23">
        <f t="shared" si="7"/>
        <v>111</v>
      </c>
      <c r="AA13" s="751">
        <f t="shared" si="3"/>
        <v>1</v>
      </c>
      <c r="AB13" s="751">
        <f t="shared" si="4"/>
        <v>1</v>
      </c>
      <c r="AC13" s="751">
        <f t="shared" si="5"/>
        <v>1</v>
      </c>
    </row>
    <row r="14" spans="1:29" ht="15.75" thickBot="1">
      <c r="A14" s="416"/>
      <c r="B14" s="2385">
        <v>111</v>
      </c>
      <c r="C14" s="2386"/>
      <c r="D14" s="417">
        <v>100</v>
      </c>
      <c r="E14" s="2386"/>
      <c r="F14" s="418">
        <f>SUMIF(74:74,E14,75:75)-SUMIF(74:74,C14,75:75)+100</f>
        <v>100</v>
      </c>
      <c r="G14" s="2386"/>
      <c r="H14" s="417">
        <f>SUMIF(74:74,G14,75:75)-SUMIF(74:74,C14,75:75)+100</f>
        <v>100</v>
      </c>
      <c r="I14" s="2386"/>
      <c r="J14" s="417">
        <f>SUMIF(74:74,I14,75:75)-SUMIF(74:74,C14,75:75)+100</f>
        <v>100</v>
      </c>
      <c r="K14" s="2384"/>
      <c r="L14" s="1245"/>
      <c r="M14" s="1236"/>
      <c r="N14" s="1236"/>
      <c r="O14" s="1236"/>
      <c r="P14" s="3080"/>
      <c r="Q14" s="1870">
        <f t="shared" si="6"/>
        <v>111</v>
      </c>
      <c r="R14" s="748" t="s">
        <v>28</v>
      </c>
      <c r="S14" s="749">
        <f t="shared" si="0"/>
        <v>100</v>
      </c>
      <c r="T14" s="748" t="s">
        <v>28</v>
      </c>
      <c r="U14" s="749">
        <f t="shared" si="1"/>
        <v>100</v>
      </c>
      <c r="V14" s="748" t="s">
        <v>28</v>
      </c>
      <c r="W14" s="749">
        <f t="shared" si="2"/>
        <v>100</v>
      </c>
      <c r="X14" s="750"/>
      <c r="Y14" s="2891"/>
      <c r="Z14" s="23">
        <f t="shared" si="7"/>
        <v>111</v>
      </c>
      <c r="AA14" s="751">
        <f t="shared" si="3"/>
        <v>1</v>
      </c>
      <c r="AB14" s="751">
        <f t="shared" si="4"/>
        <v>1</v>
      </c>
      <c r="AC14" s="751">
        <f t="shared" si="5"/>
        <v>1</v>
      </c>
    </row>
    <row r="15" spans="1:29" ht="99.75">
      <c r="A15" s="419" t="s">
        <v>2349</v>
      </c>
      <c r="B15" s="26" t="s">
        <v>1728</v>
      </c>
      <c r="C15" s="2387"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1</v>
      </c>
      <c r="L15" s="1245"/>
      <c r="M15" s="1236"/>
      <c r="N15" s="1236"/>
      <c r="O15" s="1236"/>
      <c r="P15" s="3083" t="s">
        <v>2350</v>
      </c>
      <c r="Q15" s="1882" t="str">
        <f t="shared" si="6"/>
        <v>居住社区成熟度</v>
      </c>
      <c r="R15" s="752" t="s">
        <v>28</v>
      </c>
      <c r="S15" s="753">
        <f t="shared" si="0"/>
        <v>100</v>
      </c>
      <c r="T15" s="752" t="s">
        <v>28</v>
      </c>
      <c r="U15" s="753">
        <f t="shared" si="1"/>
        <v>100</v>
      </c>
      <c r="V15" s="752" t="s">
        <v>28</v>
      </c>
      <c r="W15" s="753">
        <f t="shared" si="2"/>
        <v>100</v>
      </c>
      <c r="X15" s="1883"/>
      <c r="Y15" s="3070" t="s">
        <v>2350</v>
      </c>
      <c r="Z15" s="1885" t="str">
        <f t="shared" si="7"/>
        <v>居住社区成熟度</v>
      </c>
      <c r="AA15" s="1886">
        <f t="shared" si="3"/>
        <v>1</v>
      </c>
      <c r="AB15" s="1886">
        <f t="shared" si="4"/>
        <v>1</v>
      </c>
      <c r="AC15" s="1886">
        <f t="shared" si="5"/>
        <v>1</v>
      </c>
    </row>
    <row r="16" spans="1:29" ht="15">
      <c r="A16" s="408"/>
      <c r="B16" s="425"/>
      <c r="C16" s="426" t="s">
        <v>30</v>
      </c>
      <c r="D16" s="427"/>
      <c r="E16" s="426" t="s">
        <v>30</v>
      </c>
      <c r="F16" s="429"/>
      <c r="G16" s="426" t="s">
        <v>30</v>
      </c>
      <c r="H16" s="430"/>
      <c r="I16" s="426" t="s">
        <v>30</v>
      </c>
      <c r="J16" s="427"/>
      <c r="K16" s="2389"/>
      <c r="L16" s="1245"/>
      <c r="M16" s="1236"/>
      <c r="N16" s="1236"/>
      <c r="O16" s="1236"/>
      <c r="P16" s="3084"/>
      <c r="Q16" s="1882"/>
      <c r="R16" s="752"/>
      <c r="S16" s="753"/>
      <c r="T16" s="752"/>
      <c r="U16" s="753"/>
      <c r="V16" s="752"/>
      <c r="W16" s="753"/>
      <c r="X16" s="1883"/>
      <c r="Y16" s="3071"/>
      <c r="Z16" s="1885"/>
      <c r="AA16" s="1886">
        <v>1</v>
      </c>
      <c r="AB16" s="1886">
        <v>1</v>
      </c>
      <c r="AC16" s="1886">
        <v>1</v>
      </c>
    </row>
    <row r="17" spans="1:29" ht="85.5">
      <c r="A17" s="408"/>
      <c r="B17" s="431" t="s">
        <v>1740</v>
      </c>
      <c r="C17" s="2390"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45"/>
      <c r="M17" s="1236"/>
      <c r="N17" s="1236"/>
      <c r="O17" s="1236"/>
      <c r="P17" s="3084"/>
      <c r="Q17" s="1882" t="str">
        <f>B17</f>
        <v>交通便捷度</v>
      </c>
      <c r="R17" s="752" t="s">
        <v>28</v>
      </c>
      <c r="S17" s="753">
        <f>F17</f>
        <v>100</v>
      </c>
      <c r="T17" s="752" t="s">
        <v>28</v>
      </c>
      <c r="U17" s="753">
        <f>H17</f>
        <v>100</v>
      </c>
      <c r="V17" s="752" t="s">
        <v>28</v>
      </c>
      <c r="W17" s="753">
        <f>J17</f>
        <v>100</v>
      </c>
      <c r="X17" s="1883"/>
      <c r="Y17" s="3071"/>
      <c r="Z17" s="1885" t="str">
        <f>Q17</f>
        <v>交通便捷度</v>
      </c>
      <c r="AA17" s="1886">
        <f t="shared" si="3"/>
        <v>1</v>
      </c>
      <c r="AB17" s="1886">
        <f t="shared" si="4"/>
        <v>1</v>
      </c>
      <c r="AC17" s="1886">
        <f t="shared" si="5"/>
        <v>1</v>
      </c>
    </row>
    <row r="18" spans="1:29" ht="15">
      <c r="A18" s="408"/>
      <c r="B18" s="436"/>
      <c r="C18" s="437" t="s">
        <v>30</v>
      </c>
      <c r="D18" s="430"/>
      <c r="E18" s="426" t="s">
        <v>30</v>
      </c>
      <c r="F18" s="433"/>
      <c r="G18" s="426" t="s">
        <v>30</v>
      </c>
      <c r="H18" s="427"/>
      <c r="I18" s="426" t="s">
        <v>30</v>
      </c>
      <c r="J18" s="427"/>
      <c r="K18" s="2389"/>
      <c r="L18" s="1245"/>
      <c r="M18" s="1236"/>
      <c r="N18" s="1236"/>
      <c r="O18" s="1236"/>
      <c r="P18" s="3084"/>
      <c r="Q18" s="1882"/>
      <c r="R18" s="752"/>
      <c r="S18" s="753"/>
      <c r="T18" s="752"/>
      <c r="U18" s="753"/>
      <c r="V18" s="752"/>
      <c r="W18" s="753"/>
      <c r="X18" s="1883"/>
      <c r="Y18" s="3071"/>
      <c r="Z18" s="1885"/>
      <c r="AA18" s="1886">
        <v>1</v>
      </c>
      <c r="AB18" s="1886">
        <v>1</v>
      </c>
      <c r="AC18" s="1886">
        <v>1</v>
      </c>
    </row>
    <row r="19" spans="1:29" ht="42.75">
      <c r="A19" s="408"/>
      <c r="B19" s="431" t="s">
        <v>1738</v>
      </c>
      <c r="C19" s="2390"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45"/>
      <c r="M19" s="1236"/>
      <c r="N19" s="1236"/>
      <c r="O19" s="1236"/>
      <c r="P19" s="3084"/>
      <c r="Q19" s="1882" t="str">
        <f>B19</f>
        <v>公共配套设施</v>
      </c>
      <c r="R19" s="752" t="s">
        <v>28</v>
      </c>
      <c r="S19" s="753">
        <f>F19</f>
        <v>100</v>
      </c>
      <c r="T19" s="752" t="s">
        <v>28</v>
      </c>
      <c r="U19" s="753">
        <f>H19</f>
        <v>100</v>
      </c>
      <c r="V19" s="752" t="s">
        <v>28</v>
      </c>
      <c r="W19" s="753">
        <f>J19</f>
        <v>100</v>
      </c>
      <c r="X19" s="1883"/>
      <c r="Y19" s="3071"/>
      <c r="Z19" s="1885" t="str">
        <f>Q19</f>
        <v>公共配套设施</v>
      </c>
      <c r="AA19" s="1886">
        <f t="shared" si="3"/>
        <v>1</v>
      </c>
      <c r="AB19" s="1886">
        <f t="shared" si="4"/>
        <v>1</v>
      </c>
      <c r="AC19" s="1886">
        <f t="shared" si="5"/>
        <v>1</v>
      </c>
    </row>
    <row r="20" spans="1:29" ht="15">
      <c r="A20" s="408"/>
      <c r="B20" s="436"/>
      <c r="C20" s="426" t="s">
        <v>30</v>
      </c>
      <c r="D20" s="427"/>
      <c r="E20" s="426" t="s">
        <v>30</v>
      </c>
      <c r="F20" s="429"/>
      <c r="G20" s="426" t="s">
        <v>30</v>
      </c>
      <c r="H20" s="427"/>
      <c r="I20" s="426" t="s">
        <v>30</v>
      </c>
      <c r="J20" s="427"/>
      <c r="K20" s="2389"/>
      <c r="L20" s="1245"/>
      <c r="M20" s="1236"/>
      <c r="N20" s="1236"/>
      <c r="O20" s="1236"/>
      <c r="P20" s="3084"/>
      <c r="Q20" s="1882"/>
      <c r="R20" s="752"/>
      <c r="S20" s="753"/>
      <c r="T20" s="752"/>
      <c r="U20" s="753"/>
      <c r="V20" s="752"/>
      <c r="W20" s="753"/>
      <c r="X20" s="1883"/>
      <c r="Y20" s="3071"/>
      <c r="Z20" s="1885"/>
      <c r="AA20" s="1886">
        <v>1</v>
      </c>
      <c r="AB20" s="1886">
        <v>1</v>
      </c>
      <c r="AC20" s="1886">
        <v>1</v>
      </c>
    </row>
    <row r="21" spans="1:29" ht="28.5">
      <c r="A21" s="408"/>
      <c r="B21" s="2392" t="s">
        <v>1741</v>
      </c>
      <c r="C21" s="2390"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45"/>
      <c r="M21" s="1236"/>
      <c r="N21" s="1236"/>
      <c r="O21" s="1236"/>
      <c r="P21" s="3084"/>
      <c r="Q21" s="1882" t="str">
        <f>B21</f>
        <v>基础设施水平</v>
      </c>
      <c r="R21" s="752" t="s">
        <v>28</v>
      </c>
      <c r="S21" s="753">
        <f>F21</f>
        <v>100</v>
      </c>
      <c r="T21" s="752" t="s">
        <v>28</v>
      </c>
      <c r="U21" s="753">
        <f>H21</f>
        <v>100</v>
      </c>
      <c r="V21" s="752" t="s">
        <v>28</v>
      </c>
      <c r="W21" s="753">
        <f>J21</f>
        <v>100</v>
      </c>
      <c r="X21" s="1883"/>
      <c r="Y21" s="3071"/>
      <c r="Z21" s="1885" t="str">
        <f>Q21</f>
        <v>基础设施水平</v>
      </c>
      <c r="AA21" s="1886">
        <f t="shared" ref="AA21" si="8">D21/F21</f>
        <v>1</v>
      </c>
      <c r="AB21" s="1886">
        <f t="shared" ref="AB21" si="9">D21/H21</f>
        <v>1</v>
      </c>
      <c r="AC21" s="1886">
        <f t="shared" ref="AC21" si="10">D21/J21</f>
        <v>1</v>
      </c>
    </row>
    <row r="22" spans="1:29" ht="15">
      <c r="A22" s="408"/>
      <c r="B22" s="2392"/>
      <c r="C22" s="437" t="s">
        <v>2854</v>
      </c>
      <c r="D22" s="427"/>
      <c r="E22" s="426" t="s">
        <v>2854</v>
      </c>
      <c r="F22" s="429"/>
      <c r="G22" s="426" t="s">
        <v>2854</v>
      </c>
      <c r="H22" s="427"/>
      <c r="I22" s="426" t="s">
        <v>2854</v>
      </c>
      <c r="J22" s="427"/>
      <c r="K22" s="2393"/>
      <c r="L22" s="1245"/>
      <c r="M22" s="1236"/>
      <c r="N22" s="1236"/>
      <c r="O22" s="1236"/>
      <c r="P22" s="3084"/>
      <c r="Q22" s="1882"/>
      <c r="R22" s="752"/>
      <c r="S22" s="753"/>
      <c r="T22" s="752"/>
      <c r="U22" s="753"/>
      <c r="V22" s="752"/>
      <c r="W22" s="753"/>
      <c r="X22" s="1883"/>
      <c r="Y22" s="3071"/>
      <c r="Z22" s="1885"/>
      <c r="AA22" s="1886">
        <v>1</v>
      </c>
      <c r="AB22" s="1886">
        <v>1</v>
      </c>
      <c r="AC22" s="1886">
        <v>1</v>
      </c>
    </row>
    <row r="23" spans="1:29" ht="57">
      <c r="A23" s="408"/>
      <c r="B23" s="431" t="s">
        <v>1745</v>
      </c>
      <c r="C23" s="239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45"/>
      <c r="M23" s="1236"/>
      <c r="N23" s="1236"/>
      <c r="O23" s="1236"/>
      <c r="P23" s="3084"/>
      <c r="Q23" s="1882" t="str">
        <f>B23</f>
        <v>自然及人文环境</v>
      </c>
      <c r="R23" s="752" t="s">
        <v>28</v>
      </c>
      <c r="S23" s="753">
        <f>F23</f>
        <v>100</v>
      </c>
      <c r="T23" s="752" t="s">
        <v>28</v>
      </c>
      <c r="U23" s="753">
        <f>H23</f>
        <v>100</v>
      </c>
      <c r="V23" s="752" t="s">
        <v>28</v>
      </c>
      <c r="W23" s="753">
        <f>J23</f>
        <v>100</v>
      </c>
      <c r="X23" s="1883"/>
      <c r="Y23" s="3071"/>
      <c r="Z23" s="1885" t="str">
        <f>Q23</f>
        <v>自然及人文环境</v>
      </c>
      <c r="AA23" s="1886">
        <f t="shared" si="3"/>
        <v>1</v>
      </c>
      <c r="AB23" s="1886">
        <f t="shared" si="4"/>
        <v>1</v>
      </c>
      <c r="AC23" s="1886">
        <f t="shared" si="5"/>
        <v>1</v>
      </c>
    </row>
    <row r="24" spans="1:29" ht="15">
      <c r="A24" s="408"/>
      <c r="B24" s="436"/>
      <c r="C24" s="426" t="s">
        <v>30</v>
      </c>
      <c r="D24" s="427"/>
      <c r="E24" s="426" t="s">
        <v>30</v>
      </c>
      <c r="F24" s="429"/>
      <c r="G24" s="426" t="s">
        <v>30</v>
      </c>
      <c r="H24" s="427"/>
      <c r="I24" s="426" t="s">
        <v>30</v>
      </c>
      <c r="J24" s="427"/>
      <c r="K24" s="2389"/>
      <c r="L24" s="1245"/>
      <c r="M24" s="1236"/>
      <c r="N24" s="1236"/>
      <c r="O24" s="1236"/>
      <c r="P24" s="3084"/>
      <c r="Q24" s="1882"/>
      <c r="R24" s="752"/>
      <c r="S24" s="753"/>
      <c r="T24" s="752"/>
      <c r="U24" s="753"/>
      <c r="V24" s="752"/>
      <c r="W24" s="753"/>
      <c r="X24" s="1883"/>
      <c r="Y24" s="3071"/>
      <c r="Z24" s="1885"/>
      <c r="AA24" s="1886">
        <v>1</v>
      </c>
      <c r="AB24" s="1886">
        <v>1</v>
      </c>
      <c r="AC24" s="1886">
        <v>1</v>
      </c>
    </row>
    <row r="25" spans="1:29" ht="15">
      <c r="A25" s="408"/>
      <c r="B25" s="402" t="s">
        <v>2351</v>
      </c>
      <c r="C25" s="441"/>
      <c r="D25" s="415">
        <v>100</v>
      </c>
      <c r="E25" s="2394"/>
      <c r="F25" s="442">
        <f>SUMIF(86:86,E25,87:87)-SUMIF(86:86,C25,87:87)+100</f>
        <v>100</v>
      </c>
      <c r="G25" s="2395"/>
      <c r="H25" s="415">
        <f>SUMIF(86:86,G25,87:87)-SUMIF(86:86,C25,87:87)+100</f>
        <v>100</v>
      </c>
      <c r="I25" s="2394"/>
      <c r="J25" s="415">
        <f>SUMIF(86:86,I25,87:87)-SUMIF(86:86,C25,87:87)+100</f>
        <v>100</v>
      </c>
      <c r="K25" s="406"/>
      <c r="L25" s="1245"/>
      <c r="M25" s="1236"/>
      <c r="N25" s="1236"/>
      <c r="O25" s="1236"/>
      <c r="P25" s="3084"/>
      <c r="Q25" s="1882" t="str">
        <f t="shared" ref="Q25:Q46" si="11">B25</f>
        <v>楼层-1</v>
      </c>
      <c r="R25" s="752" t="s">
        <v>28</v>
      </c>
      <c r="S25" s="753">
        <f>F25</f>
        <v>100</v>
      </c>
      <c r="T25" s="752" t="s">
        <v>28</v>
      </c>
      <c r="U25" s="753">
        <f>H25</f>
        <v>100</v>
      </c>
      <c r="V25" s="752" t="s">
        <v>28</v>
      </c>
      <c r="W25" s="753">
        <f>J25</f>
        <v>100</v>
      </c>
      <c r="X25" s="1883"/>
      <c r="Y25" s="3071"/>
      <c r="Z25" s="1885" t="str">
        <f>Q25</f>
        <v>楼层-1</v>
      </c>
      <c r="AA25" s="1886">
        <f t="shared" si="3"/>
        <v>1</v>
      </c>
      <c r="AB25" s="1886">
        <f t="shared" si="4"/>
        <v>1</v>
      </c>
      <c r="AC25" s="1886">
        <f t="shared" si="5"/>
        <v>1</v>
      </c>
    </row>
    <row r="26" spans="1:29" ht="15">
      <c r="A26" s="408"/>
      <c r="B26" s="2767" t="s">
        <v>2917</v>
      </c>
      <c r="C26" s="441" t="s">
        <v>2890</v>
      </c>
      <c r="D26" s="415">
        <v>100</v>
      </c>
      <c r="E26" s="2394" t="s">
        <v>2893</v>
      </c>
      <c r="F26" s="442">
        <f>SUMIF(88:88,E26,89:89)-SUMIF(88:88,C26,89:89)+100</f>
        <v>98.5</v>
      </c>
      <c r="G26" s="2395" t="s">
        <v>2893</v>
      </c>
      <c r="H26" s="415">
        <f>SUMIF(88:88,G26,89:89)-SUMIF(88:88,C26,89:89)+100</f>
        <v>98.5</v>
      </c>
      <c r="I26" s="2394" t="s">
        <v>2898</v>
      </c>
      <c r="J26" s="415">
        <f>SUMIF(88:88,I26,89:89)-SUMIF(88:88,C26,89:89)+100</f>
        <v>98</v>
      </c>
      <c r="K26" s="406">
        <v>0.5</v>
      </c>
      <c r="L26" s="1245"/>
      <c r="M26" s="1236"/>
      <c r="N26" s="1236"/>
      <c r="O26" s="1236"/>
      <c r="P26" s="3084"/>
      <c r="Q26" s="1882" t="str">
        <f t="shared" si="11"/>
        <v>朝向</v>
      </c>
      <c r="R26" s="752" t="s">
        <v>28</v>
      </c>
      <c r="S26" s="753">
        <f>F26</f>
        <v>98.5</v>
      </c>
      <c r="T26" s="752" t="s">
        <v>28</v>
      </c>
      <c r="U26" s="753">
        <f>H26</f>
        <v>98.5</v>
      </c>
      <c r="V26" s="752" t="s">
        <v>28</v>
      </c>
      <c r="W26" s="753">
        <f>J26</f>
        <v>98</v>
      </c>
      <c r="X26" s="1883"/>
      <c r="Y26" s="3071"/>
      <c r="Z26" s="1885" t="str">
        <f>Q26</f>
        <v>朝向</v>
      </c>
      <c r="AA26" s="1886">
        <f t="shared" si="3"/>
        <v>1.015228426395939</v>
      </c>
      <c r="AB26" s="1886">
        <f t="shared" si="4"/>
        <v>1.015228426395939</v>
      </c>
      <c r="AC26" s="1886">
        <f t="shared" si="5"/>
        <v>1.0204081632653061</v>
      </c>
    </row>
    <row r="27" spans="1:29" s="35" customFormat="1" ht="15">
      <c r="A27" s="411"/>
      <c r="B27" s="2776" t="s">
        <v>2911</v>
      </c>
      <c r="C27" s="2777" t="s">
        <v>2910</v>
      </c>
      <c r="D27" s="443">
        <v>100</v>
      </c>
      <c r="E27" s="2778" t="s">
        <v>2914</v>
      </c>
      <c r="F27" s="445">
        <f>SUMIF(90:90,E27,91:91)-SUMIF(90:90,C27,91:91)+100</f>
        <v>100</v>
      </c>
      <c r="G27" s="2779" t="s">
        <v>2915</v>
      </c>
      <c r="H27" s="443">
        <f>SUMIF(90:90,G27,91:91)-SUMIF(90:90,C27,91:91)+100</f>
        <v>96</v>
      </c>
      <c r="I27" s="2778" t="s">
        <v>2916</v>
      </c>
      <c r="J27" s="443">
        <f>SUMIF(90:90,I27,91:91)-SUMIF(90:90,C27,91:91)+100</f>
        <v>98</v>
      </c>
      <c r="K27" s="2384"/>
      <c r="L27" s="1237"/>
      <c r="M27" s="1238"/>
      <c r="N27" s="1238"/>
      <c r="O27" s="1238"/>
      <c r="P27" s="3084"/>
      <c r="Q27" s="1870" t="str">
        <f t="shared" si="11"/>
        <v>楼层</v>
      </c>
      <c r="R27" s="748" t="s">
        <v>28</v>
      </c>
      <c r="S27" s="749">
        <f>F27</f>
        <v>100</v>
      </c>
      <c r="T27" s="748" t="s">
        <v>28</v>
      </c>
      <c r="U27" s="749">
        <f>H27</f>
        <v>96</v>
      </c>
      <c r="V27" s="748" t="s">
        <v>28</v>
      </c>
      <c r="W27" s="749">
        <f>J27</f>
        <v>98</v>
      </c>
      <c r="X27" s="750"/>
      <c r="Y27" s="3071"/>
      <c r="Z27" s="23" t="str">
        <f>Q27</f>
        <v>楼层</v>
      </c>
      <c r="AA27" s="1886">
        <f>D27/F27</f>
        <v>1</v>
      </c>
      <c r="AB27" s="1886">
        <f>D27/H27</f>
        <v>1.0416666666666667</v>
      </c>
      <c r="AC27" s="1886">
        <f>D27/J27</f>
        <v>1.0204081632653061</v>
      </c>
    </row>
    <row r="28" spans="1:29" ht="15">
      <c r="A28" s="408"/>
      <c r="B28" s="2396">
        <v>111</v>
      </c>
      <c r="C28" s="414"/>
      <c r="D28" s="415">
        <v>100</v>
      </c>
      <c r="E28" s="414"/>
      <c r="F28" s="442">
        <f>SUMIF(92:92,E28,93:93)-SUMIF(92:92,C28,93:93)+100</f>
        <v>100</v>
      </c>
      <c r="G28" s="414"/>
      <c r="H28" s="415">
        <f>SUMIF(92:92,G28,93:93)-SUMIF(92:92,C28,93:93)+100</f>
        <v>100</v>
      </c>
      <c r="I28" s="414"/>
      <c r="J28" s="415">
        <f>SUMIF(92:92,I28,93:93)-SUMIF(92:92,C28,93:93)+100</f>
        <v>100</v>
      </c>
      <c r="K28" s="2384"/>
      <c r="L28" s="1245"/>
      <c r="M28" s="1236"/>
      <c r="N28" s="1236"/>
      <c r="O28" s="1236"/>
      <c r="P28" s="3084"/>
      <c r="Q28" s="1882">
        <f t="shared" si="11"/>
        <v>111</v>
      </c>
      <c r="R28" s="752" t="s">
        <v>28</v>
      </c>
      <c r="S28" s="753">
        <f t="shared" ref="S28:S46" si="12">F28</f>
        <v>100</v>
      </c>
      <c r="T28" s="752" t="s">
        <v>28</v>
      </c>
      <c r="U28" s="753">
        <f t="shared" ref="U28:U46" si="13">H28</f>
        <v>100</v>
      </c>
      <c r="V28" s="752" t="s">
        <v>28</v>
      </c>
      <c r="W28" s="753">
        <f t="shared" ref="W28:W46" si="14">J28</f>
        <v>100</v>
      </c>
      <c r="X28" s="1883"/>
      <c r="Y28" s="3071"/>
      <c r="Z28" s="1885">
        <f t="shared" ref="Z28:Z46" si="15">Q28</f>
        <v>111</v>
      </c>
      <c r="AA28" s="1886">
        <f t="shared" si="3"/>
        <v>1</v>
      </c>
      <c r="AB28" s="1886">
        <f t="shared" si="4"/>
        <v>1</v>
      </c>
      <c r="AC28" s="1886">
        <f t="shared" si="5"/>
        <v>1</v>
      </c>
    </row>
    <row r="29" spans="1:29" ht="15">
      <c r="A29" s="408"/>
      <c r="B29" s="2396">
        <v>111</v>
      </c>
      <c r="C29" s="414"/>
      <c r="D29" s="415">
        <v>100</v>
      </c>
      <c r="E29" s="414"/>
      <c r="F29" s="442">
        <f>SUMIF(94:94,E29,95:95)-SUMIF(94:94,C29,95:95)+100</f>
        <v>100</v>
      </c>
      <c r="G29" s="414"/>
      <c r="H29" s="415">
        <f>SUMIF(94:94,G29,95:95)-SUMIF(94:94,C29,95:95)+100</f>
        <v>100</v>
      </c>
      <c r="I29" s="414"/>
      <c r="J29" s="415">
        <f>SUMIF(94:94,I29,95:95)-SUMIF(94:94,C29,95:95)+100</f>
        <v>100</v>
      </c>
      <c r="K29" s="2384"/>
      <c r="L29" s="1245"/>
      <c r="M29" s="1236"/>
      <c r="N29" s="1236"/>
      <c r="O29" s="1236"/>
      <c r="P29" s="3084"/>
      <c r="Q29" s="1882">
        <f t="shared" si="11"/>
        <v>111</v>
      </c>
      <c r="R29" s="752" t="s">
        <v>28</v>
      </c>
      <c r="S29" s="753">
        <f t="shared" si="12"/>
        <v>100</v>
      </c>
      <c r="T29" s="752" t="s">
        <v>28</v>
      </c>
      <c r="U29" s="753">
        <f t="shared" si="13"/>
        <v>100</v>
      </c>
      <c r="V29" s="752" t="s">
        <v>28</v>
      </c>
      <c r="W29" s="753">
        <f t="shared" si="14"/>
        <v>100</v>
      </c>
      <c r="X29" s="1883"/>
      <c r="Y29" s="3071"/>
      <c r="Z29" s="1885">
        <f t="shared" si="15"/>
        <v>111</v>
      </c>
      <c r="AA29" s="1886">
        <f t="shared" si="3"/>
        <v>1</v>
      </c>
      <c r="AB29" s="1886">
        <f t="shared" si="4"/>
        <v>1</v>
      </c>
      <c r="AC29" s="1886">
        <f t="shared" si="5"/>
        <v>1</v>
      </c>
    </row>
    <row r="30" spans="1:29" ht="15">
      <c r="A30" s="408"/>
      <c r="B30" s="2396">
        <v>111</v>
      </c>
      <c r="C30" s="414"/>
      <c r="D30" s="415">
        <v>100</v>
      </c>
      <c r="E30" s="414"/>
      <c r="F30" s="442">
        <f>SUMIF(96:96,E30,97:97)-SUMIF(96:96,C30,97:97)+100</f>
        <v>100</v>
      </c>
      <c r="G30" s="414"/>
      <c r="H30" s="415">
        <f>SUMIF(96:96,G30,97:97)-SUMIF(96:96,C30,97:97)+100</f>
        <v>100</v>
      </c>
      <c r="I30" s="414"/>
      <c r="J30" s="415">
        <f>SUMIF(96:96,I30,97:97)-SUMIF(96:96,C30,97:97)+100</f>
        <v>100</v>
      </c>
      <c r="K30" s="2384"/>
      <c r="L30" s="1245"/>
      <c r="M30" s="1236"/>
      <c r="N30" s="1236"/>
      <c r="O30" s="1236"/>
      <c r="P30" s="3084"/>
      <c r="Q30" s="1882">
        <f t="shared" si="11"/>
        <v>111</v>
      </c>
      <c r="R30" s="752" t="s">
        <v>28</v>
      </c>
      <c r="S30" s="753">
        <f t="shared" si="12"/>
        <v>100</v>
      </c>
      <c r="T30" s="752" t="s">
        <v>28</v>
      </c>
      <c r="U30" s="753">
        <f t="shared" si="13"/>
        <v>100</v>
      </c>
      <c r="V30" s="752" t="s">
        <v>28</v>
      </c>
      <c r="W30" s="753">
        <f t="shared" si="14"/>
        <v>100</v>
      </c>
      <c r="X30" s="1883"/>
      <c r="Y30" s="3071"/>
      <c r="Z30" s="1885">
        <f t="shared" si="15"/>
        <v>111</v>
      </c>
      <c r="AA30" s="1886">
        <f t="shared" si="3"/>
        <v>1</v>
      </c>
      <c r="AB30" s="1886">
        <f t="shared" si="4"/>
        <v>1</v>
      </c>
      <c r="AC30" s="1886">
        <f t="shared" si="5"/>
        <v>1</v>
      </c>
    </row>
    <row r="31" spans="1:29" ht="15.75" thickBot="1">
      <c r="A31" s="416"/>
      <c r="B31" s="2396">
        <v>111</v>
      </c>
      <c r="C31" s="2386"/>
      <c r="D31" s="417">
        <v>100</v>
      </c>
      <c r="E31" s="2386"/>
      <c r="F31" s="418">
        <f>SUMIF(98:98,E31,99:99)-SUMIF(98:98,C31,99:99)+100</f>
        <v>100</v>
      </c>
      <c r="G31" s="2386"/>
      <c r="H31" s="417">
        <f>SUMIF(98:98,G31,99:99)-SUMIF(98:98,C31,99:99)+100</f>
        <v>100</v>
      </c>
      <c r="I31" s="2386"/>
      <c r="J31" s="417">
        <f>SUMIF(98:98,I31,99:99)-SUMIF(98:98,C31,99:99)+100</f>
        <v>100</v>
      </c>
      <c r="K31" s="2384"/>
      <c r="L31" s="1245"/>
      <c r="M31" s="1236"/>
      <c r="N31" s="1236"/>
      <c r="O31" s="1236"/>
      <c r="P31" s="3084"/>
      <c r="Q31" s="1882">
        <f t="shared" si="11"/>
        <v>111</v>
      </c>
      <c r="R31" s="752" t="s">
        <v>28</v>
      </c>
      <c r="S31" s="753">
        <f t="shared" si="12"/>
        <v>100</v>
      </c>
      <c r="T31" s="752" t="s">
        <v>28</v>
      </c>
      <c r="U31" s="753">
        <f t="shared" si="13"/>
        <v>100</v>
      </c>
      <c r="V31" s="752" t="s">
        <v>28</v>
      </c>
      <c r="W31" s="753">
        <f t="shared" si="14"/>
        <v>100</v>
      </c>
      <c r="X31" s="1883"/>
      <c r="Y31" s="3071"/>
      <c r="Z31" s="1885">
        <f t="shared" si="15"/>
        <v>111</v>
      </c>
      <c r="AA31" s="1886">
        <f t="shared" si="3"/>
        <v>1</v>
      </c>
      <c r="AB31" s="1886">
        <f t="shared" si="4"/>
        <v>1</v>
      </c>
      <c r="AC31" s="1886">
        <f t="shared" si="5"/>
        <v>1</v>
      </c>
    </row>
    <row r="32" spans="1:29" ht="15">
      <c r="A32" s="419" t="s">
        <v>2353</v>
      </c>
      <c r="B32" s="28" t="s">
        <v>2354</v>
      </c>
      <c r="C32" s="2397" t="s">
        <v>2866</v>
      </c>
      <c r="D32" s="448">
        <v>100</v>
      </c>
      <c r="E32" s="2397" t="s">
        <v>2866</v>
      </c>
      <c r="F32" s="442">
        <f>SUMIF(100:100,E32,101:101)-SUMIF(100:100,C32,101:101)+100</f>
        <v>100</v>
      </c>
      <c r="G32" s="2397" t="s">
        <v>2866</v>
      </c>
      <c r="H32" s="448">
        <f>SUMIF(100:100,G32,101:101)-SUMIF(100:100,C32,101:101)+100</f>
        <v>100</v>
      </c>
      <c r="I32" s="2397" t="s">
        <v>2866</v>
      </c>
      <c r="J32" s="415">
        <f>SUMIF(100:100,I32,101:101)-SUMIF(100:100,C32,101:101)+100</f>
        <v>100</v>
      </c>
      <c r="K32" s="406">
        <v>2</v>
      </c>
      <c r="L32" s="1245"/>
      <c r="M32" s="1236"/>
      <c r="N32" s="1236"/>
      <c r="O32" s="1236"/>
      <c r="P32" s="3072" t="s">
        <v>2355</v>
      </c>
      <c r="Q32" s="1882" t="str">
        <f t="shared" si="11"/>
        <v>建筑类型</v>
      </c>
      <c r="R32" s="752" t="s">
        <v>28</v>
      </c>
      <c r="S32" s="753">
        <f t="shared" si="12"/>
        <v>100</v>
      </c>
      <c r="T32" s="752" t="s">
        <v>28</v>
      </c>
      <c r="U32" s="753">
        <f t="shared" si="13"/>
        <v>100</v>
      </c>
      <c r="V32" s="752" t="s">
        <v>28</v>
      </c>
      <c r="W32" s="753">
        <f t="shared" si="14"/>
        <v>100</v>
      </c>
      <c r="X32" s="1883"/>
      <c r="Y32" s="3075" t="s">
        <v>2355</v>
      </c>
      <c r="Z32" s="1885" t="str">
        <f t="shared" si="15"/>
        <v>建筑类型</v>
      </c>
      <c r="AA32" s="1886">
        <f t="shared" si="3"/>
        <v>1</v>
      </c>
      <c r="AB32" s="1886">
        <f t="shared" si="4"/>
        <v>1</v>
      </c>
      <c r="AC32" s="1886">
        <f t="shared" si="5"/>
        <v>1</v>
      </c>
    </row>
    <row r="33" spans="1:29" s="452" customFormat="1" ht="15">
      <c r="A33" s="449"/>
      <c r="B33" s="402" t="s">
        <v>2356</v>
      </c>
      <c r="C33" s="450">
        <v>99.45</v>
      </c>
      <c r="D33" s="52">
        <v>100</v>
      </c>
      <c r="E33" s="450">
        <v>99</v>
      </c>
      <c r="F33" s="405">
        <f>LOOKUP(E33,103:103,104:104)-LOOKUP(C33,103:103,104:104)+100</f>
        <v>100</v>
      </c>
      <c r="G33" s="450">
        <v>112</v>
      </c>
      <c r="H33" s="52">
        <f>LOOKUP(G33,103:103,104:104)-LOOKUP(C33,103:103,104:104)+100</f>
        <v>98</v>
      </c>
      <c r="I33" s="450">
        <v>58.06</v>
      </c>
      <c r="J33" s="52">
        <f>LOOKUP(I33,103:103,104:104)-LOOKUP(C33,103:103,104:104)+100</f>
        <v>100</v>
      </c>
      <c r="K33" s="2384"/>
      <c r="L33" s="1243"/>
      <c r="M33" s="1246"/>
      <c r="N33" s="1246"/>
      <c r="O33" s="1246"/>
      <c r="P33" s="3073"/>
      <c r="Q33" s="754" t="str">
        <f t="shared" si="11"/>
        <v>项目建筑规模</v>
      </c>
      <c r="R33" s="755" t="s">
        <v>28</v>
      </c>
      <c r="S33" s="756">
        <f t="shared" si="12"/>
        <v>100</v>
      </c>
      <c r="T33" s="755" t="s">
        <v>28</v>
      </c>
      <c r="U33" s="756">
        <f t="shared" si="13"/>
        <v>98</v>
      </c>
      <c r="V33" s="755" t="s">
        <v>28</v>
      </c>
      <c r="W33" s="756">
        <f t="shared" si="14"/>
        <v>100</v>
      </c>
      <c r="X33" s="757"/>
      <c r="Y33" s="3075"/>
      <c r="Z33" s="758" t="str">
        <f t="shared" si="15"/>
        <v>项目建筑规模</v>
      </c>
      <c r="AA33" s="1886">
        <f t="shared" si="3"/>
        <v>1</v>
      </c>
      <c r="AB33" s="1886">
        <f t="shared" si="4"/>
        <v>1.0204081632653061</v>
      </c>
      <c r="AC33" s="1886">
        <f t="shared" si="5"/>
        <v>1</v>
      </c>
    </row>
    <row r="34" spans="1:29" ht="15">
      <c r="A34" s="453"/>
      <c r="B34" s="402" t="s">
        <v>2357</v>
      </c>
      <c r="C34" s="2398" t="s">
        <v>2867</v>
      </c>
      <c r="D34" s="415">
        <v>100</v>
      </c>
      <c r="E34" s="2398" t="s">
        <v>2867</v>
      </c>
      <c r="F34" s="442">
        <f>SUMIF(105:105,E34,106:106)-SUMIF(105:105,C34,106:106)+100</f>
        <v>100</v>
      </c>
      <c r="G34" s="2398" t="s">
        <v>2867</v>
      </c>
      <c r="H34" s="415">
        <f>SUMIF(105:105,G34,106:106)-SUMIF(105:105,C34,106:106)+100</f>
        <v>100</v>
      </c>
      <c r="I34" s="2398" t="s">
        <v>2867</v>
      </c>
      <c r="J34" s="415">
        <f>SUMIF(105:105,I34,106:106)-SUMIF(105:105,C34,106:106)+100</f>
        <v>100</v>
      </c>
      <c r="K34" s="406">
        <v>1</v>
      </c>
      <c r="L34" s="1245"/>
      <c r="M34" s="1236"/>
      <c r="N34" s="1236"/>
      <c r="O34" s="1236"/>
      <c r="P34" s="3073"/>
      <c r="Q34" s="1882" t="str">
        <f t="shared" si="11"/>
        <v>建筑结构</v>
      </c>
      <c r="R34" s="752" t="s">
        <v>28</v>
      </c>
      <c r="S34" s="753">
        <f t="shared" si="12"/>
        <v>100</v>
      </c>
      <c r="T34" s="752" t="s">
        <v>28</v>
      </c>
      <c r="U34" s="753">
        <f t="shared" si="13"/>
        <v>100</v>
      </c>
      <c r="V34" s="752" t="s">
        <v>28</v>
      </c>
      <c r="W34" s="753">
        <f t="shared" si="14"/>
        <v>100</v>
      </c>
      <c r="X34" s="1883"/>
      <c r="Y34" s="3075"/>
      <c r="Z34" s="1885" t="str">
        <f t="shared" si="15"/>
        <v>建筑结构</v>
      </c>
      <c r="AA34" s="1886">
        <f t="shared" si="3"/>
        <v>1</v>
      </c>
      <c r="AB34" s="1886">
        <f t="shared" si="4"/>
        <v>1</v>
      </c>
      <c r="AC34" s="1886">
        <f t="shared" si="5"/>
        <v>1</v>
      </c>
    </row>
    <row r="35" spans="1:29" ht="15">
      <c r="A35" s="453"/>
      <c r="B35" s="402" t="s">
        <v>2358</v>
      </c>
      <c r="C35" s="2395"/>
      <c r="D35" s="415">
        <v>100</v>
      </c>
      <c r="E35" s="2395"/>
      <c r="F35" s="442">
        <f>SUMIF(107:107,E35,108:108)-SUMIF(107:107,C35,108:108)+100</f>
        <v>100</v>
      </c>
      <c r="G35" s="2395"/>
      <c r="H35" s="415">
        <f>SUMIF(107:107,G35,108:108)-SUMIF(107:107,C35,108:108)+100</f>
        <v>100</v>
      </c>
      <c r="I35" s="2395"/>
      <c r="J35" s="415">
        <f>SUMIF(107:107,I35,108:108)-SUMIF(107:107,C35,108:108)+100</f>
        <v>100</v>
      </c>
      <c r="K35" s="406"/>
      <c r="L35" s="1245"/>
      <c r="M35" s="1236"/>
      <c r="N35" s="1236"/>
      <c r="O35" s="1236"/>
      <c r="P35" s="3073"/>
      <c r="Q35" s="1882" t="str">
        <f t="shared" si="11"/>
        <v>建筑品质</v>
      </c>
      <c r="R35" s="752" t="s">
        <v>28</v>
      </c>
      <c r="S35" s="753">
        <f t="shared" si="12"/>
        <v>100</v>
      </c>
      <c r="T35" s="752" t="s">
        <v>28</v>
      </c>
      <c r="U35" s="753">
        <f t="shared" si="13"/>
        <v>100</v>
      </c>
      <c r="V35" s="752" t="s">
        <v>28</v>
      </c>
      <c r="W35" s="753">
        <f t="shared" si="14"/>
        <v>100</v>
      </c>
      <c r="X35" s="1883"/>
      <c r="Y35" s="3075"/>
      <c r="Z35" s="1885" t="str">
        <f t="shared" si="15"/>
        <v>建筑品质</v>
      </c>
      <c r="AA35" s="1886">
        <f t="shared" si="3"/>
        <v>1</v>
      </c>
      <c r="AB35" s="1886">
        <f t="shared" si="4"/>
        <v>1</v>
      </c>
      <c r="AC35" s="1886">
        <f t="shared" si="5"/>
        <v>1</v>
      </c>
    </row>
    <row r="36" spans="1:29" ht="15">
      <c r="A36" s="453"/>
      <c r="B36" s="402" t="s">
        <v>2359</v>
      </c>
      <c r="C36" s="2395" t="s">
        <v>2868</v>
      </c>
      <c r="D36" s="415">
        <v>100</v>
      </c>
      <c r="E36" s="2395" t="s">
        <v>2868</v>
      </c>
      <c r="F36" s="442">
        <f>SUMIF(109:109,E36,110:110)-SUMIF(109:109,C36,110:110)+100</f>
        <v>100</v>
      </c>
      <c r="G36" s="2395" t="s">
        <v>2868</v>
      </c>
      <c r="H36" s="415">
        <f>SUMIF(109:109,G36,110:110)-SUMIF(109:109,C36,110:110)+100</f>
        <v>100</v>
      </c>
      <c r="I36" s="2395" t="s">
        <v>2868</v>
      </c>
      <c r="J36" s="415">
        <f>SUMIF(109:109,I36,110:110)-SUMIF(109:109,C36,110:110)+100</f>
        <v>100</v>
      </c>
      <c r="K36" s="406">
        <v>1</v>
      </c>
      <c r="L36" s="1245"/>
      <c r="M36" s="1236"/>
      <c r="N36" s="1236"/>
      <c r="O36" s="1236"/>
      <c r="P36" s="3073"/>
      <c r="Q36" s="1882" t="str">
        <f t="shared" si="11"/>
        <v>公共部分装修</v>
      </c>
      <c r="R36" s="752" t="s">
        <v>28</v>
      </c>
      <c r="S36" s="753">
        <f t="shared" si="12"/>
        <v>100</v>
      </c>
      <c r="T36" s="752" t="s">
        <v>28</v>
      </c>
      <c r="U36" s="753">
        <f t="shared" si="13"/>
        <v>100</v>
      </c>
      <c r="V36" s="752" t="s">
        <v>28</v>
      </c>
      <c r="W36" s="753">
        <f t="shared" si="14"/>
        <v>100</v>
      </c>
      <c r="X36" s="1883"/>
      <c r="Y36" s="3075"/>
      <c r="Z36" s="1885" t="str">
        <f t="shared" si="15"/>
        <v>公共部分装修</v>
      </c>
      <c r="AA36" s="1886">
        <f t="shared" si="3"/>
        <v>1</v>
      </c>
      <c r="AB36" s="1886">
        <f t="shared" si="4"/>
        <v>1</v>
      </c>
      <c r="AC36" s="1886">
        <f t="shared" si="5"/>
        <v>1</v>
      </c>
    </row>
    <row r="37" spans="1:29" s="35" customFormat="1" ht="15">
      <c r="A37" s="454"/>
      <c r="B37" s="402" t="s">
        <v>2360</v>
      </c>
      <c r="C37" s="455">
        <f>'数据-取费表'!E20</f>
        <v>0.75</v>
      </c>
      <c r="D37" s="52">
        <v>100</v>
      </c>
      <c r="E37" s="455">
        <f>C37</f>
        <v>0.75</v>
      </c>
      <c r="F37" s="405">
        <f>LOOKUP(E37,112:112,113:113)-LOOKUP(C37,112:112,113:113)+100</f>
        <v>100</v>
      </c>
      <c r="G37" s="455">
        <f>E37</f>
        <v>0.75</v>
      </c>
      <c r="H37" s="52">
        <f>LOOKUP(G37,112:112,113:113)-LOOKUP(C37,112:112,113:113)+100</f>
        <v>100</v>
      </c>
      <c r="I37" s="455">
        <f>G37</f>
        <v>0.75</v>
      </c>
      <c r="J37" s="52">
        <f>LOOKUP(I37,112:112,113:113)-LOOKUP(C37,112:112,113:113)+100</f>
        <v>100</v>
      </c>
      <c r="K37" s="406">
        <v>1</v>
      </c>
      <c r="L37" s="1237"/>
      <c r="M37" s="1238"/>
      <c r="N37" s="1238"/>
      <c r="O37" s="1238"/>
      <c r="P37" s="3073"/>
      <c r="Q37" s="1870" t="str">
        <f t="shared" si="11"/>
        <v>成新度</v>
      </c>
      <c r="R37" s="748" t="s">
        <v>28</v>
      </c>
      <c r="S37" s="749">
        <f t="shared" si="12"/>
        <v>100</v>
      </c>
      <c r="T37" s="748" t="s">
        <v>28</v>
      </c>
      <c r="U37" s="749">
        <f t="shared" si="13"/>
        <v>100</v>
      </c>
      <c r="V37" s="748" t="s">
        <v>28</v>
      </c>
      <c r="W37" s="749">
        <f t="shared" si="14"/>
        <v>100</v>
      </c>
      <c r="X37" s="750"/>
      <c r="Y37" s="3075"/>
      <c r="Z37" s="23" t="str">
        <f t="shared" si="15"/>
        <v>成新度</v>
      </c>
      <c r="AA37" s="751">
        <f t="shared" si="3"/>
        <v>1</v>
      </c>
      <c r="AB37" s="751">
        <f t="shared" si="4"/>
        <v>1</v>
      </c>
      <c r="AC37" s="751">
        <f t="shared" si="5"/>
        <v>1</v>
      </c>
    </row>
    <row r="38" spans="1:29" ht="15">
      <c r="A38" s="453"/>
      <c r="B38" s="402" t="s">
        <v>2361</v>
      </c>
      <c r="C38" s="2395" t="s">
        <v>2869</v>
      </c>
      <c r="D38" s="415">
        <v>100</v>
      </c>
      <c r="E38" s="2395" t="s">
        <v>2869</v>
      </c>
      <c r="F38" s="442">
        <f>SUMIF(114:114,E38,115:115)-SUMIF(114:114,C38,115:115)+100</f>
        <v>100</v>
      </c>
      <c r="G38" s="2395" t="s">
        <v>2869</v>
      </c>
      <c r="H38" s="415">
        <f>SUMIF(114:114,G38,115:115)-SUMIF(114:114,C38,115:115)+100</f>
        <v>100</v>
      </c>
      <c r="I38" s="2395" t="s">
        <v>2869</v>
      </c>
      <c r="J38" s="415">
        <f>SUMIF(114:114,I38,115:115)-SUMIF(114:114,C38,115:115)+100</f>
        <v>100</v>
      </c>
      <c r="K38" s="406">
        <v>1</v>
      </c>
      <c r="L38" s="1245"/>
      <c r="M38" s="1236"/>
      <c r="N38" s="1236"/>
      <c r="O38" s="1236"/>
      <c r="P38" s="3073" t="s">
        <v>2355</v>
      </c>
      <c r="Q38" s="1882" t="str">
        <f t="shared" si="11"/>
        <v>物业管理</v>
      </c>
      <c r="R38" s="752" t="s">
        <v>28</v>
      </c>
      <c r="S38" s="753">
        <f t="shared" si="12"/>
        <v>100</v>
      </c>
      <c r="T38" s="752" t="s">
        <v>28</v>
      </c>
      <c r="U38" s="753">
        <f t="shared" si="13"/>
        <v>100</v>
      </c>
      <c r="V38" s="752" t="s">
        <v>28</v>
      </c>
      <c r="W38" s="753">
        <f t="shared" si="14"/>
        <v>100</v>
      </c>
      <c r="X38" s="1883"/>
      <c r="Y38" s="3075" t="s">
        <v>2355</v>
      </c>
      <c r="Z38" s="1885" t="str">
        <f t="shared" si="15"/>
        <v>物业管理</v>
      </c>
      <c r="AA38" s="1886">
        <f t="shared" si="3"/>
        <v>1</v>
      </c>
      <c r="AB38" s="1886">
        <f t="shared" si="4"/>
        <v>1</v>
      </c>
      <c r="AC38" s="1886">
        <f t="shared" si="5"/>
        <v>1</v>
      </c>
    </row>
    <row r="39" spans="1:29" ht="15">
      <c r="A39" s="453"/>
      <c r="B39" s="402" t="s">
        <v>2362</v>
      </c>
      <c r="C39" s="2395" t="s">
        <v>2854</v>
      </c>
      <c r="D39" s="415">
        <v>100</v>
      </c>
      <c r="E39" s="2395" t="s">
        <v>2854</v>
      </c>
      <c r="F39" s="442">
        <f>SUMIF(116:116,E39,117:117)-SUMIF(116:116,C39,117:117)+100</f>
        <v>100</v>
      </c>
      <c r="G39" s="2395" t="s">
        <v>2854</v>
      </c>
      <c r="H39" s="415">
        <f>SUMIF(116:116,G39,117:117)-SUMIF(116:116,C39,117:117)+100</f>
        <v>100</v>
      </c>
      <c r="I39" s="2395" t="s">
        <v>2854</v>
      </c>
      <c r="J39" s="415">
        <f>SUMIF(116:116,I39,117:117)-SUMIF(116:116,C39,117:117)+100</f>
        <v>100</v>
      </c>
      <c r="K39" s="406">
        <v>1</v>
      </c>
      <c r="L39" s="1245"/>
      <c r="M39" s="1236"/>
      <c r="N39" s="1236"/>
      <c r="O39" s="1236"/>
      <c r="P39" s="3073"/>
      <c r="Q39" s="1882" t="str">
        <f t="shared" si="11"/>
        <v>市政基础设施</v>
      </c>
      <c r="R39" s="752" t="s">
        <v>28</v>
      </c>
      <c r="S39" s="753">
        <f t="shared" si="12"/>
        <v>100</v>
      </c>
      <c r="T39" s="752" t="s">
        <v>28</v>
      </c>
      <c r="U39" s="753">
        <f t="shared" si="13"/>
        <v>100</v>
      </c>
      <c r="V39" s="752" t="s">
        <v>28</v>
      </c>
      <c r="W39" s="753">
        <f t="shared" si="14"/>
        <v>100</v>
      </c>
      <c r="X39" s="1883"/>
      <c r="Y39" s="3075"/>
      <c r="Z39" s="1885" t="str">
        <f t="shared" si="15"/>
        <v>市政基础设施</v>
      </c>
      <c r="AA39" s="1886">
        <f t="shared" si="3"/>
        <v>1</v>
      </c>
      <c r="AB39" s="1886">
        <f t="shared" si="4"/>
        <v>1</v>
      </c>
      <c r="AC39" s="1886">
        <f t="shared" si="5"/>
        <v>1</v>
      </c>
    </row>
    <row r="40" spans="1:29" ht="15">
      <c r="A40" s="453"/>
      <c r="B40" s="402" t="s">
        <v>2363</v>
      </c>
      <c r="C40" s="2395"/>
      <c r="D40" s="415">
        <v>100</v>
      </c>
      <c r="E40" s="2395"/>
      <c r="F40" s="442">
        <f>SUMIF(118:118,E40,119:119)-SUMIF(118:118,C40,119:119)+100</f>
        <v>100</v>
      </c>
      <c r="G40" s="2395"/>
      <c r="H40" s="415">
        <f>SUMIF(118:118,G40,119:119)-SUMIF(118:118,C40,119:119)+100</f>
        <v>100</v>
      </c>
      <c r="I40" s="2395"/>
      <c r="J40" s="415">
        <f>SUMIF(118:118,I40,119:119)-SUMIF(118:118,C40,119:119)+100</f>
        <v>100</v>
      </c>
      <c r="K40" s="406">
        <v>1</v>
      </c>
      <c r="L40" s="1245"/>
      <c r="M40" s="1236"/>
      <c r="N40" s="1236"/>
      <c r="O40" s="1236"/>
      <c r="P40" s="3073"/>
      <c r="Q40" s="1882" t="str">
        <f t="shared" si="11"/>
        <v>房型</v>
      </c>
      <c r="R40" s="752" t="s">
        <v>28</v>
      </c>
      <c r="S40" s="753">
        <f t="shared" si="12"/>
        <v>100</v>
      </c>
      <c r="T40" s="752" t="s">
        <v>28</v>
      </c>
      <c r="U40" s="753">
        <f t="shared" si="13"/>
        <v>100</v>
      </c>
      <c r="V40" s="752" t="s">
        <v>28</v>
      </c>
      <c r="W40" s="753">
        <f t="shared" si="14"/>
        <v>100</v>
      </c>
      <c r="X40" s="1883"/>
      <c r="Y40" s="3075"/>
      <c r="Z40" s="1885" t="str">
        <f t="shared" si="15"/>
        <v>房型</v>
      </c>
      <c r="AA40" s="1886">
        <f t="shared" si="3"/>
        <v>1</v>
      </c>
      <c r="AB40" s="1886">
        <f t="shared" si="4"/>
        <v>1</v>
      </c>
      <c r="AC40" s="1886">
        <f t="shared" si="5"/>
        <v>1</v>
      </c>
    </row>
    <row r="41" spans="1:29" s="452" customFormat="1" ht="28.5">
      <c r="A41" s="449"/>
      <c r="B41" s="402" t="s">
        <v>2364</v>
      </c>
      <c r="C41" s="450"/>
      <c r="D41" s="52">
        <v>100</v>
      </c>
      <c r="E41" s="450"/>
      <c r="F41" s="405">
        <f>SUMIF(120:120,E41,121:121)-SUMIF(120:120,C41,121:121)+100</f>
        <v>100</v>
      </c>
      <c r="G41" s="450"/>
      <c r="H41" s="52">
        <f>SUMIF(120:120,G41,121:121)-SUMIF(120:120,C41,121:121)+100</f>
        <v>100</v>
      </c>
      <c r="I41" s="450"/>
      <c r="J41" s="415">
        <f>SUMIF(120:120,I41,121:121)-SUMIF(120:120,C41,121:121)+100</f>
        <v>100</v>
      </c>
      <c r="K41" s="2384"/>
      <c r="L41" s="1243"/>
      <c r="M41" s="1246"/>
      <c r="N41" s="1246"/>
      <c r="O41" s="1246"/>
      <c r="P41" s="3073"/>
      <c r="Q41" s="754" t="str">
        <f t="shared" si="11"/>
        <v>单套/主力户型建筑面积</v>
      </c>
      <c r="R41" s="755" t="s">
        <v>28</v>
      </c>
      <c r="S41" s="756">
        <f t="shared" si="12"/>
        <v>100</v>
      </c>
      <c r="T41" s="755" t="s">
        <v>28</v>
      </c>
      <c r="U41" s="756">
        <f t="shared" si="13"/>
        <v>100</v>
      </c>
      <c r="V41" s="755" t="s">
        <v>28</v>
      </c>
      <c r="W41" s="756">
        <f t="shared" si="14"/>
        <v>100</v>
      </c>
      <c r="X41" s="757"/>
      <c r="Y41" s="3075"/>
      <c r="Z41" s="758" t="str">
        <f t="shared" si="15"/>
        <v>单套/主力户型建筑面积</v>
      </c>
      <c r="AA41" s="1886">
        <f t="shared" si="3"/>
        <v>1</v>
      </c>
      <c r="AB41" s="1886">
        <f t="shared" si="4"/>
        <v>1</v>
      </c>
      <c r="AC41" s="1886">
        <f t="shared" si="5"/>
        <v>1</v>
      </c>
    </row>
    <row r="42" spans="1:29" ht="15">
      <c r="A42" s="453"/>
      <c r="B42" s="402" t="s">
        <v>2365</v>
      </c>
      <c r="C42" s="2395" t="s">
        <v>2870</v>
      </c>
      <c r="D42" s="415">
        <v>100</v>
      </c>
      <c r="E42" s="2395" t="s">
        <v>2868</v>
      </c>
      <c r="F42" s="442">
        <f>SUMIF(122:122,E42,123:123)-SUMIF(122:122,C42,123:123)+100</f>
        <v>118</v>
      </c>
      <c r="G42" s="2395" t="s">
        <v>2868</v>
      </c>
      <c r="H42" s="415">
        <f>SUMIF(122:122,G42,123:123)-SUMIF(122:122,C42,123:123)+100</f>
        <v>118</v>
      </c>
      <c r="I42" s="2395" t="s">
        <v>2872</v>
      </c>
      <c r="J42" s="415">
        <f>SUMIF(122:122,I42,123:123)-SUMIF(122:122,C42,123:123)+100</f>
        <v>109</v>
      </c>
      <c r="K42" s="406">
        <v>9</v>
      </c>
      <c r="L42" s="1245"/>
      <c r="M42" s="1236"/>
      <c r="N42" s="1236"/>
      <c r="O42" s="1236"/>
      <c r="P42" s="3073"/>
      <c r="Q42" s="1882" t="str">
        <f t="shared" si="11"/>
        <v>内部装修</v>
      </c>
      <c r="R42" s="752" t="s">
        <v>28</v>
      </c>
      <c r="S42" s="753">
        <f t="shared" si="12"/>
        <v>118</v>
      </c>
      <c r="T42" s="752" t="s">
        <v>28</v>
      </c>
      <c r="U42" s="753">
        <f t="shared" si="13"/>
        <v>118</v>
      </c>
      <c r="V42" s="752" t="s">
        <v>28</v>
      </c>
      <c r="W42" s="753">
        <f t="shared" si="14"/>
        <v>109</v>
      </c>
      <c r="X42" s="1883"/>
      <c r="Y42" s="3075"/>
      <c r="Z42" s="1885" t="str">
        <f t="shared" si="15"/>
        <v>内部装修</v>
      </c>
      <c r="AA42" s="1886">
        <f t="shared" si="3"/>
        <v>0.84745762711864403</v>
      </c>
      <c r="AB42" s="1886">
        <f t="shared" si="4"/>
        <v>0.84745762711864403</v>
      </c>
      <c r="AC42" s="1886">
        <f t="shared" si="5"/>
        <v>0.91743119266055051</v>
      </c>
    </row>
    <row r="43" spans="1:29" ht="15">
      <c r="A43" s="453"/>
      <c r="B43" s="402" t="s">
        <v>2366</v>
      </c>
      <c r="C43" s="2395" t="s">
        <v>30</v>
      </c>
      <c r="D43" s="415">
        <v>100</v>
      </c>
      <c r="E43" s="2395" t="s">
        <v>30</v>
      </c>
      <c r="F43" s="442">
        <f>SUMIF(124:124,E43,125:125)-SUMIF(124:124,C43,125:125)+100</f>
        <v>100</v>
      </c>
      <c r="G43" s="2395" t="s">
        <v>30</v>
      </c>
      <c r="H43" s="415">
        <f>SUMIF(124:124,G43,125:125)-SUMIF(124:124,C43,125:125)+100</f>
        <v>100</v>
      </c>
      <c r="I43" s="2395" t="s">
        <v>30</v>
      </c>
      <c r="J43" s="415">
        <f>SUMIF(124:124,I43,125:125)-SUMIF(124:124,C43,125:125)+100</f>
        <v>100</v>
      </c>
      <c r="K43" s="406">
        <v>4</v>
      </c>
      <c r="L43" s="1245"/>
      <c r="M43" s="1236"/>
      <c r="N43" s="1236"/>
      <c r="O43" s="1236"/>
      <c r="P43" s="3073"/>
      <c r="Q43" s="1882" t="str">
        <f t="shared" si="11"/>
        <v>内部装修维护情况</v>
      </c>
      <c r="R43" s="752" t="s">
        <v>28</v>
      </c>
      <c r="S43" s="753">
        <f t="shared" si="12"/>
        <v>100</v>
      </c>
      <c r="T43" s="752" t="s">
        <v>28</v>
      </c>
      <c r="U43" s="753">
        <f t="shared" si="13"/>
        <v>100</v>
      </c>
      <c r="V43" s="752" t="s">
        <v>28</v>
      </c>
      <c r="W43" s="753">
        <f t="shared" si="14"/>
        <v>100</v>
      </c>
      <c r="X43" s="1883"/>
      <c r="Y43" s="3075"/>
      <c r="Z43" s="1885" t="str">
        <f t="shared" si="15"/>
        <v>内部装修维护情况</v>
      </c>
      <c r="AA43" s="1886">
        <f t="shared" si="3"/>
        <v>1</v>
      </c>
      <c r="AB43" s="1886">
        <f t="shared" si="4"/>
        <v>1</v>
      </c>
      <c r="AC43" s="1886">
        <f t="shared" si="5"/>
        <v>1</v>
      </c>
    </row>
    <row r="44" spans="1:29" s="35" customFormat="1" ht="15">
      <c r="A44" s="454"/>
      <c r="B44" s="239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4"/>
      <c r="L44" s="1237"/>
      <c r="M44" s="1238"/>
      <c r="N44" s="1238"/>
      <c r="O44" s="1238"/>
      <c r="P44" s="3073"/>
      <c r="Q44" s="1870">
        <f t="shared" si="11"/>
        <v>111</v>
      </c>
      <c r="R44" s="748" t="s">
        <v>28</v>
      </c>
      <c r="S44" s="749">
        <f t="shared" si="12"/>
        <v>100</v>
      </c>
      <c r="T44" s="748" t="s">
        <v>28</v>
      </c>
      <c r="U44" s="749">
        <f t="shared" si="13"/>
        <v>100</v>
      </c>
      <c r="V44" s="748" t="s">
        <v>28</v>
      </c>
      <c r="W44" s="749">
        <f t="shared" si="14"/>
        <v>100</v>
      </c>
      <c r="X44" s="750"/>
      <c r="Y44" s="3075"/>
      <c r="Z44" s="23">
        <f t="shared" si="15"/>
        <v>111</v>
      </c>
      <c r="AA44" s="751">
        <f t="shared" si="3"/>
        <v>1</v>
      </c>
      <c r="AB44" s="751">
        <f t="shared" si="4"/>
        <v>1</v>
      </c>
      <c r="AC44" s="751">
        <f t="shared" si="5"/>
        <v>1</v>
      </c>
    </row>
    <row r="45" spans="1:29" ht="15">
      <c r="A45" s="453"/>
      <c r="B45" s="239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4"/>
      <c r="L45" s="1245"/>
      <c r="M45" s="1236"/>
      <c r="N45" s="1236"/>
      <c r="O45" s="1236"/>
      <c r="P45" s="3073"/>
      <c r="Q45" s="1882">
        <f t="shared" si="11"/>
        <v>111</v>
      </c>
      <c r="R45" s="752" t="s">
        <v>28</v>
      </c>
      <c r="S45" s="753">
        <f t="shared" si="12"/>
        <v>100</v>
      </c>
      <c r="T45" s="752" t="s">
        <v>28</v>
      </c>
      <c r="U45" s="753">
        <f t="shared" si="13"/>
        <v>100</v>
      </c>
      <c r="V45" s="752" t="s">
        <v>28</v>
      </c>
      <c r="W45" s="753">
        <f t="shared" si="14"/>
        <v>100</v>
      </c>
      <c r="X45" s="1883"/>
      <c r="Y45" s="3075"/>
      <c r="Z45" s="1885">
        <f t="shared" si="15"/>
        <v>111</v>
      </c>
      <c r="AA45" s="1886">
        <f t="shared" si="3"/>
        <v>1</v>
      </c>
      <c r="AB45" s="1886">
        <f t="shared" si="4"/>
        <v>1</v>
      </c>
      <c r="AC45" s="1886">
        <f t="shared" si="5"/>
        <v>1</v>
      </c>
    </row>
    <row r="46" spans="1:29" ht="15.75" thickBot="1">
      <c r="A46" s="459"/>
      <c r="B46" s="2385">
        <v>111</v>
      </c>
      <c r="C46" s="2386"/>
      <c r="D46" s="417">
        <v>100</v>
      </c>
      <c r="E46" s="2386"/>
      <c r="F46" s="418">
        <f>SUMIF(130:130,E46,131:131)-SUMIF(130:130,C46,131:131)+100</f>
        <v>100</v>
      </c>
      <c r="G46" s="2386"/>
      <c r="H46" s="417">
        <f>SUMIF(130:130,G46,131:131)-SUMIF(130:130,C46,131:131)+100</f>
        <v>100</v>
      </c>
      <c r="I46" s="2386"/>
      <c r="J46" s="417">
        <f>SUMIF(130:130,I46,131:131)-SUMIF(130:130,C46,131:131)+100</f>
        <v>100</v>
      </c>
      <c r="K46" s="2384"/>
      <c r="L46" s="1245"/>
      <c r="M46" s="1236"/>
      <c r="N46" s="1236"/>
      <c r="O46" s="1236"/>
      <c r="P46" s="3074"/>
      <c r="Q46" s="1882">
        <f t="shared" si="11"/>
        <v>111</v>
      </c>
      <c r="R46" s="752" t="s">
        <v>27</v>
      </c>
      <c r="S46" s="753">
        <f t="shared" si="12"/>
        <v>100</v>
      </c>
      <c r="T46" s="752" t="s">
        <v>27</v>
      </c>
      <c r="U46" s="753">
        <f t="shared" si="13"/>
        <v>100</v>
      </c>
      <c r="V46" s="752" t="s">
        <v>27</v>
      </c>
      <c r="W46" s="753">
        <f t="shared" si="14"/>
        <v>100</v>
      </c>
      <c r="X46" s="1883"/>
      <c r="Y46" s="3076"/>
      <c r="Z46" s="1885">
        <f t="shared" si="15"/>
        <v>111</v>
      </c>
      <c r="AA46" s="1886">
        <f t="shared" si="3"/>
        <v>1</v>
      </c>
      <c r="AB46" s="1886">
        <f t="shared" si="4"/>
        <v>1</v>
      </c>
      <c r="AC46" s="1886">
        <f t="shared" si="5"/>
        <v>1</v>
      </c>
    </row>
    <row r="47" spans="1:29" ht="15">
      <c r="A47" s="460" t="s">
        <v>2367</v>
      </c>
      <c r="B47" s="461"/>
      <c r="C47" s="1494" t="s">
        <v>26</v>
      </c>
      <c r="D47" s="1495"/>
      <c r="E47" s="1496">
        <v>12930</v>
      </c>
      <c r="F47" s="1497"/>
      <c r="G47" s="1498">
        <v>13179</v>
      </c>
      <c r="H47" s="1499"/>
      <c r="I47" s="1496">
        <v>12488</v>
      </c>
      <c r="J47" s="1499"/>
      <c r="K47" s="2400"/>
      <c r="L47" s="1248"/>
      <c r="M47" s="1249"/>
      <c r="N47" s="1236"/>
      <c r="O47" s="1249"/>
      <c r="P47" s="3081" t="str">
        <f>A47</f>
        <v>成交单价（元/平方米）</v>
      </c>
      <c r="Q47" s="3081"/>
      <c r="R47" s="3082">
        <f>E47</f>
        <v>12930</v>
      </c>
      <c r="S47" s="3082"/>
      <c r="T47" s="3082">
        <f>G47</f>
        <v>13179</v>
      </c>
      <c r="U47" s="3082"/>
      <c r="V47" s="3082">
        <f>I47</f>
        <v>12488</v>
      </c>
      <c r="W47" s="3082"/>
      <c r="X47" s="737"/>
      <c r="Y47" s="759"/>
      <c r="Z47" s="737"/>
      <c r="AA47" s="737"/>
      <c r="AB47" s="737"/>
      <c r="AC47" s="737"/>
    </row>
    <row r="48" spans="1:29" ht="15.75" thickBot="1">
      <c r="A48" s="467" t="s">
        <v>2368</v>
      </c>
      <c r="B48" s="468"/>
      <c r="C48" s="1500">
        <f>R49</f>
        <v>11702</v>
      </c>
      <c r="D48" s="1501"/>
      <c r="E48" s="1502">
        <f>R48</f>
        <v>11124</v>
      </c>
      <c r="F48" s="1502"/>
      <c r="G48" s="1500">
        <f>T48</f>
        <v>12052</v>
      </c>
      <c r="H48" s="1501"/>
      <c r="I48" s="1502">
        <f>V48</f>
        <v>11929</v>
      </c>
      <c r="J48" s="1501"/>
      <c r="K48" s="2401"/>
      <c r="L48" s="1248"/>
      <c r="M48" s="1249"/>
      <c r="N48" s="1249"/>
      <c r="O48" s="1249"/>
      <c r="P48" s="3081" t="str">
        <f>A48</f>
        <v>比较价值（元/平方米）</v>
      </c>
      <c r="Q48" s="3081"/>
      <c r="R48" s="3082">
        <f>IF(E1="售价",ROUND(PRODUCT(R47,AA7:AA46),0),ROUND(PRODUCT(R47,AA7:AA46),1))</f>
        <v>11124</v>
      </c>
      <c r="S48" s="3082"/>
      <c r="T48" s="3085">
        <f>IF(E1="售价",ROUND(PRODUCT(T47,AB7:AB46),0),ROUND(PRODUCT(T47,AB7:AB46),1))</f>
        <v>12052</v>
      </c>
      <c r="U48" s="3086"/>
      <c r="V48" s="3082">
        <f>IF(E1="售价",ROUND(PRODUCT(V47,AC7:AC46),0),ROUND(PRODUCT(V47,AC7:AC46),1))</f>
        <v>11929</v>
      </c>
      <c r="W48" s="3082"/>
      <c r="X48" s="737"/>
      <c r="Y48" s="737"/>
      <c r="Z48" s="737"/>
      <c r="AA48" s="737"/>
      <c r="AB48" s="737"/>
      <c r="AC48" s="737"/>
    </row>
    <row r="49" spans="1:29" ht="15.75" thickBot="1">
      <c r="A49" s="473" t="s">
        <v>2369</v>
      </c>
      <c r="B49" s="474"/>
      <c r="C49" s="1503">
        <f>R49</f>
        <v>11702</v>
      </c>
      <c r="D49" s="1504"/>
      <c r="E49" s="1504"/>
      <c r="F49" s="1504"/>
      <c r="G49" s="1504"/>
      <c r="H49" s="1504"/>
      <c r="I49" s="1504"/>
      <c r="J49" s="1504"/>
      <c r="K49" s="2402"/>
      <c r="L49" s="1248"/>
      <c r="M49" s="1249"/>
      <c r="N49" s="1249"/>
      <c r="O49" s="1249"/>
      <c r="P49" s="3087" t="str">
        <f>A49</f>
        <v>估价对象XX用房的比较价值（楼面单价，元/平方米）</v>
      </c>
      <c r="Q49" s="3088"/>
      <c r="R49" s="3089">
        <f>IF(E1="售价",ROUND(AVERAGE(R48:V48),0),ROUND(AVERAGE(R48:V48),1))</f>
        <v>11702</v>
      </c>
      <c r="S49" s="3089"/>
      <c r="T49" s="3089"/>
      <c r="U49" s="3089"/>
      <c r="V49" s="3089"/>
      <c r="W49" s="3089"/>
      <c r="X49" s="737"/>
      <c r="Y49" s="737"/>
      <c r="Z49" s="737"/>
      <c r="AA49" s="737"/>
      <c r="AB49" s="737"/>
      <c r="AC49" s="737"/>
    </row>
    <row r="50" spans="1:29">
      <c r="A50" s="1249"/>
      <c r="B50" s="1249"/>
      <c r="C50" s="1249">
        <v>1</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2370</v>
      </c>
      <c r="D52" s="479"/>
      <c r="E52" s="480">
        <f>IF(E47&lt;E48,E48/E47-1,E47/E48-1)</f>
        <v>0.1623516720604099</v>
      </c>
      <c r="F52" s="481" t="str">
        <f>IF(OR(E52&gt;=0.3,E52&lt;=-0.3),"超过30%","")</f>
        <v/>
      </c>
      <c r="G52" s="480">
        <f>IF(G47&lt;G48,G48/G47-1,G47/G48-1)</f>
        <v>9.3511450381679406E-2</v>
      </c>
      <c r="H52" s="481" t="str">
        <f>IF(OR(G52&gt;=0.3,G52&lt;=-0.3),"超过30%","")</f>
        <v/>
      </c>
      <c r="I52" s="480">
        <f>IF(I47&lt;I48,I48/I47-1,I47/I48-1)</f>
        <v>4.6860591835024001E-2</v>
      </c>
      <c r="J52" s="481" t="str">
        <f>IF(OR(I52&gt;=0.3,I52&lt;=-0.3),"超过30%","")</f>
        <v/>
      </c>
      <c r="K52" s="1254"/>
      <c r="L52" s="1250"/>
      <c r="M52" s="1249"/>
      <c r="N52" s="1249"/>
      <c r="O52" s="1249"/>
    </row>
    <row r="53" spans="1:29" ht="13.5" customHeight="1">
      <c r="A53" s="1249"/>
      <c r="B53" s="1249"/>
      <c r="C53" s="478" t="s">
        <v>2371</v>
      </c>
      <c r="D53" s="482"/>
      <c r="E53" s="480">
        <f>IF(E48&lt;G48,G48/E48-1,E48/G48-1)</f>
        <v>8.342322905429711E-2</v>
      </c>
      <c r="F53" s="481" t="str">
        <f>IF(OR(E53&gt;=0.2,E53&lt;=-0.2),"超过20%","")</f>
        <v/>
      </c>
      <c r="G53" s="480">
        <f>IF(G48&lt;I48,I48/G48-1,G48/I48-1)</f>
        <v>1.031100679017527E-2</v>
      </c>
      <c r="H53" s="481" t="str">
        <f>IF(OR(G53&gt;=0.2,G53&lt;=-0.2),"超过20%","")</f>
        <v/>
      </c>
      <c r="I53" s="480">
        <f>IF(I48&lt;E48,E48/I48-1,I48/E48-1)</f>
        <v>7.2366055375764127E-2</v>
      </c>
      <c r="J53" s="481" t="str">
        <f>IF(OR(I53&gt;=0.2,I53&lt;=-0.2),"超过20%","")</f>
        <v/>
      </c>
      <c r="K53" s="1254"/>
      <c r="L53" s="1250"/>
      <c r="M53" s="1249"/>
      <c r="N53" s="1249"/>
      <c r="O53" s="1249"/>
    </row>
    <row r="54" spans="1:29" s="483" customFormat="1" ht="13.5" customHeight="1">
      <c r="A54" s="1251"/>
      <c r="B54" s="1251"/>
      <c r="C54" s="478" t="s">
        <v>2372</v>
      </c>
      <c r="D54" s="482"/>
      <c r="E54" s="480">
        <f>IF(E47&lt;G47,G47/E47-1,E47/G47-1)</f>
        <v>1.9257540603248247E-2</v>
      </c>
      <c r="F54" s="481" t="str">
        <f>IF(OR(E54&gt;=0.3,E54&lt;=-0.3),"超过30%","")</f>
        <v/>
      </c>
      <c r="G54" s="480">
        <f>IF(G47&lt;I47,I47/G47-1,G47/I47-1)</f>
        <v>5.5333119795003105E-2</v>
      </c>
      <c r="H54" s="481" t="str">
        <f>IF(OR(G54&gt;=0.3,G54&lt;=-0.3),"超过30%","")</f>
        <v/>
      </c>
      <c r="I54" s="480">
        <f>IF(I47&lt;E47,E47/I47-1,I47/E47-1)</f>
        <v>3.5393978219090405E-2</v>
      </c>
      <c r="J54" s="481" t="str">
        <f>IF(OR(I54&gt;=0.3,I54&lt;=-0.3),"超过30%","")</f>
        <v/>
      </c>
      <c r="K54" s="1255"/>
      <c r="L54" s="1256"/>
      <c r="M54" s="1251"/>
      <c r="N54" s="1251"/>
      <c r="O54" s="1251"/>
      <c r="P54" s="2404"/>
    </row>
    <row r="55" spans="1:29" s="483" customFormat="1">
      <c r="A55" s="1251"/>
      <c r="B55" s="1252"/>
      <c r="C55" s="1257"/>
      <c r="D55" s="1251"/>
      <c r="E55" s="1251"/>
      <c r="F55" s="1251"/>
      <c r="G55" s="1251"/>
      <c r="H55" s="1251"/>
      <c r="I55" s="1251"/>
      <c r="J55" s="1251"/>
      <c r="K55" s="1255"/>
      <c r="L55" s="1256"/>
      <c r="M55" s="1251"/>
      <c r="N55" s="1251"/>
      <c r="O55" s="1251"/>
      <c r="P55" s="2404"/>
    </row>
    <row r="56" spans="1:29">
      <c r="A56" s="1249"/>
      <c r="B56" s="1252"/>
      <c r="C56" s="1257"/>
      <c r="D56" s="1249"/>
      <c r="E56" s="1249"/>
      <c r="F56" s="1249"/>
      <c r="G56" s="1249"/>
      <c r="H56" s="1249"/>
      <c r="I56" s="1249"/>
      <c r="J56" s="1249"/>
      <c r="K56" s="1254"/>
      <c r="L56" s="1250"/>
      <c r="M56" s="1249"/>
      <c r="N56" s="1249"/>
      <c r="O56" s="1249"/>
    </row>
    <row r="57" spans="1:29" ht="21.75" thickBot="1">
      <c r="A57" s="741" t="s">
        <v>2373</v>
      </c>
      <c r="B57" s="737"/>
      <c r="C57" s="742"/>
      <c r="D57" s="742"/>
      <c r="E57" s="742"/>
      <c r="F57" s="743"/>
      <c r="G57" s="743"/>
      <c r="H57" s="742"/>
      <c r="I57" s="742"/>
      <c r="J57" s="742"/>
      <c r="K57" s="744"/>
      <c r="L57" s="745"/>
      <c r="M57" s="742"/>
      <c r="N57" s="742"/>
      <c r="O57" s="742"/>
      <c r="P57" s="2405"/>
      <c r="Q57" s="485"/>
    </row>
    <row r="58" spans="1:29" s="489" customFormat="1" ht="15">
      <c r="A58" s="486" t="s">
        <v>2374</v>
      </c>
      <c r="B58" s="487"/>
      <c r="C58" s="1670" t="str">
        <f>YEAR(C7)&amp;"-"&amp;MONTH(C7)</f>
        <v>2020-6</v>
      </c>
      <c r="D58" s="1671">
        <f>EDATE(C58,-1)</f>
        <v>43952</v>
      </c>
      <c r="E58" s="1671">
        <f t="shared" ref="E58:O58" si="16">EDATE(D58,-1)</f>
        <v>43922</v>
      </c>
      <c r="F58" s="1671">
        <f t="shared" si="16"/>
        <v>43891</v>
      </c>
      <c r="G58" s="1671">
        <f t="shared" si="16"/>
        <v>43862</v>
      </c>
      <c r="H58" s="1671">
        <f t="shared" si="16"/>
        <v>43831</v>
      </c>
      <c r="I58" s="1671">
        <f t="shared" si="16"/>
        <v>43800</v>
      </c>
      <c r="J58" s="1671">
        <f t="shared" si="16"/>
        <v>43770</v>
      </c>
      <c r="K58" s="1671">
        <f t="shared" si="16"/>
        <v>43739</v>
      </c>
      <c r="L58" s="1671">
        <f t="shared" si="16"/>
        <v>43709</v>
      </c>
      <c r="M58" s="1671">
        <f t="shared" si="16"/>
        <v>43678</v>
      </c>
      <c r="N58" s="1671">
        <f t="shared" si="16"/>
        <v>43647</v>
      </c>
      <c r="O58" s="1671">
        <f t="shared" si="16"/>
        <v>43617</v>
      </c>
      <c r="P58" s="2406"/>
    </row>
    <row r="59" spans="1:29" s="35" customFormat="1" ht="15">
      <c r="A59" s="490"/>
      <c r="B59" s="491"/>
      <c r="C59" s="623">
        <v>100</v>
      </c>
      <c r="D59" s="493">
        <f>C59</f>
        <v>100</v>
      </c>
      <c r="E59" s="493">
        <f t="shared" ref="E59:G59" si="17">D59</f>
        <v>100</v>
      </c>
      <c r="F59" s="493">
        <f t="shared" si="17"/>
        <v>100</v>
      </c>
      <c r="G59" s="493">
        <f t="shared" si="17"/>
        <v>100</v>
      </c>
      <c r="H59" s="493"/>
      <c r="I59" s="493"/>
      <c r="J59" s="493"/>
      <c r="K59" s="493"/>
      <c r="L59" s="493"/>
      <c r="M59" s="494"/>
      <c r="N59" s="493"/>
      <c r="O59" s="494"/>
      <c r="P59" s="2407"/>
    </row>
    <row r="60" spans="1:29" s="35" customFormat="1" ht="15.75" thickBot="1">
      <c r="A60" s="496" t="s">
        <v>2375</v>
      </c>
      <c r="B60" s="497"/>
      <c r="C60" s="498"/>
      <c r="D60" s="499"/>
      <c r="E60" s="499"/>
      <c r="F60" s="499"/>
      <c r="G60" s="499"/>
      <c r="H60" s="499"/>
      <c r="I60" s="499"/>
      <c r="J60" s="499"/>
      <c r="K60" s="499"/>
      <c r="L60" s="499"/>
      <c r="M60" s="500"/>
      <c r="N60" s="499"/>
      <c r="O60" s="500"/>
      <c r="P60" s="2407"/>
      <c r="Q60" s="485"/>
    </row>
    <row r="61" spans="1:29" s="35" customFormat="1" ht="15">
      <c r="A61" s="502" t="s">
        <v>2376</v>
      </c>
      <c r="B61" s="491"/>
      <c r="C61" s="503" t="s">
        <v>2377</v>
      </c>
      <c r="D61" s="504"/>
      <c r="E61" s="504"/>
      <c r="F61" s="504"/>
      <c r="G61" s="504"/>
      <c r="H61" s="504"/>
      <c r="I61" s="504"/>
      <c r="J61" s="504"/>
      <c r="K61" s="504"/>
      <c r="L61" s="505"/>
      <c r="M61" s="506"/>
      <c r="N61" s="1258"/>
      <c r="O61" s="1258"/>
      <c r="P61" s="2408"/>
      <c r="Q61" s="485"/>
    </row>
    <row r="62" spans="1:29" s="35" customFormat="1" ht="15.75" thickBot="1">
      <c r="A62" s="502"/>
      <c r="B62" s="491"/>
      <c r="C62" s="492">
        <v>100</v>
      </c>
      <c r="D62" s="493"/>
      <c r="E62" s="493"/>
      <c r="F62" s="493"/>
      <c r="G62" s="493"/>
      <c r="H62" s="493"/>
      <c r="I62" s="493"/>
      <c r="J62" s="493"/>
      <c r="K62" s="493"/>
      <c r="L62" s="493"/>
      <c r="M62" s="495"/>
      <c r="N62" s="1258"/>
      <c r="O62" s="1258"/>
      <c r="P62" s="2407"/>
      <c r="Q62" s="485"/>
    </row>
    <row r="63" spans="1:29">
      <c r="A63" s="508" t="s">
        <v>2378</v>
      </c>
      <c r="B63" s="509" t="s">
        <v>2344</v>
      </c>
      <c r="C63" s="510" t="str">
        <f>C9</f>
        <v>住宅</v>
      </c>
      <c r="D63" s="511"/>
      <c r="E63" s="511"/>
      <c r="F63" s="511"/>
      <c r="G63" s="511"/>
      <c r="H63" s="511"/>
      <c r="I63" s="511"/>
      <c r="J63" s="511"/>
      <c r="K63" s="512"/>
      <c r="L63" s="513"/>
      <c r="M63" s="514"/>
      <c r="N63" s="1259"/>
      <c r="O63" s="1259"/>
      <c r="P63" s="2409"/>
      <c r="Q63" s="485"/>
    </row>
    <row r="64" spans="1:29" ht="15.75" thickBot="1">
      <c r="A64" s="516"/>
      <c r="B64" s="517"/>
      <c r="C64" s="518">
        <v>100</v>
      </c>
      <c r="D64" s="518"/>
      <c r="E64" s="518"/>
      <c r="F64" s="518"/>
      <c r="G64" s="518"/>
      <c r="H64" s="518"/>
      <c r="I64" s="518"/>
      <c r="J64" s="518"/>
      <c r="K64" s="518"/>
      <c r="L64" s="518"/>
      <c r="M64" s="519"/>
      <c r="N64" s="1260"/>
      <c r="O64" s="1260"/>
      <c r="P64" s="2409"/>
      <c r="Q64" s="485"/>
    </row>
    <row r="65" spans="1:17" ht="27.75" thickTop="1">
      <c r="A65" s="516"/>
      <c r="B65" s="521" t="s">
        <v>2347</v>
      </c>
      <c r="C65" s="522" t="s">
        <v>2379</v>
      </c>
      <c r="D65" s="522" t="s">
        <v>2380</v>
      </c>
      <c r="E65" s="522" t="s">
        <v>2381</v>
      </c>
      <c r="F65" s="522" t="s">
        <v>2382</v>
      </c>
      <c r="G65" s="522" t="s">
        <v>2383</v>
      </c>
      <c r="H65" s="522" t="s">
        <v>2384</v>
      </c>
      <c r="I65" s="522" t="s">
        <v>2385</v>
      </c>
      <c r="J65" s="522"/>
      <c r="K65" s="523"/>
      <c r="L65" s="524"/>
      <c r="M65" s="525"/>
      <c r="N65" s="1259"/>
      <c r="O65" s="1259"/>
      <c r="P65" s="2409"/>
      <c r="Q65" s="485"/>
    </row>
    <row r="66" spans="1:17" ht="15.75" thickBot="1">
      <c r="A66" s="516"/>
      <c r="B66" s="526"/>
      <c r="C66" s="527">
        <v>100</v>
      </c>
      <c r="D66" s="527">
        <f t="shared" ref="D66:I66" si="18">C66-$K10</f>
        <v>99</v>
      </c>
      <c r="E66" s="527">
        <f t="shared" si="18"/>
        <v>98</v>
      </c>
      <c r="F66" s="527">
        <f t="shared" si="18"/>
        <v>97</v>
      </c>
      <c r="G66" s="527">
        <f t="shared" si="18"/>
        <v>96</v>
      </c>
      <c r="H66" s="527">
        <f t="shared" si="18"/>
        <v>95</v>
      </c>
      <c r="I66" s="527">
        <f t="shared" si="18"/>
        <v>94</v>
      </c>
      <c r="J66" s="527"/>
      <c r="K66" s="527"/>
      <c r="L66" s="527"/>
      <c r="M66" s="528"/>
      <c r="N66" s="1260"/>
      <c r="O66" s="1260"/>
      <c r="P66" s="2409"/>
      <c r="Q66" s="485"/>
    </row>
    <row r="67" spans="1:17" ht="15.75" thickTop="1">
      <c r="A67" s="516"/>
      <c r="B67" s="529" t="s">
        <v>2348</v>
      </c>
      <c r="C67" s="530" t="str">
        <f>C68&amp;"（含）"&amp;"-"&amp;D68</f>
        <v>0（含）-</v>
      </c>
      <c r="D67" s="530" t="str">
        <f t="shared" ref="D67:L67" si="19">D68&amp;"（含）"&amp;"-"&amp;E68</f>
        <v>（含）-</v>
      </c>
      <c r="E67" s="530" t="str">
        <f t="shared" si="19"/>
        <v>（含）-</v>
      </c>
      <c r="F67" s="530" t="str">
        <f t="shared" si="19"/>
        <v>（含）-</v>
      </c>
      <c r="G67" s="530" t="str">
        <f t="shared" si="19"/>
        <v>（含）-</v>
      </c>
      <c r="H67" s="530" t="str">
        <f t="shared" si="19"/>
        <v>（含）-</v>
      </c>
      <c r="I67" s="530" t="str">
        <f t="shared" si="19"/>
        <v>（含）-</v>
      </c>
      <c r="J67" s="530" t="str">
        <f t="shared" si="19"/>
        <v>（含）-</v>
      </c>
      <c r="K67" s="530" t="str">
        <f t="shared" si="19"/>
        <v>（含）-</v>
      </c>
      <c r="L67" s="530" t="str">
        <f t="shared" si="19"/>
        <v>（含）-</v>
      </c>
      <c r="M67" s="427" t="str">
        <f>M68&amp;"（含）"&amp;"-"&amp;P68</f>
        <v>（含）-</v>
      </c>
      <c r="N67" s="1260"/>
      <c r="O67" s="1260"/>
      <c r="P67" s="2409"/>
      <c r="Q67" s="485"/>
    </row>
    <row r="68" spans="1:17" ht="15">
      <c r="A68" s="516"/>
      <c r="B68" s="531"/>
      <c r="C68" s="532">
        <v>0</v>
      </c>
      <c r="D68" s="532"/>
      <c r="E68" s="532"/>
      <c r="F68" s="532"/>
      <c r="G68" s="532"/>
      <c r="H68" s="532"/>
      <c r="I68" s="532"/>
      <c r="J68" s="532"/>
      <c r="K68" s="533"/>
      <c r="L68" s="534"/>
      <c r="M68" s="535"/>
      <c r="N68" s="1259"/>
      <c r="O68" s="1259"/>
      <c r="P68" s="2409"/>
      <c r="Q68" s="485"/>
    </row>
    <row r="69" spans="1:17" ht="15.75"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60"/>
      <c r="O69" s="1260"/>
      <c r="P69" s="2409"/>
      <c r="Q69" s="485"/>
    </row>
    <row r="70" spans="1:17" s="452" customFormat="1" ht="15.75" thickTop="1">
      <c r="A70" s="536"/>
      <c r="B70" s="521">
        <f>B12</f>
        <v>111</v>
      </c>
      <c r="C70" s="537"/>
      <c r="D70" s="537"/>
      <c r="E70" s="537"/>
      <c r="F70" s="537"/>
      <c r="G70" s="537"/>
      <c r="H70" s="538"/>
      <c r="I70" s="538"/>
      <c r="J70" s="538"/>
      <c r="K70" s="538"/>
      <c r="L70" s="539"/>
      <c r="M70" s="540"/>
      <c r="N70" s="1261"/>
      <c r="O70" s="1261"/>
      <c r="P70" s="2410"/>
      <c r="Q70" s="543"/>
    </row>
    <row r="71" spans="1:17" s="452" customFormat="1" ht="15.75" thickBot="1">
      <c r="A71" s="536"/>
      <c r="B71" s="526"/>
      <c r="C71" s="544"/>
      <c r="D71" s="518"/>
      <c r="E71" s="518"/>
      <c r="F71" s="518"/>
      <c r="G71" s="518"/>
      <c r="H71" s="518"/>
      <c r="I71" s="518"/>
      <c r="J71" s="518"/>
      <c r="K71" s="518"/>
      <c r="L71" s="518"/>
      <c r="M71" s="519"/>
      <c r="N71" s="1260"/>
      <c r="O71" s="1260"/>
      <c r="P71" s="2410"/>
      <c r="Q71" s="543"/>
    </row>
    <row r="72" spans="1:17" s="452" customFormat="1" ht="15.75" thickTop="1">
      <c r="A72" s="536"/>
      <c r="B72" s="521">
        <f>B13</f>
        <v>111</v>
      </c>
      <c r="C72" s="537"/>
      <c r="D72" s="537"/>
      <c r="E72" s="537"/>
      <c r="F72" s="537"/>
      <c r="G72" s="537"/>
      <c r="H72" s="538"/>
      <c r="I72" s="538"/>
      <c r="J72" s="538"/>
      <c r="K72" s="538"/>
      <c r="L72" s="539"/>
      <c r="M72" s="540"/>
      <c r="N72" s="1261"/>
      <c r="O72" s="1261"/>
      <c r="P72" s="2411"/>
      <c r="Q72" s="545"/>
    </row>
    <row r="73" spans="1:17" s="452" customFormat="1" ht="15.75" thickBot="1">
      <c r="A73" s="536"/>
      <c r="B73" s="526"/>
      <c r="C73" s="544"/>
      <c r="D73" s="544"/>
      <c r="E73" s="544"/>
      <c r="F73" s="544"/>
      <c r="G73" s="544"/>
      <c r="H73" s="546"/>
      <c r="I73" s="546"/>
      <c r="J73" s="546"/>
      <c r="K73" s="546"/>
      <c r="L73" s="546"/>
      <c r="M73" s="547"/>
      <c r="N73" s="1261"/>
      <c r="O73" s="1261"/>
      <c r="P73" s="2410"/>
      <c r="Q73" s="543"/>
    </row>
    <row r="74" spans="1:17" s="452" customFormat="1" ht="15.75" thickTop="1">
      <c r="A74" s="536"/>
      <c r="B74" s="529">
        <f>B14</f>
        <v>111</v>
      </c>
      <c r="C74" s="537"/>
      <c r="D74" s="537"/>
      <c r="E74" s="537"/>
      <c r="F74" s="537"/>
      <c r="G74" s="504"/>
      <c r="H74" s="548"/>
      <c r="I74" s="548"/>
      <c r="J74" s="548"/>
      <c r="K74" s="548"/>
      <c r="L74" s="549"/>
      <c r="M74" s="550"/>
      <c r="N74" s="1261"/>
      <c r="O74" s="1261"/>
      <c r="P74" s="2412"/>
      <c r="Q74" s="543"/>
    </row>
    <row r="75" spans="1:17" s="452" customFormat="1" ht="15.75" thickBot="1">
      <c r="A75" s="552"/>
      <c r="B75" s="553"/>
      <c r="C75" s="554"/>
      <c r="D75" s="554"/>
      <c r="E75" s="554"/>
      <c r="F75" s="554"/>
      <c r="G75" s="554"/>
      <c r="H75" s="555"/>
      <c r="I75" s="555"/>
      <c r="J75" s="555"/>
      <c r="K75" s="555"/>
      <c r="L75" s="555"/>
      <c r="M75" s="556"/>
      <c r="N75" s="1261"/>
      <c r="O75" s="1261"/>
      <c r="P75" s="2410"/>
      <c r="Q75" s="543"/>
    </row>
    <row r="76" spans="1:17">
      <c r="A76" s="508" t="s">
        <v>2349</v>
      </c>
      <c r="B76" s="509" t="s">
        <v>2386</v>
      </c>
      <c r="C76" s="557" t="s">
        <v>2387</v>
      </c>
      <c r="D76" s="557" t="s">
        <v>2388</v>
      </c>
      <c r="E76" s="557" t="s">
        <v>2389</v>
      </c>
      <c r="F76" s="557" t="s">
        <v>2390</v>
      </c>
      <c r="G76" s="557" t="s">
        <v>2391</v>
      </c>
      <c r="H76" s="510"/>
      <c r="I76" s="510"/>
      <c r="J76" s="510"/>
      <c r="K76" s="558"/>
      <c r="L76" s="559"/>
      <c r="M76" s="560"/>
      <c r="N76" s="1259"/>
      <c r="O76" s="1259"/>
      <c r="P76" s="2413"/>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0"/>
      <c r="O77" s="1260"/>
      <c r="P77" s="2409"/>
      <c r="Q77" s="485"/>
    </row>
    <row r="78" spans="1:17" ht="15.75" thickTop="1">
      <c r="A78" s="516"/>
      <c r="B78" s="521" t="s">
        <v>2392</v>
      </c>
      <c r="C78" s="562" t="s">
        <v>2387</v>
      </c>
      <c r="D78" s="562" t="s">
        <v>2388</v>
      </c>
      <c r="E78" s="562" t="s">
        <v>2389</v>
      </c>
      <c r="F78" s="562" t="s">
        <v>2390</v>
      </c>
      <c r="G78" s="562" t="s">
        <v>2391</v>
      </c>
      <c r="H78" s="522"/>
      <c r="I78" s="522"/>
      <c r="J78" s="522"/>
      <c r="K78" s="523"/>
      <c r="L78" s="524"/>
      <c r="M78" s="525"/>
      <c r="N78" s="1259"/>
      <c r="O78" s="1259"/>
      <c r="P78" s="2409"/>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0"/>
      <c r="O79" s="1260"/>
      <c r="P79" s="2409"/>
      <c r="Q79" s="485"/>
    </row>
    <row r="80" spans="1:17" ht="15.75" thickTop="1">
      <c r="A80" s="516"/>
      <c r="B80" s="521" t="s">
        <v>2393</v>
      </c>
      <c r="C80" s="562" t="s">
        <v>2387</v>
      </c>
      <c r="D80" s="562" t="s">
        <v>2388</v>
      </c>
      <c r="E80" s="562" t="s">
        <v>2389</v>
      </c>
      <c r="F80" s="562" t="s">
        <v>2390</v>
      </c>
      <c r="G80" s="562" t="s">
        <v>2391</v>
      </c>
      <c r="H80" s="522"/>
      <c r="I80" s="522"/>
      <c r="J80" s="522"/>
      <c r="K80" s="523"/>
      <c r="L80" s="524"/>
      <c r="M80" s="525"/>
      <c r="N80" s="1259"/>
      <c r="O80" s="1259"/>
      <c r="P80" s="2409"/>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0"/>
      <c r="O81" s="1260"/>
      <c r="P81" s="2409"/>
      <c r="Q81" s="485"/>
    </row>
    <row r="82" spans="1:17" ht="15.75" thickTop="1">
      <c r="A82" s="516"/>
      <c r="B82" s="529" t="s">
        <v>1741</v>
      </c>
      <c r="C82" s="522" t="s">
        <v>2394</v>
      </c>
      <c r="D82" s="522" t="s">
        <v>2395</v>
      </c>
      <c r="E82" s="522" t="s">
        <v>2396</v>
      </c>
      <c r="F82" s="522" t="s">
        <v>2397</v>
      </c>
      <c r="G82" s="522" t="s">
        <v>2398</v>
      </c>
      <c r="H82" s="522"/>
      <c r="I82" s="522"/>
      <c r="J82" s="522"/>
      <c r="K82" s="522"/>
      <c r="L82" s="522"/>
      <c r="M82" s="1459"/>
      <c r="N82" s="1260"/>
      <c r="O82" s="1260"/>
      <c r="P82" s="2409"/>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0"/>
      <c r="O83" s="1260"/>
      <c r="P83" s="2409"/>
      <c r="Q83" s="485"/>
    </row>
    <row r="84" spans="1:17" ht="15.75" thickTop="1">
      <c r="A84" s="516"/>
      <c r="B84" s="521" t="s">
        <v>2399</v>
      </c>
      <c r="C84" s="562" t="s">
        <v>2387</v>
      </c>
      <c r="D84" s="562" t="s">
        <v>2388</v>
      </c>
      <c r="E84" s="562" t="s">
        <v>2389</v>
      </c>
      <c r="F84" s="562" t="s">
        <v>2390</v>
      </c>
      <c r="G84" s="562" t="s">
        <v>2391</v>
      </c>
      <c r="H84" s="522"/>
      <c r="I84" s="522"/>
      <c r="J84" s="522"/>
      <c r="K84" s="523"/>
      <c r="L84" s="524"/>
      <c r="M84" s="525"/>
      <c r="N84" s="1259"/>
      <c r="O84" s="1259"/>
      <c r="P84" s="2409"/>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0"/>
      <c r="O85" s="1260"/>
      <c r="P85" s="2409"/>
      <c r="Q85" s="485"/>
    </row>
    <row r="86" spans="1:17" s="35" customFormat="1" ht="15.75" thickTop="1">
      <c r="A86" s="563"/>
      <c r="B86" s="521" t="s">
        <v>2400</v>
      </c>
      <c r="C86" s="2755"/>
      <c r="D86" s="2755"/>
      <c r="E86" s="537"/>
      <c r="F86" s="537"/>
      <c r="G86" s="537"/>
      <c r="H86" s="537"/>
      <c r="I86" s="537"/>
      <c r="J86" s="537"/>
      <c r="K86" s="537"/>
      <c r="L86" s="564"/>
      <c r="M86" s="565"/>
      <c r="N86" s="1258"/>
      <c r="O86" s="1258"/>
      <c r="P86" s="2409"/>
      <c r="Q86" s="485"/>
    </row>
    <row r="87" spans="1:17" s="35" customFormat="1" ht="15.75"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60"/>
      <c r="O87" s="1260"/>
      <c r="P87" s="2409"/>
      <c r="Q87" s="485"/>
    </row>
    <row r="88" spans="1:17" s="35" customFormat="1" ht="15.75" thickTop="1">
      <c r="A88" s="563"/>
      <c r="B88" s="521" t="s">
        <v>2401</v>
      </c>
      <c r="C88" s="2755" t="s">
        <v>2889</v>
      </c>
      <c r="D88" s="2755" t="s">
        <v>2891</v>
      </c>
      <c r="E88" s="2755" t="s">
        <v>2896</v>
      </c>
      <c r="F88" s="2769" t="s">
        <v>2897</v>
      </c>
      <c r="G88" s="2755" t="s">
        <v>2894</v>
      </c>
      <c r="H88" s="2755" t="s">
        <v>2899</v>
      </c>
      <c r="I88" s="2755" t="s">
        <v>2900</v>
      </c>
      <c r="J88" s="2755" t="s">
        <v>2901</v>
      </c>
      <c r="K88" s="537"/>
      <c r="L88" s="537"/>
      <c r="M88" s="565"/>
      <c r="N88" s="1258"/>
      <c r="O88" s="1258"/>
      <c r="P88" s="2409"/>
      <c r="Q88" s="485"/>
    </row>
    <row r="89" spans="1:17" s="35" customFormat="1" ht="15.75" thickBot="1">
      <c r="A89" s="563"/>
      <c r="B89" s="526"/>
      <c r="C89" s="566">
        <v>100</v>
      </c>
      <c r="D89" s="527">
        <f t="shared" ref="D89:M89" si="22">C89-$K26</f>
        <v>99.5</v>
      </c>
      <c r="E89" s="527">
        <f t="shared" si="22"/>
        <v>99</v>
      </c>
      <c r="F89" s="527">
        <f t="shared" si="22"/>
        <v>98.5</v>
      </c>
      <c r="G89" s="527">
        <f t="shared" si="22"/>
        <v>98</v>
      </c>
      <c r="H89" s="527">
        <f t="shared" si="22"/>
        <v>97.5</v>
      </c>
      <c r="I89" s="527">
        <f t="shared" si="22"/>
        <v>97</v>
      </c>
      <c r="J89" s="527">
        <f t="shared" si="22"/>
        <v>96.5</v>
      </c>
      <c r="K89" s="527">
        <f t="shared" si="22"/>
        <v>96</v>
      </c>
      <c r="L89" s="527">
        <f t="shared" si="22"/>
        <v>95.5</v>
      </c>
      <c r="M89" s="527">
        <f t="shared" si="22"/>
        <v>95</v>
      </c>
      <c r="N89" s="1260"/>
      <c r="O89" s="1260"/>
      <c r="P89" s="2409"/>
      <c r="Q89" s="485"/>
    </row>
    <row r="90" spans="1:17" s="452" customFormat="1" ht="15.75" thickTop="1">
      <c r="A90" s="536"/>
      <c r="B90" s="521" t="str">
        <f>B27</f>
        <v>楼层</v>
      </c>
      <c r="C90" s="537" t="s">
        <v>2842</v>
      </c>
      <c r="D90" s="537" t="s">
        <v>2843</v>
      </c>
      <c r="E90" s="537" t="s">
        <v>2844</v>
      </c>
      <c r="F90" s="537"/>
      <c r="G90" s="537"/>
      <c r="H90" s="538"/>
      <c r="I90" s="538"/>
      <c r="J90" s="538"/>
      <c r="K90" s="538"/>
      <c r="L90" s="539"/>
      <c r="M90" s="540"/>
      <c r="N90" s="1261"/>
      <c r="O90" s="1261"/>
      <c r="P90" s="2410"/>
      <c r="Q90" s="543"/>
    </row>
    <row r="91" spans="1:17" s="452" customFormat="1" ht="15.75" thickBot="1">
      <c r="A91" s="536"/>
      <c r="B91" s="526"/>
      <c r="C91" s="544">
        <v>100</v>
      </c>
      <c r="D91" s="518">
        <v>98</v>
      </c>
      <c r="E91" s="518">
        <v>96</v>
      </c>
      <c r="F91" s="544"/>
      <c r="G91" s="544"/>
      <c r="H91" s="546"/>
      <c r="I91" s="546"/>
      <c r="J91" s="546"/>
      <c r="K91" s="546"/>
      <c r="L91" s="546"/>
      <c r="M91" s="547"/>
      <c r="N91" s="1261"/>
      <c r="O91" s="1261"/>
      <c r="P91" s="2410"/>
      <c r="Q91" s="543"/>
    </row>
    <row r="92" spans="1:17" ht="15.75" thickTop="1">
      <c r="A92" s="516"/>
      <c r="B92" s="521">
        <f>B28</f>
        <v>111</v>
      </c>
      <c r="C92" s="537"/>
      <c r="D92" s="537"/>
      <c r="E92" s="537"/>
      <c r="F92" s="537"/>
      <c r="G92" s="567"/>
      <c r="H92" s="567"/>
      <c r="I92" s="567"/>
      <c r="J92" s="567"/>
      <c r="K92" s="568"/>
      <c r="L92" s="569"/>
      <c r="M92" s="570"/>
      <c r="N92" s="1259"/>
      <c r="O92" s="1259"/>
      <c r="P92" s="2409"/>
      <c r="Q92" s="485"/>
    </row>
    <row r="93" spans="1:17" ht="15.75" thickBot="1">
      <c r="A93" s="516"/>
      <c r="B93" s="526"/>
      <c r="C93" s="544"/>
      <c r="D93" s="518"/>
      <c r="E93" s="518"/>
      <c r="F93" s="518"/>
      <c r="G93" s="518"/>
      <c r="H93" s="518"/>
      <c r="I93" s="518"/>
      <c r="J93" s="518"/>
      <c r="K93" s="518"/>
      <c r="L93" s="518"/>
      <c r="M93" s="519"/>
      <c r="N93" s="1260"/>
      <c r="O93" s="1260"/>
      <c r="P93" s="2409"/>
      <c r="Q93" s="485"/>
    </row>
    <row r="94" spans="1:17" ht="15.75" thickTop="1">
      <c r="A94" s="516"/>
      <c r="B94" s="521">
        <f>B29</f>
        <v>111</v>
      </c>
      <c r="C94" s="537"/>
      <c r="D94" s="537"/>
      <c r="E94" s="537"/>
      <c r="F94" s="537"/>
      <c r="G94" s="567"/>
      <c r="H94" s="567"/>
      <c r="I94" s="567"/>
      <c r="J94" s="567"/>
      <c r="K94" s="568"/>
      <c r="L94" s="569"/>
      <c r="M94" s="570"/>
      <c r="N94" s="1259"/>
      <c r="O94" s="1259"/>
      <c r="P94" s="2409"/>
      <c r="Q94" s="485"/>
    </row>
    <row r="95" spans="1:17" ht="15.75" thickBot="1">
      <c r="A95" s="516"/>
      <c r="B95" s="526"/>
      <c r="C95" s="544"/>
      <c r="D95" s="544"/>
      <c r="E95" s="544"/>
      <c r="F95" s="544"/>
      <c r="G95" s="518"/>
      <c r="H95" s="518"/>
      <c r="I95" s="518"/>
      <c r="J95" s="518"/>
      <c r="K95" s="518"/>
      <c r="L95" s="518"/>
      <c r="M95" s="519"/>
      <c r="N95" s="1260"/>
      <c r="O95" s="1260"/>
      <c r="P95" s="2409"/>
      <c r="Q95" s="485"/>
    </row>
    <row r="96" spans="1:17" ht="15.75" thickTop="1">
      <c r="A96" s="516"/>
      <c r="B96" s="521">
        <f>B30</f>
        <v>111</v>
      </c>
      <c r="C96" s="537"/>
      <c r="D96" s="537"/>
      <c r="E96" s="537"/>
      <c r="F96" s="537"/>
      <c r="G96" s="567"/>
      <c r="H96" s="567"/>
      <c r="I96" s="567"/>
      <c r="J96" s="567"/>
      <c r="K96" s="568"/>
      <c r="L96" s="569"/>
      <c r="M96" s="570"/>
      <c r="N96" s="1259"/>
      <c r="O96" s="1259"/>
      <c r="P96" s="2409"/>
      <c r="Q96" s="485"/>
    </row>
    <row r="97" spans="1:17" ht="15.75" thickBot="1">
      <c r="A97" s="516"/>
      <c r="B97" s="526"/>
      <c r="C97" s="554"/>
      <c r="D97" s="554"/>
      <c r="E97" s="554"/>
      <c r="F97" s="554"/>
      <c r="G97" s="518"/>
      <c r="H97" s="518"/>
      <c r="I97" s="518"/>
      <c r="J97" s="518"/>
      <c r="K97" s="518"/>
      <c r="L97" s="518"/>
      <c r="M97" s="519"/>
      <c r="N97" s="1260"/>
      <c r="O97" s="1260"/>
      <c r="P97" s="2409"/>
      <c r="Q97" s="485"/>
    </row>
    <row r="98" spans="1:17" ht="15.75" thickTop="1">
      <c r="A98" s="516"/>
      <c r="B98" s="529">
        <f>B31</f>
        <v>111</v>
      </c>
      <c r="C98" s="571"/>
      <c r="D98" s="571"/>
      <c r="E98" s="571"/>
      <c r="F98" s="571"/>
      <c r="G98" s="571"/>
      <c r="H98" s="571"/>
      <c r="I98" s="571"/>
      <c r="J98" s="571"/>
      <c r="K98" s="572"/>
      <c r="L98" s="573"/>
      <c r="M98" s="574"/>
      <c r="N98" s="1259"/>
      <c r="O98" s="1259"/>
      <c r="P98" s="2409"/>
      <c r="Q98" s="485"/>
    </row>
    <row r="99" spans="1:17" ht="15.75" thickBot="1">
      <c r="A99" s="2415"/>
      <c r="B99" s="553"/>
      <c r="C99" s="575"/>
      <c r="D99" s="575"/>
      <c r="E99" s="575"/>
      <c r="F99" s="575"/>
      <c r="G99" s="575"/>
      <c r="H99" s="575"/>
      <c r="I99" s="575"/>
      <c r="J99" s="575"/>
      <c r="K99" s="575"/>
      <c r="L99" s="575"/>
      <c r="M99" s="576"/>
      <c r="N99" s="1260"/>
      <c r="O99" s="1260"/>
      <c r="P99" s="2409"/>
      <c r="Q99" s="485"/>
    </row>
    <row r="100" spans="1:17">
      <c r="A100" s="508" t="s">
        <v>2353</v>
      </c>
      <c r="B100" s="509" t="s">
        <v>2402</v>
      </c>
      <c r="C100" s="2754" t="s">
        <v>2845</v>
      </c>
      <c r="D100" s="2754" t="s">
        <v>2846</v>
      </c>
      <c r="E100" s="511"/>
      <c r="F100" s="511"/>
      <c r="G100" s="511"/>
      <c r="H100" s="511"/>
      <c r="I100" s="511"/>
      <c r="J100" s="511"/>
      <c r="K100" s="512"/>
      <c r="L100" s="513"/>
      <c r="M100" s="514"/>
      <c r="N100" s="1259"/>
      <c r="O100" s="1259"/>
      <c r="P100" s="2409"/>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0"/>
      <c r="O101" s="1260"/>
      <c r="P101" s="2409"/>
      <c r="Q101" s="485"/>
    </row>
    <row r="102" spans="1:17" ht="15.75" thickTop="1">
      <c r="A102" s="516"/>
      <c r="B102" s="521" t="s">
        <v>2403</v>
      </c>
      <c r="C102" s="562" t="str">
        <f>C103&amp;"(含)"&amp;"-"&amp;D103</f>
        <v>0(含)-50</v>
      </c>
      <c r="D102" s="562" t="str">
        <f t="shared" ref="D102:L102" si="24">D103&amp;"(含)"&amp;"-"&amp;E103</f>
        <v>50(含)-100</v>
      </c>
      <c r="E102" s="562" t="str">
        <f t="shared" si="24"/>
        <v>100(含)-150</v>
      </c>
      <c r="F102" s="562" t="str">
        <f t="shared" si="24"/>
        <v>150(含)-200</v>
      </c>
      <c r="G102" s="562" t="str">
        <f t="shared" si="24"/>
        <v>200(含)-</v>
      </c>
      <c r="H102" s="562" t="str">
        <f t="shared" si="24"/>
        <v>(含)-</v>
      </c>
      <c r="I102" s="562" t="str">
        <f t="shared" si="24"/>
        <v>(含)-</v>
      </c>
      <c r="J102" s="562" t="str">
        <f t="shared" si="24"/>
        <v>(含)-</v>
      </c>
      <c r="K102" s="562" t="str">
        <f t="shared" si="24"/>
        <v>(含)-</v>
      </c>
      <c r="L102" s="562" t="str">
        <f t="shared" si="24"/>
        <v>(含)-</v>
      </c>
      <c r="M102" s="562" t="str">
        <f>M103&amp;"(含)"&amp;"-"&amp;P103</f>
        <v>(含)-</v>
      </c>
      <c r="N102" s="1258"/>
      <c r="O102" s="1258"/>
      <c r="P102" s="2409"/>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0"/>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0"/>
      <c r="O104" s="1260"/>
      <c r="P104" s="2410"/>
      <c r="Q104" s="543"/>
    </row>
    <row r="105" spans="1:17" ht="15" thickTop="1">
      <c r="A105" s="583"/>
      <c r="B105" s="521" t="s">
        <v>2404</v>
      </c>
      <c r="C105" s="2755" t="s">
        <v>2847</v>
      </c>
      <c r="D105" s="2755" t="s">
        <v>2848</v>
      </c>
      <c r="E105" s="567"/>
      <c r="F105" s="567"/>
      <c r="G105" s="567"/>
      <c r="H105" s="567"/>
      <c r="I105" s="567"/>
      <c r="J105" s="567"/>
      <c r="K105" s="568"/>
      <c r="L105" s="569"/>
      <c r="M105" s="570"/>
      <c r="N105" s="1259"/>
      <c r="O105" s="1259"/>
      <c r="P105" s="2409"/>
      <c r="Q105" s="485"/>
    </row>
    <row r="106" spans="1:17" ht="15.75" thickBot="1">
      <c r="A106" s="516"/>
      <c r="B106" s="526"/>
      <c r="C106" s="527">
        <v>100</v>
      </c>
      <c r="D106" s="527">
        <f t="shared" ref="D106:M106" si="25">C106-$K34</f>
        <v>99</v>
      </c>
      <c r="E106" s="527">
        <f t="shared" si="25"/>
        <v>98</v>
      </c>
      <c r="F106" s="527">
        <f t="shared" si="25"/>
        <v>97</v>
      </c>
      <c r="G106" s="527">
        <f t="shared" si="25"/>
        <v>96</v>
      </c>
      <c r="H106" s="527">
        <f t="shared" si="25"/>
        <v>95</v>
      </c>
      <c r="I106" s="527">
        <f t="shared" si="25"/>
        <v>94</v>
      </c>
      <c r="J106" s="527">
        <f t="shared" si="25"/>
        <v>93</v>
      </c>
      <c r="K106" s="527">
        <f t="shared" si="25"/>
        <v>92</v>
      </c>
      <c r="L106" s="527">
        <f t="shared" si="25"/>
        <v>91</v>
      </c>
      <c r="M106" s="527">
        <f t="shared" si="25"/>
        <v>90</v>
      </c>
      <c r="N106" s="1260"/>
      <c r="O106" s="1260"/>
      <c r="P106" s="2409"/>
      <c r="Q106" s="485"/>
    </row>
    <row r="107" spans="1:17" ht="15" thickTop="1">
      <c r="A107" s="583"/>
      <c r="B107" s="521" t="s">
        <v>2405</v>
      </c>
      <c r="C107" s="2755"/>
      <c r="D107" s="2755"/>
      <c r="E107" s="2755"/>
      <c r="F107" s="567"/>
      <c r="G107" s="567"/>
      <c r="H107" s="567"/>
      <c r="I107" s="567"/>
      <c r="J107" s="567"/>
      <c r="K107" s="568"/>
      <c r="L107" s="569"/>
      <c r="M107" s="570"/>
      <c r="N107" s="1259"/>
      <c r="O107" s="1259"/>
      <c r="P107" s="2409"/>
      <c r="Q107" s="485"/>
    </row>
    <row r="108" spans="1:17" ht="15.75" thickBot="1">
      <c r="A108" s="516"/>
      <c r="B108" s="526"/>
      <c r="C108" s="527">
        <v>100</v>
      </c>
      <c r="D108" s="527">
        <f t="shared" ref="D108:M108" si="26">C108-$K35</f>
        <v>100</v>
      </c>
      <c r="E108" s="527">
        <f t="shared" si="26"/>
        <v>100</v>
      </c>
      <c r="F108" s="527">
        <f t="shared" si="26"/>
        <v>100</v>
      </c>
      <c r="G108" s="527">
        <f t="shared" si="26"/>
        <v>100</v>
      </c>
      <c r="H108" s="527">
        <f t="shared" si="26"/>
        <v>100</v>
      </c>
      <c r="I108" s="527">
        <f t="shared" si="26"/>
        <v>100</v>
      </c>
      <c r="J108" s="527">
        <f t="shared" si="26"/>
        <v>100</v>
      </c>
      <c r="K108" s="527">
        <f t="shared" si="26"/>
        <v>100</v>
      </c>
      <c r="L108" s="527">
        <f t="shared" si="26"/>
        <v>100</v>
      </c>
      <c r="M108" s="527">
        <f t="shared" si="26"/>
        <v>100</v>
      </c>
      <c r="N108" s="1260"/>
      <c r="O108" s="1260"/>
      <c r="P108" s="2409"/>
      <c r="Q108" s="485"/>
    </row>
    <row r="109" spans="1:17" ht="15" thickTop="1">
      <c r="A109" s="583"/>
      <c r="B109" s="521" t="s">
        <v>2406</v>
      </c>
      <c r="C109" s="2755" t="s">
        <v>2849</v>
      </c>
      <c r="D109" s="2755" t="s">
        <v>2850</v>
      </c>
      <c r="E109" s="2755" t="s">
        <v>2851</v>
      </c>
      <c r="F109" s="567"/>
      <c r="G109" s="567"/>
      <c r="H109" s="567"/>
      <c r="I109" s="567"/>
      <c r="J109" s="567"/>
      <c r="K109" s="568"/>
      <c r="L109" s="569"/>
      <c r="M109" s="570"/>
      <c r="N109" s="1259"/>
      <c r="O109" s="1259"/>
      <c r="P109" s="2409"/>
      <c r="Q109" s="485"/>
    </row>
    <row r="110" spans="1:17" ht="15.75" thickBot="1">
      <c r="A110" s="516"/>
      <c r="B110" s="526"/>
      <c r="C110" s="527">
        <v>100</v>
      </c>
      <c r="D110" s="527">
        <f t="shared" ref="D110:M110" si="27">C110-$K36</f>
        <v>99</v>
      </c>
      <c r="E110" s="527">
        <f t="shared" si="27"/>
        <v>98</v>
      </c>
      <c r="F110" s="527">
        <f t="shared" si="27"/>
        <v>97</v>
      </c>
      <c r="G110" s="527">
        <f t="shared" si="27"/>
        <v>96</v>
      </c>
      <c r="H110" s="527">
        <f t="shared" si="27"/>
        <v>95</v>
      </c>
      <c r="I110" s="527">
        <f t="shared" si="27"/>
        <v>94</v>
      </c>
      <c r="J110" s="527">
        <f t="shared" si="27"/>
        <v>93</v>
      </c>
      <c r="K110" s="527">
        <f t="shared" si="27"/>
        <v>92</v>
      </c>
      <c r="L110" s="527">
        <f t="shared" si="27"/>
        <v>91</v>
      </c>
      <c r="M110" s="527">
        <f t="shared" si="27"/>
        <v>90</v>
      </c>
      <c r="N110" s="1260"/>
      <c r="O110" s="1260"/>
      <c r="P110" s="2409"/>
      <c r="Q110" s="485"/>
    </row>
    <row r="111" spans="1:17" s="452" customFormat="1" ht="15" thickTop="1">
      <c r="A111" s="577"/>
      <c r="B111" s="521" t="s">
        <v>2407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1"/>
      <c r="O113" s="1261"/>
      <c r="P113" s="2410"/>
      <c r="Q113" s="543"/>
    </row>
    <row r="114" spans="1:17" ht="15" thickTop="1">
      <c r="A114" s="583"/>
      <c r="B114" s="521" t="s">
        <v>2408</v>
      </c>
      <c r="C114" s="2755" t="s">
        <v>2852</v>
      </c>
      <c r="D114" s="2755" t="s">
        <v>2853</v>
      </c>
      <c r="E114" s="567"/>
      <c r="F114" s="567"/>
      <c r="G114" s="567"/>
      <c r="H114" s="567"/>
      <c r="I114" s="567"/>
      <c r="J114" s="567"/>
      <c r="K114" s="568"/>
      <c r="L114" s="569"/>
      <c r="M114" s="570"/>
      <c r="N114" s="1259"/>
      <c r="O114" s="1259"/>
      <c r="P114" s="2409"/>
      <c r="Q114" s="485"/>
    </row>
    <row r="115" spans="1:17" ht="15.75" thickBot="1">
      <c r="A115" s="516"/>
      <c r="B115" s="526"/>
      <c r="C115" s="527">
        <v>100</v>
      </c>
      <c r="D115" s="527">
        <f t="shared" ref="D115:M115" si="28">C115-$K38</f>
        <v>99</v>
      </c>
      <c r="E115" s="527">
        <f t="shared" si="28"/>
        <v>98</v>
      </c>
      <c r="F115" s="527">
        <f t="shared" si="28"/>
        <v>97</v>
      </c>
      <c r="G115" s="527">
        <f t="shared" si="28"/>
        <v>96</v>
      </c>
      <c r="H115" s="527">
        <f t="shared" si="28"/>
        <v>95</v>
      </c>
      <c r="I115" s="527">
        <f t="shared" si="28"/>
        <v>94</v>
      </c>
      <c r="J115" s="527">
        <f t="shared" si="28"/>
        <v>93</v>
      </c>
      <c r="K115" s="527">
        <f t="shared" si="28"/>
        <v>92</v>
      </c>
      <c r="L115" s="527">
        <f t="shared" si="28"/>
        <v>91</v>
      </c>
      <c r="M115" s="527">
        <f t="shared" si="28"/>
        <v>90</v>
      </c>
      <c r="N115" s="1260"/>
      <c r="O115" s="1260"/>
      <c r="P115" s="2409"/>
      <c r="Q115" s="485"/>
    </row>
    <row r="116" spans="1:17" ht="15" thickTop="1">
      <c r="A116" s="583"/>
      <c r="B116" s="521" t="s">
        <v>2409</v>
      </c>
      <c r="C116" s="537" t="s">
        <v>2854</v>
      </c>
      <c r="D116" s="537" t="s">
        <v>2855</v>
      </c>
      <c r="E116" s="537" t="s">
        <v>2856</v>
      </c>
      <c r="F116" s="537" t="s">
        <v>2857</v>
      </c>
      <c r="G116" s="537" t="s">
        <v>2858</v>
      </c>
      <c r="H116" s="567"/>
      <c r="I116" s="567"/>
      <c r="J116" s="567"/>
      <c r="K116" s="568"/>
      <c r="L116" s="569"/>
      <c r="M116" s="570"/>
      <c r="N116" s="1259"/>
      <c r="O116" s="1259"/>
      <c r="P116" s="240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0"/>
      <c r="O117" s="1260"/>
      <c r="P117" s="2409"/>
      <c r="Q117" s="485"/>
    </row>
    <row r="118" spans="1:17" ht="15" thickTop="1">
      <c r="A118" s="583"/>
      <c r="B118" s="521" t="s">
        <v>2410</v>
      </c>
      <c r="C118" s="567"/>
      <c r="D118" s="567"/>
      <c r="E118" s="567"/>
      <c r="F118" s="567"/>
      <c r="G118" s="567"/>
      <c r="H118" s="567"/>
      <c r="I118" s="567"/>
      <c r="J118" s="567"/>
      <c r="K118" s="568"/>
      <c r="L118" s="569"/>
      <c r="M118" s="570"/>
      <c r="N118" s="1259"/>
      <c r="O118" s="1259"/>
      <c r="P118" s="2409"/>
      <c r="Q118" s="485"/>
    </row>
    <row r="119" spans="1:17" ht="15.75"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60"/>
      <c r="O119" s="1260"/>
      <c r="P119" s="2409"/>
      <c r="Q119" s="485"/>
    </row>
    <row r="120" spans="1:17" s="452" customFormat="1" ht="28.5" thickTop="1">
      <c r="A120" s="577"/>
      <c r="B120" s="521" t="s">
        <v>2364</v>
      </c>
      <c r="C120" s="537"/>
      <c r="D120" s="537"/>
      <c r="E120" s="537"/>
      <c r="F120" s="537"/>
      <c r="G120" s="537"/>
      <c r="H120" s="537"/>
      <c r="I120" s="537"/>
      <c r="J120" s="537"/>
      <c r="K120" s="537"/>
      <c r="L120" s="564"/>
      <c r="M120" s="565"/>
      <c r="N120" s="1261"/>
      <c r="O120" s="1261"/>
      <c r="P120" s="2410"/>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0"/>
      <c r="Q121" s="543"/>
    </row>
    <row r="122" spans="1:17" ht="15" thickTop="1">
      <c r="A122" s="583"/>
      <c r="B122" s="521" t="s">
        <v>2411</v>
      </c>
      <c r="C122" s="2755" t="s">
        <v>2849</v>
      </c>
      <c r="D122" s="2755" t="s">
        <v>2850</v>
      </c>
      <c r="E122" s="2755" t="s">
        <v>2851</v>
      </c>
      <c r="F122" s="567"/>
      <c r="G122" s="567"/>
      <c r="H122" s="567"/>
      <c r="I122" s="567"/>
      <c r="J122" s="567"/>
      <c r="K122" s="568"/>
      <c r="L122" s="569"/>
      <c r="M122" s="570"/>
      <c r="N122" s="1259"/>
      <c r="O122" s="1259"/>
      <c r="P122" s="2409"/>
      <c r="Q122" s="485"/>
    </row>
    <row r="123" spans="1:17" ht="15.75" thickBot="1">
      <c r="A123" s="516"/>
      <c r="B123" s="526"/>
      <c r="C123" s="527">
        <v>100</v>
      </c>
      <c r="D123" s="527">
        <f t="shared" ref="D123:M123" si="30">C123-$K42</f>
        <v>91</v>
      </c>
      <c r="E123" s="527">
        <f t="shared" si="30"/>
        <v>82</v>
      </c>
      <c r="F123" s="527">
        <f t="shared" si="30"/>
        <v>73</v>
      </c>
      <c r="G123" s="527">
        <f t="shared" si="30"/>
        <v>64</v>
      </c>
      <c r="H123" s="527">
        <f t="shared" si="30"/>
        <v>55</v>
      </c>
      <c r="I123" s="527">
        <f t="shared" si="30"/>
        <v>46</v>
      </c>
      <c r="J123" s="527">
        <f t="shared" si="30"/>
        <v>37</v>
      </c>
      <c r="K123" s="527">
        <f t="shared" si="30"/>
        <v>28</v>
      </c>
      <c r="L123" s="527">
        <f t="shared" si="30"/>
        <v>19</v>
      </c>
      <c r="M123" s="527">
        <f t="shared" si="30"/>
        <v>10</v>
      </c>
      <c r="N123" s="1260"/>
      <c r="O123" s="1260"/>
      <c r="P123" s="2409"/>
      <c r="Q123" s="485"/>
    </row>
    <row r="124" spans="1:17" ht="15" thickTop="1">
      <c r="A124" s="583"/>
      <c r="B124" s="521" t="s">
        <v>2412</v>
      </c>
      <c r="C124" s="562" t="s">
        <v>2387</v>
      </c>
      <c r="D124" s="562" t="s">
        <v>2388</v>
      </c>
      <c r="E124" s="562" t="s">
        <v>2389</v>
      </c>
      <c r="F124" s="562" t="s">
        <v>2390</v>
      </c>
      <c r="G124" s="562" t="s">
        <v>2391</v>
      </c>
      <c r="H124" s="522"/>
      <c r="I124" s="522"/>
      <c r="J124" s="522"/>
      <c r="K124" s="523"/>
      <c r="L124" s="524"/>
      <c r="M124" s="525"/>
      <c r="N124" s="1259"/>
      <c r="O124" s="1259"/>
      <c r="P124" s="2410"/>
      <c r="Q124" s="485"/>
    </row>
    <row r="125" spans="1:17" ht="15.75" thickBot="1">
      <c r="A125" s="516"/>
      <c r="B125" s="526"/>
      <c r="C125" s="527">
        <v>100</v>
      </c>
      <c r="D125" s="527">
        <f>C125-$K43</f>
        <v>96</v>
      </c>
      <c r="E125" s="527">
        <f>D125-$K43</f>
        <v>92</v>
      </c>
      <c r="F125" s="527">
        <f>E125-$K43</f>
        <v>88</v>
      </c>
      <c r="G125" s="527">
        <f>F125-$K43</f>
        <v>84</v>
      </c>
      <c r="H125" s="527"/>
      <c r="I125" s="527"/>
      <c r="J125" s="527"/>
      <c r="K125" s="527"/>
      <c r="L125" s="527"/>
      <c r="M125" s="528"/>
      <c r="N125" s="1260"/>
      <c r="O125" s="1260"/>
      <c r="P125" s="2409"/>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0"/>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0"/>
      <c r="Q127" s="543"/>
    </row>
    <row r="128" spans="1:17" ht="15" thickTop="1">
      <c r="A128" s="583"/>
      <c r="B128" s="521">
        <f>B45</f>
        <v>111</v>
      </c>
      <c r="C128" s="537"/>
      <c r="D128" s="537"/>
      <c r="E128" s="537"/>
      <c r="F128" s="537"/>
      <c r="G128" s="567"/>
      <c r="H128" s="567"/>
      <c r="I128" s="567"/>
      <c r="J128" s="567"/>
      <c r="K128" s="568"/>
      <c r="L128" s="569"/>
      <c r="M128" s="570"/>
      <c r="N128" s="1259"/>
      <c r="O128" s="1259"/>
      <c r="P128" s="2409"/>
      <c r="Q128" s="485"/>
    </row>
    <row r="129" spans="1:17" ht="15.75" thickBot="1">
      <c r="A129" s="516"/>
      <c r="B129" s="526"/>
      <c r="C129" s="544"/>
      <c r="D129" s="544"/>
      <c r="E129" s="544"/>
      <c r="F129" s="544"/>
      <c r="G129" s="518"/>
      <c r="H129" s="518"/>
      <c r="I129" s="518"/>
      <c r="J129" s="518"/>
      <c r="K129" s="518"/>
      <c r="L129" s="518"/>
      <c r="M129" s="519"/>
      <c r="N129" s="1260"/>
      <c r="O129" s="1260"/>
      <c r="P129" s="2409"/>
      <c r="Q129" s="485"/>
    </row>
    <row r="130" spans="1:17" ht="15" thickTop="1">
      <c r="A130" s="583"/>
      <c r="B130" s="529">
        <f>B46</f>
        <v>111</v>
      </c>
      <c r="C130" s="537"/>
      <c r="D130" s="537"/>
      <c r="E130" s="537"/>
      <c r="F130" s="537"/>
      <c r="G130" s="571"/>
      <c r="H130" s="571"/>
      <c r="I130" s="571"/>
      <c r="J130" s="571"/>
      <c r="K130" s="504"/>
      <c r="L130" s="505"/>
      <c r="M130" s="574"/>
      <c r="N130" s="1259"/>
      <c r="O130" s="1259"/>
      <c r="P130" s="2409"/>
      <c r="Q130" s="485"/>
    </row>
    <row r="131" spans="1:17" ht="15.75" thickBot="1">
      <c r="A131" s="2415"/>
      <c r="B131" s="553"/>
      <c r="C131" s="554"/>
      <c r="D131" s="554"/>
      <c r="E131" s="554"/>
      <c r="F131" s="554"/>
      <c r="G131" s="575"/>
      <c r="H131" s="575"/>
      <c r="I131" s="575"/>
      <c r="J131" s="575"/>
      <c r="K131" s="575"/>
      <c r="L131" s="575"/>
      <c r="M131" s="576"/>
      <c r="N131" s="1260"/>
      <c r="O131" s="1260"/>
      <c r="P131" s="2409"/>
      <c r="Q131" s="485"/>
    </row>
    <row r="136" spans="1:17" ht="15" thickBot="1">
      <c r="B136" s="2416" t="s">
        <v>2413</v>
      </c>
    </row>
    <row r="137" spans="1:17" ht="15">
      <c r="B137" s="2417" t="s">
        <v>2414</v>
      </c>
      <c r="C137" s="2418"/>
      <c r="D137" s="2418"/>
      <c r="E137" s="2418"/>
      <c r="F137" s="2418"/>
      <c r="G137" s="2419"/>
      <c r="H137" s="2420"/>
      <c r="I137" s="2421" t="s">
        <v>2415</v>
      </c>
      <c r="J137" s="2418"/>
      <c r="K137" s="2422"/>
    </row>
    <row r="138" spans="1:17" ht="15">
      <c r="B138" s="2423"/>
      <c r="C138" s="62" t="s">
        <v>2416</v>
      </c>
      <c r="D138" s="62" t="s">
        <v>2417</v>
      </c>
      <c r="E138" s="2424" t="s">
        <v>2418</v>
      </c>
      <c r="F138" s="2425" t="s">
        <v>2419</v>
      </c>
      <c r="G138" s="62" t="s">
        <v>2417</v>
      </c>
      <c r="H138" s="63" t="s">
        <v>2418</v>
      </c>
      <c r="I138" s="2426"/>
      <c r="J138" s="62" t="s">
        <v>2420</v>
      </c>
      <c r="K138" s="63" t="s">
        <v>2421</v>
      </c>
    </row>
    <row r="139" spans="1:17" ht="15">
      <c r="B139" s="1119">
        <v>6</v>
      </c>
      <c r="C139" s="1127">
        <v>96</v>
      </c>
      <c r="D139" s="2427" t="s">
        <v>2422</v>
      </c>
      <c r="E139" s="1128">
        <v>100</v>
      </c>
      <c r="F139" s="1129">
        <v>102.5</v>
      </c>
      <c r="G139" s="2427" t="s">
        <v>2422</v>
      </c>
      <c r="H139" s="1130">
        <v>105</v>
      </c>
      <c r="I139" s="2428" t="s">
        <v>2423</v>
      </c>
      <c r="J139" s="1127">
        <v>20</v>
      </c>
      <c r="K139" s="1121">
        <f>C145/(J139-2)</f>
        <v>4.0555555555555553E-3</v>
      </c>
    </row>
    <row r="140" spans="1:17" ht="15">
      <c r="B140" s="1120">
        <v>5</v>
      </c>
      <c r="C140" s="1131">
        <v>100</v>
      </c>
      <c r="D140" s="1131"/>
      <c r="E140" s="1132"/>
      <c r="F140" s="1133">
        <v>102</v>
      </c>
      <c r="G140" s="1131"/>
      <c r="H140" s="1134"/>
      <c r="I140" s="2429" t="s">
        <v>2424</v>
      </c>
      <c r="J140" s="217">
        <f>ROUNDUP((J139-1)/2,0)</f>
        <v>10</v>
      </c>
      <c r="K140" s="1122">
        <v>100</v>
      </c>
    </row>
    <row r="141" spans="1:17" ht="15">
      <c r="B141" s="1120">
        <v>4</v>
      </c>
      <c r="C141" s="1131">
        <v>102</v>
      </c>
      <c r="D141" s="1131"/>
      <c r="E141" s="1132"/>
      <c r="F141" s="1133">
        <v>101.5</v>
      </c>
      <c r="G141" s="1131"/>
      <c r="H141" s="1134"/>
      <c r="I141" s="2429" t="s">
        <v>2425</v>
      </c>
      <c r="J141" s="217">
        <v>1</v>
      </c>
      <c r="K141" s="1123">
        <f>ROUND(100+(J141-J140)*K139*100,1)</f>
        <v>96.4</v>
      </c>
    </row>
    <row r="142" spans="1:17" ht="15">
      <c r="B142" s="1120">
        <v>3</v>
      </c>
      <c r="C142" s="1131">
        <v>103</v>
      </c>
      <c r="D142" s="1131"/>
      <c r="E142" s="1132"/>
      <c r="F142" s="1133">
        <v>101</v>
      </c>
      <c r="G142" s="1131"/>
      <c r="H142" s="1134"/>
      <c r="I142" s="2429" t="s">
        <v>2426</v>
      </c>
      <c r="J142" s="217">
        <f>J139</f>
        <v>20</v>
      </c>
      <c r="K142" s="1136">
        <v>95</v>
      </c>
    </row>
    <row r="143" spans="1:17" ht="15">
      <c r="B143" s="1120">
        <v>2</v>
      </c>
      <c r="C143" s="1131">
        <v>100</v>
      </c>
      <c r="D143" s="1131"/>
      <c r="E143" s="1132"/>
      <c r="F143" s="1133">
        <v>100.5</v>
      </c>
      <c r="G143" s="1131"/>
      <c r="H143" s="1134"/>
      <c r="I143" s="2429" t="s">
        <v>2427</v>
      </c>
      <c r="J143" s="1131">
        <v>15</v>
      </c>
      <c r="K143" s="1123">
        <f>ROUND(100+(J143-J140)*K139*100,1)</f>
        <v>102</v>
      </c>
    </row>
    <row r="144" spans="1:17" ht="15">
      <c r="B144" s="1120">
        <v>1</v>
      </c>
      <c r="C144" s="1131">
        <v>98</v>
      </c>
      <c r="D144" s="2430" t="s">
        <v>2428</v>
      </c>
      <c r="E144" s="1132">
        <v>102</v>
      </c>
      <c r="F144" s="1135">
        <v>100</v>
      </c>
      <c r="G144" s="2430" t="s">
        <v>2428</v>
      </c>
      <c r="H144" s="1134">
        <v>105</v>
      </c>
      <c r="I144" s="2429" t="s">
        <v>2427</v>
      </c>
      <c r="J144" s="1131">
        <v>18</v>
      </c>
      <c r="K144" s="1123">
        <f>ROUND(100+(J144-J140)*K139*100,1)</f>
        <v>103.2</v>
      </c>
    </row>
    <row r="145" spans="2:11" ht="15.75" thickBot="1">
      <c r="B145" s="2431" t="s">
        <v>2429</v>
      </c>
      <c r="C145" s="1125">
        <f>ROUND(MAX(C139:C144)/MIN(C139:C144)-1,3)</f>
        <v>7.2999999999999995E-2</v>
      </c>
      <c r="D145" s="1126"/>
      <c r="E145" s="1126"/>
      <c r="F145" s="2432" t="s">
        <v>2430</v>
      </c>
      <c r="G145" s="2433"/>
      <c r="H145" s="2434"/>
      <c r="I145" s="2435" t="s">
        <v>2427</v>
      </c>
      <c r="J145" s="1137">
        <v>8</v>
      </c>
      <c r="K145" s="1124">
        <f>ROUND(100+(J145-J140)*K139*100,1)</f>
        <v>99.2</v>
      </c>
    </row>
    <row r="147" spans="2:11">
      <c r="B147" s="2416" t="s">
        <v>2431</v>
      </c>
    </row>
    <row r="148" spans="2:11">
      <c r="B148" s="2416" t="s">
        <v>2432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9" activeCellId="2" sqref="I3 B39 B3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2321</v>
      </c>
      <c r="B1" s="1726" t="s">
        <v>2433</v>
      </c>
      <c r="C1" s="1718"/>
      <c r="D1" s="2436"/>
      <c r="E1" s="2366"/>
      <c r="F1" s="1732" t="s">
        <v>2323</v>
      </c>
      <c r="G1" s="1731"/>
      <c r="H1" s="1731"/>
      <c r="I1" s="1731"/>
      <c r="J1" s="1731"/>
      <c r="K1" s="1733"/>
      <c r="L1" s="1725"/>
      <c r="M1" s="1726"/>
      <c r="N1" s="1726"/>
      <c r="O1" s="1726"/>
      <c r="P1" s="2367"/>
      <c r="Q1" s="1727"/>
      <c r="R1" s="1727"/>
      <c r="S1" s="1727"/>
      <c r="T1" s="1727"/>
      <c r="U1" s="1727"/>
      <c r="V1" s="1727"/>
      <c r="W1" s="1727"/>
      <c r="X1" s="1727"/>
      <c r="Y1" s="1727"/>
      <c r="Z1" s="1727"/>
      <c r="AA1" s="1727"/>
      <c r="AB1" s="1727"/>
      <c r="AC1" s="1728"/>
    </row>
    <row r="2" spans="1:29" s="377" customFormat="1" ht="28.5" customHeight="1" thickTop="1">
      <c r="A2" s="1719" t="s">
        <v>1998</v>
      </c>
      <c r="B2" s="1717" t="e">
        <f ca="1">IF(D2="——",IF(C2="元",ROUND(C49*D3,0),ROUND(C49*D3/10000,0)),IF(C2="元",ROUND(C49*D3,0),ROUND(C49*D3/10000,0))-E2)</f>
        <v>#DIV/0!</v>
      </c>
      <c r="C2" s="163" t="str">
        <f>'数据-取费表'!B3</f>
        <v>万元</v>
      </c>
      <c r="D2" s="2368"/>
      <c r="E2" s="2437" t="e">
        <f ca="1">SUMIF(INDIRECT("'"&amp;G2&amp;"'"&amp;"!A:A"),"承租人权益价值",INDIRECT("'"&amp;G2&amp;"'"&amp;"!c:c"))</f>
        <v>#REF!</v>
      </c>
      <c r="F2" s="2369" t="str">
        <f>C2</f>
        <v>万元</v>
      </c>
      <c r="G2" s="2370"/>
      <c r="H2" s="976"/>
      <c r="I2" s="976"/>
      <c r="J2" s="976"/>
      <c r="K2" s="976"/>
      <c r="L2" s="1233"/>
      <c r="M2" s="1234"/>
      <c r="N2" s="1234"/>
      <c r="O2" s="1234"/>
      <c r="P2" s="2438"/>
      <c r="Q2" s="746"/>
      <c r="R2" s="746"/>
      <c r="S2" s="746"/>
      <c r="T2" s="746"/>
      <c r="U2" s="746"/>
      <c r="V2" s="746"/>
      <c r="W2" s="746"/>
      <c r="X2" s="746"/>
      <c r="Y2" s="746"/>
      <c r="Z2" s="746"/>
      <c r="AA2" s="746"/>
      <c r="AB2" s="746"/>
      <c r="AC2" s="747"/>
    </row>
    <row r="3" spans="1:29" s="377" customFormat="1" ht="28.5" customHeight="1" thickBot="1">
      <c r="A3" s="167" t="s">
        <v>1999</v>
      </c>
      <c r="B3" s="593" t="e">
        <f ca="1">ROUND(IF(D2="——",C49,IF(C2="万元",B2*10000/D3,B2/D3)),0)</f>
        <v>#DIV/0!</v>
      </c>
      <c r="C3" s="379" t="s">
        <v>2324</v>
      </c>
      <c r="D3" s="378">
        <f>IF(C1="仅计算典型户型",'数据-取费表'!E5,'数据-取费表'!B5)</f>
        <v>0</v>
      </c>
      <c r="E3" s="2439"/>
      <c r="F3" s="977"/>
      <c r="G3" s="976"/>
      <c r="H3" s="976"/>
      <c r="I3" s="976"/>
      <c r="J3" s="976"/>
      <c r="K3" s="978"/>
      <c r="L3" s="1233"/>
      <c r="M3" s="1234"/>
      <c r="N3" s="1234"/>
      <c r="O3" s="1234"/>
      <c r="P3" s="2438"/>
      <c r="Q3" s="746"/>
      <c r="R3" s="746"/>
      <c r="S3" s="746"/>
      <c r="T3" s="746"/>
      <c r="U3" s="746"/>
      <c r="V3" s="746"/>
      <c r="W3" s="746"/>
      <c r="X3" s="746"/>
      <c r="Y3" s="746"/>
      <c r="Z3" s="746"/>
      <c r="AA3" s="746"/>
      <c r="AB3" s="746"/>
      <c r="AC3" s="760"/>
    </row>
    <row r="4" spans="1:29" ht="15">
      <c r="A4" s="380" t="s">
        <v>2325</v>
      </c>
      <c r="B4" s="381"/>
      <c r="C4" s="3045" t="s">
        <v>2326</v>
      </c>
      <c r="D4" s="3046"/>
      <c r="E4" s="3047" t="s">
        <v>2327</v>
      </c>
      <c r="F4" s="3048"/>
      <c r="G4" s="3045" t="s">
        <v>2328</v>
      </c>
      <c r="H4" s="3046"/>
      <c r="I4" s="3045" t="s">
        <v>2329</v>
      </c>
      <c r="J4" s="3046"/>
      <c r="K4" s="594" t="s">
        <v>2330</v>
      </c>
      <c r="L4" s="1235"/>
      <c r="M4" s="1236"/>
      <c r="N4" s="1236"/>
      <c r="O4" s="1236"/>
      <c r="P4" s="3049" t="s">
        <v>2331</v>
      </c>
      <c r="Q4" s="3050"/>
      <c r="R4" s="3055" t="s">
        <v>2327</v>
      </c>
      <c r="S4" s="3056"/>
      <c r="T4" s="3055" t="s">
        <v>2328</v>
      </c>
      <c r="U4" s="3056"/>
      <c r="V4" s="3061" t="s">
        <v>2329</v>
      </c>
      <c r="W4" s="3061"/>
      <c r="X4" s="1883"/>
      <c r="Y4" s="3055" t="s">
        <v>2331</v>
      </c>
      <c r="Z4" s="3056"/>
      <c r="AA4" s="3042" t="s">
        <v>2327</v>
      </c>
      <c r="AB4" s="3061" t="s">
        <v>2328</v>
      </c>
      <c r="AC4" s="3042" t="s">
        <v>2329</v>
      </c>
    </row>
    <row r="5" spans="1:29" ht="15">
      <c r="A5" s="383"/>
      <c r="B5" s="384"/>
      <c r="C5" s="3064" t="s">
        <v>2332</v>
      </c>
      <c r="D5" s="3065"/>
      <c r="E5" s="3090" t="s">
        <v>2333</v>
      </c>
      <c r="F5" s="3063"/>
      <c r="G5" s="3064" t="s">
        <v>2334</v>
      </c>
      <c r="H5" s="3065"/>
      <c r="I5" s="3064" t="s">
        <v>2335</v>
      </c>
      <c r="J5" s="3065"/>
      <c r="K5" s="594"/>
      <c r="L5" s="1235"/>
      <c r="M5" s="1236"/>
      <c r="N5" s="1236"/>
      <c r="O5" s="1236"/>
      <c r="P5" s="3051"/>
      <c r="Q5" s="3052"/>
      <c r="R5" s="3057"/>
      <c r="S5" s="3058"/>
      <c r="T5" s="3057"/>
      <c r="U5" s="3058"/>
      <c r="V5" s="3061"/>
      <c r="W5" s="3061"/>
      <c r="X5" s="1883"/>
      <c r="Y5" s="3057"/>
      <c r="Z5" s="3058"/>
      <c r="AA5" s="3043"/>
      <c r="AB5" s="3061"/>
      <c r="AC5" s="3043"/>
    </row>
    <row r="6" spans="1:29" ht="15.75" thickBot="1">
      <c r="A6" s="385"/>
      <c r="B6" s="386"/>
      <c r="C6" s="3066" t="s">
        <v>2336</v>
      </c>
      <c r="D6" s="3067"/>
      <c r="E6" s="3068" t="s">
        <v>2336</v>
      </c>
      <c r="F6" s="3069"/>
      <c r="G6" s="3066" t="s">
        <v>2336</v>
      </c>
      <c r="H6" s="3067"/>
      <c r="I6" s="3066" t="s">
        <v>2336</v>
      </c>
      <c r="J6" s="3067"/>
      <c r="K6" s="594" t="s">
        <v>2337</v>
      </c>
      <c r="L6" s="1235"/>
      <c r="M6" s="1236"/>
      <c r="N6" s="1236"/>
      <c r="O6" s="1236"/>
      <c r="P6" s="3053"/>
      <c r="Q6" s="3054"/>
      <c r="R6" s="3057"/>
      <c r="S6" s="3058"/>
      <c r="T6" s="3059"/>
      <c r="U6" s="3060"/>
      <c r="V6" s="3061"/>
      <c r="W6" s="3061"/>
      <c r="X6" s="1883"/>
      <c r="Y6" s="3059"/>
      <c r="Z6" s="3060"/>
      <c r="AA6" s="3044"/>
      <c r="AB6" s="3061"/>
      <c r="AC6" s="3044"/>
    </row>
    <row r="7" spans="1:29" s="35" customFormat="1" ht="15.75" thickBot="1">
      <c r="A7" s="387" t="s">
        <v>2338</v>
      </c>
      <c r="B7" s="388"/>
      <c r="C7" s="389">
        <f>'数据-取费表'!B2</f>
        <v>43999</v>
      </c>
      <c r="D7" s="390">
        <v>100</v>
      </c>
      <c r="E7" s="391"/>
      <c r="F7" s="392">
        <f>SUMIF(58:58,YEAR(E7)&amp;"-"&amp;MONTH(E7),59:59)</f>
        <v>0</v>
      </c>
      <c r="G7" s="391"/>
      <c r="H7" s="390">
        <f>SUMIF(58:58,YEAR(G7)&amp;"-"&amp;MONTH(G7),59:59)</f>
        <v>0</v>
      </c>
      <c r="I7" s="391"/>
      <c r="J7" s="390">
        <f>SUMIF(58:58,YEAR(I7)&amp;"-"&amp;MONTH(I7),59:59)</f>
        <v>0</v>
      </c>
      <c r="K7" s="595"/>
      <c r="L7" s="1237"/>
      <c r="M7" s="1238"/>
      <c r="N7" s="1238"/>
      <c r="O7" s="1238"/>
      <c r="P7" s="3077" t="s">
        <v>2339</v>
      </c>
      <c r="Q7" s="3079"/>
      <c r="R7" s="748" t="s">
        <v>25</v>
      </c>
      <c r="S7" s="749">
        <f t="shared" ref="S7:S15" si="0">F7</f>
        <v>0</v>
      </c>
      <c r="T7" s="748" t="s">
        <v>25</v>
      </c>
      <c r="U7" s="749">
        <f t="shared" ref="U7:U15" si="1">H7</f>
        <v>0</v>
      </c>
      <c r="V7" s="748" t="s">
        <v>25</v>
      </c>
      <c r="W7" s="749">
        <f t="shared" ref="W7:W15" si="2">J7</f>
        <v>0</v>
      </c>
      <c r="X7" s="750"/>
      <c r="Y7" s="3077" t="s">
        <v>2339</v>
      </c>
      <c r="Z7" s="3078"/>
      <c r="AA7" s="751" t="e">
        <f>D7/F7</f>
        <v>#DIV/0!</v>
      </c>
      <c r="AB7" s="751" t="e">
        <f>D7/H7</f>
        <v>#DIV/0!</v>
      </c>
      <c r="AC7" s="751" t="e">
        <f>D7/J7</f>
        <v>#DIV/0!</v>
      </c>
    </row>
    <row r="8" spans="1:29" s="35" customFormat="1" ht="15.75" thickBot="1">
      <c r="A8" s="387" t="s">
        <v>2340</v>
      </c>
      <c r="B8" s="388"/>
      <c r="C8" s="394" t="s">
        <v>2341</v>
      </c>
      <c r="D8" s="390">
        <v>100</v>
      </c>
      <c r="E8" s="394"/>
      <c r="F8" s="392">
        <f>SUMIF(61:61,E8,62:62)-SUMIF(61:61,C8,62:62)+100</f>
        <v>0</v>
      </c>
      <c r="G8" s="394"/>
      <c r="H8" s="390">
        <f>SUMIF(61:61,G8,62:62)-SUMIF(61:61,C8,62:62)+100</f>
        <v>0</v>
      </c>
      <c r="I8" s="394"/>
      <c r="J8" s="390">
        <f>SUMIF(61:61,I8,62:62)-SUMIF(61:61,C8,62:62)+100</f>
        <v>0</v>
      </c>
      <c r="K8" s="595"/>
      <c r="L8" s="1237"/>
      <c r="M8" s="1238"/>
      <c r="N8" s="1238"/>
      <c r="O8" s="1238"/>
      <c r="P8" s="3077" t="s">
        <v>2342</v>
      </c>
      <c r="Q8" s="3078"/>
      <c r="R8" s="748" t="s">
        <v>25</v>
      </c>
      <c r="S8" s="749">
        <f t="shared" si="0"/>
        <v>0</v>
      </c>
      <c r="T8" s="748" t="s">
        <v>25</v>
      </c>
      <c r="U8" s="749">
        <f t="shared" si="1"/>
        <v>0</v>
      </c>
      <c r="V8" s="748" t="s">
        <v>25</v>
      </c>
      <c r="W8" s="749">
        <f t="shared" si="2"/>
        <v>0</v>
      </c>
      <c r="X8" s="750"/>
      <c r="Y8" s="3077" t="s">
        <v>2342</v>
      </c>
      <c r="Z8" s="3078"/>
      <c r="AA8" s="751" t="e">
        <f t="shared" ref="AA8:AA46" si="3">D8/F8</f>
        <v>#DIV/0!</v>
      </c>
      <c r="AB8" s="751" t="e">
        <f t="shared" ref="AB8:AB46" si="4">D8/H8</f>
        <v>#DIV/0!</v>
      </c>
      <c r="AC8" s="751" t="e">
        <f t="shared" ref="AC8:AC46" si="5">D8/J8</f>
        <v>#DIV/0!</v>
      </c>
    </row>
    <row r="9" spans="1:29" s="35" customFormat="1">
      <c r="A9" s="395" t="s">
        <v>2343</v>
      </c>
      <c r="B9" s="28" t="s">
        <v>2344</v>
      </c>
      <c r="C9" s="396"/>
      <c r="D9" s="51">
        <v>100</v>
      </c>
      <c r="E9" s="397"/>
      <c r="F9" s="398">
        <f>SUMIF(63:63,E9,64:64)-SUMIF(63:63,C9,64:64)+100</f>
        <v>100</v>
      </c>
      <c r="G9" s="397"/>
      <c r="H9" s="51">
        <f>SUMIF(63:63,G9,64:64)-SUMIF(63:63,C9,64:64)+100</f>
        <v>100</v>
      </c>
      <c r="I9" s="397"/>
      <c r="J9" s="51">
        <f>SUMIF(63:63,I9,64:64)-SUMIF(63:63,C9,64:64)+100</f>
        <v>100</v>
      </c>
      <c r="K9" s="595"/>
      <c r="L9" s="1237"/>
      <c r="M9" s="1238"/>
      <c r="N9" s="1238"/>
      <c r="O9" s="1238"/>
      <c r="P9" s="3080" t="s">
        <v>2345</v>
      </c>
      <c r="Q9" s="1870"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29" s="407" customFormat="1" ht="27">
      <c r="A10" s="401"/>
      <c r="B10" s="402" t="s">
        <v>2347</v>
      </c>
      <c r="C10" s="403"/>
      <c r="D10" s="52">
        <v>100</v>
      </c>
      <c r="E10" s="404"/>
      <c r="F10" s="405">
        <f>SUMIF(65:65,E10,66:66)-SUMIF(65:65,C10,66:66)+100</f>
        <v>100</v>
      </c>
      <c r="G10" s="403"/>
      <c r="H10" s="52">
        <f>SUMIF(65:65,G10,66:66)-SUMIF(65:65,C10,66:66)+100</f>
        <v>100</v>
      </c>
      <c r="I10" s="403"/>
      <c r="J10" s="52">
        <f>SUMIF(65:65,I10,66:66)-SUMIF(65:65,C10,66:66)+100</f>
        <v>100</v>
      </c>
      <c r="K10" s="596"/>
      <c r="L10" s="1240"/>
      <c r="M10" s="1241"/>
      <c r="N10" s="1241"/>
      <c r="O10" s="1241"/>
      <c r="P10" s="3080"/>
      <c r="Q10" s="1870"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408"/>
      <c r="B11" s="402" t="s">
        <v>2348</v>
      </c>
      <c r="C11" s="409"/>
      <c r="D11" s="52">
        <v>100</v>
      </c>
      <c r="E11" s="410"/>
      <c r="F11" s="405" t="e">
        <f>LOOKUP(E11,68:68,69:69)-LOOKUP(C11,68:68,69:69)+100</f>
        <v>#N/A</v>
      </c>
      <c r="G11" s="409"/>
      <c r="H11" s="52" t="e">
        <f>LOOKUP(G11,68:68,69:69)-LOOKUP(C11,68:68,69:69)+100</f>
        <v>#N/A</v>
      </c>
      <c r="I11" s="409"/>
      <c r="J11" s="52" t="e">
        <f>LOOKUP(I11,68:68,69:69)-LOOKUP(C11,68:68,69:69)+100</f>
        <v>#N/A</v>
      </c>
      <c r="K11" s="596"/>
      <c r="L11" s="1243"/>
      <c r="M11" s="1236"/>
      <c r="N11" s="1236"/>
      <c r="O11" s="1236"/>
      <c r="P11" s="3080"/>
      <c r="Q11" s="1870" t="str">
        <f t="shared" si="6"/>
        <v>容积率</v>
      </c>
      <c r="R11" s="748" t="s">
        <v>25</v>
      </c>
      <c r="S11" s="749" t="e">
        <f t="shared" si="0"/>
        <v>#N/A</v>
      </c>
      <c r="T11" s="748" t="s">
        <v>25</v>
      </c>
      <c r="U11" s="749" t="e">
        <f t="shared" si="1"/>
        <v>#N/A</v>
      </c>
      <c r="V11" s="748" t="s">
        <v>25</v>
      </c>
      <c r="W11" s="749" t="e">
        <f t="shared" si="2"/>
        <v>#N/A</v>
      </c>
      <c r="X11" s="750"/>
      <c r="Y11" s="2891"/>
      <c r="Z11" s="23" t="str">
        <f t="shared" si="7"/>
        <v>容积率</v>
      </c>
      <c r="AA11" s="751" t="e">
        <f t="shared" si="3"/>
        <v>#N/A</v>
      </c>
      <c r="AB11" s="751" t="e">
        <f t="shared" si="4"/>
        <v>#N/A</v>
      </c>
      <c r="AC11" s="751" t="e">
        <f t="shared" si="5"/>
        <v>#N/A</v>
      </c>
    </row>
    <row r="12" spans="1:29" s="35" customFormat="1" ht="15">
      <c r="A12" s="411"/>
      <c r="B12" s="2383">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80"/>
      <c r="Q12" s="1870">
        <f t="shared" si="6"/>
        <v>111</v>
      </c>
      <c r="R12" s="748" t="s">
        <v>25</v>
      </c>
      <c r="S12" s="749">
        <f t="shared" si="0"/>
        <v>100</v>
      </c>
      <c r="T12" s="748" t="s">
        <v>25</v>
      </c>
      <c r="U12" s="749">
        <f t="shared" si="1"/>
        <v>100</v>
      </c>
      <c r="V12" s="748" t="s">
        <v>25</v>
      </c>
      <c r="W12" s="749">
        <f t="shared" si="2"/>
        <v>100</v>
      </c>
      <c r="X12" s="750"/>
      <c r="Y12" s="2891"/>
      <c r="Z12" s="23">
        <f t="shared" si="7"/>
        <v>111</v>
      </c>
      <c r="AA12" s="751">
        <f>D12/F12</f>
        <v>1</v>
      </c>
      <c r="AB12" s="751">
        <f>D12/H12</f>
        <v>1</v>
      </c>
      <c r="AC12" s="751">
        <f>D12/J12</f>
        <v>1</v>
      </c>
    </row>
    <row r="13" spans="1:29" ht="15">
      <c r="A13" s="408"/>
      <c r="B13" s="2383">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80"/>
      <c r="Q13" s="1870">
        <f t="shared" si="6"/>
        <v>111</v>
      </c>
      <c r="R13" s="748" t="s">
        <v>25</v>
      </c>
      <c r="S13" s="749">
        <f t="shared" si="0"/>
        <v>100</v>
      </c>
      <c r="T13" s="748" t="s">
        <v>25</v>
      </c>
      <c r="U13" s="749">
        <f t="shared" si="1"/>
        <v>100</v>
      </c>
      <c r="V13" s="748" t="s">
        <v>25</v>
      </c>
      <c r="W13" s="749">
        <f t="shared" si="2"/>
        <v>100</v>
      </c>
      <c r="X13" s="750"/>
      <c r="Y13" s="2891"/>
      <c r="Z13" s="23">
        <f t="shared" si="7"/>
        <v>111</v>
      </c>
      <c r="AA13" s="751">
        <f t="shared" si="3"/>
        <v>1</v>
      </c>
      <c r="AB13" s="751">
        <f t="shared" si="4"/>
        <v>1</v>
      </c>
      <c r="AC13" s="751">
        <f t="shared" si="5"/>
        <v>1</v>
      </c>
    </row>
    <row r="14" spans="1:29" ht="15.75" thickBot="1">
      <c r="A14" s="416"/>
      <c r="B14" s="2385">
        <v>111</v>
      </c>
      <c r="C14" s="2386"/>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80"/>
      <c r="Q14" s="1870">
        <f t="shared" si="6"/>
        <v>111</v>
      </c>
      <c r="R14" s="748" t="s">
        <v>25</v>
      </c>
      <c r="S14" s="749">
        <f t="shared" si="0"/>
        <v>100</v>
      </c>
      <c r="T14" s="748" t="s">
        <v>25</v>
      </c>
      <c r="U14" s="749">
        <f t="shared" si="1"/>
        <v>100</v>
      </c>
      <c r="V14" s="748" t="s">
        <v>25</v>
      </c>
      <c r="W14" s="749">
        <f t="shared" si="2"/>
        <v>100</v>
      </c>
      <c r="X14" s="750"/>
      <c r="Y14" s="2891"/>
      <c r="Z14" s="23">
        <f t="shared" si="7"/>
        <v>111</v>
      </c>
      <c r="AA14" s="751">
        <f t="shared" si="3"/>
        <v>1</v>
      </c>
      <c r="AB14" s="751">
        <f t="shared" si="4"/>
        <v>1</v>
      </c>
      <c r="AC14" s="751">
        <f t="shared" si="5"/>
        <v>1</v>
      </c>
    </row>
    <row r="15" spans="1:29" ht="71.25">
      <c r="A15" s="419" t="s">
        <v>2349</v>
      </c>
      <c r="B15" s="26" t="s">
        <v>2434</v>
      </c>
      <c r="C15" s="238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5"/>
      <c r="M15" s="1236"/>
      <c r="N15" s="1236"/>
      <c r="O15" s="1236"/>
      <c r="P15" s="3083" t="s">
        <v>2350</v>
      </c>
      <c r="Q15" s="1882" t="str">
        <f t="shared" si="6"/>
        <v>商业繁华度</v>
      </c>
      <c r="R15" s="752" t="s">
        <v>25</v>
      </c>
      <c r="S15" s="753">
        <f t="shared" si="0"/>
        <v>100</v>
      </c>
      <c r="T15" s="752" t="s">
        <v>25</v>
      </c>
      <c r="U15" s="753">
        <f t="shared" si="1"/>
        <v>100</v>
      </c>
      <c r="V15" s="752" t="s">
        <v>25</v>
      </c>
      <c r="W15" s="753">
        <f t="shared" si="2"/>
        <v>100</v>
      </c>
      <c r="X15" s="1883"/>
      <c r="Y15" s="3070" t="s">
        <v>2350</v>
      </c>
      <c r="Z15" s="1885" t="str">
        <f t="shared" si="7"/>
        <v>商业繁华度</v>
      </c>
      <c r="AA15" s="1886">
        <f t="shared" si="3"/>
        <v>1</v>
      </c>
      <c r="AB15" s="1886">
        <f t="shared" si="4"/>
        <v>1</v>
      </c>
      <c r="AC15" s="1886">
        <f t="shared" si="5"/>
        <v>1</v>
      </c>
    </row>
    <row r="16" spans="1:29" ht="15">
      <c r="A16" s="408"/>
      <c r="B16" s="425"/>
      <c r="C16" s="426"/>
      <c r="D16" s="427"/>
      <c r="E16" s="426"/>
      <c r="F16" s="429"/>
      <c r="G16" s="426"/>
      <c r="H16" s="430"/>
      <c r="I16" s="426"/>
      <c r="J16" s="427"/>
      <c r="K16" s="599"/>
      <c r="L16" s="1245"/>
      <c r="M16" s="1236"/>
      <c r="N16" s="1236"/>
      <c r="O16" s="1236"/>
      <c r="P16" s="3084"/>
      <c r="Q16" s="1882"/>
      <c r="R16" s="752"/>
      <c r="S16" s="753"/>
      <c r="T16" s="752"/>
      <c r="U16" s="753"/>
      <c r="V16" s="752"/>
      <c r="W16" s="753"/>
      <c r="X16" s="1883"/>
      <c r="Y16" s="3071"/>
      <c r="Z16" s="1885"/>
      <c r="AA16" s="1886">
        <v>1</v>
      </c>
      <c r="AB16" s="1886">
        <v>1</v>
      </c>
      <c r="AC16" s="1886">
        <v>1</v>
      </c>
    </row>
    <row r="17" spans="1:29" ht="85.5">
      <c r="A17" s="408"/>
      <c r="B17" s="431" t="s">
        <v>1740</v>
      </c>
      <c r="C17" s="2390"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5"/>
      <c r="M17" s="1236"/>
      <c r="N17" s="1236"/>
      <c r="O17" s="1236"/>
      <c r="P17" s="3084"/>
      <c r="Q17" s="1882" t="str">
        <f>B17</f>
        <v>交通便捷度</v>
      </c>
      <c r="R17" s="752" t="s">
        <v>25</v>
      </c>
      <c r="S17" s="753">
        <f>F17</f>
        <v>100</v>
      </c>
      <c r="T17" s="752" t="s">
        <v>25</v>
      </c>
      <c r="U17" s="753">
        <f>H17</f>
        <v>100</v>
      </c>
      <c r="V17" s="752" t="s">
        <v>25</v>
      </c>
      <c r="W17" s="753">
        <f>J17</f>
        <v>100</v>
      </c>
      <c r="X17" s="1883"/>
      <c r="Y17" s="3071"/>
      <c r="Z17" s="1885" t="str">
        <f>Q17</f>
        <v>交通便捷度</v>
      </c>
      <c r="AA17" s="1886">
        <f t="shared" si="3"/>
        <v>1</v>
      </c>
      <c r="AB17" s="1886">
        <f t="shared" si="4"/>
        <v>1</v>
      </c>
      <c r="AC17" s="1886">
        <f t="shared" si="5"/>
        <v>1</v>
      </c>
    </row>
    <row r="18" spans="1:29" ht="15">
      <c r="A18" s="408"/>
      <c r="B18" s="436"/>
      <c r="C18" s="437"/>
      <c r="D18" s="430"/>
      <c r="E18" s="1460"/>
      <c r="F18" s="433"/>
      <c r="G18" s="2391"/>
      <c r="H18" s="427"/>
      <c r="I18" s="1460"/>
      <c r="J18" s="427"/>
      <c r="K18" s="599"/>
      <c r="L18" s="1245"/>
      <c r="M18" s="1236"/>
      <c r="N18" s="1236"/>
      <c r="O18" s="1236"/>
      <c r="P18" s="3084"/>
      <c r="Q18" s="1882"/>
      <c r="R18" s="752"/>
      <c r="S18" s="753"/>
      <c r="T18" s="752"/>
      <c r="U18" s="753"/>
      <c r="V18" s="752"/>
      <c r="W18" s="753"/>
      <c r="X18" s="1883"/>
      <c r="Y18" s="3071"/>
      <c r="Z18" s="1885"/>
      <c r="AA18" s="1886">
        <v>1</v>
      </c>
      <c r="AB18" s="1886">
        <v>1</v>
      </c>
      <c r="AC18" s="1886">
        <v>1</v>
      </c>
    </row>
    <row r="19" spans="1:29" ht="42.75">
      <c r="A19" s="408"/>
      <c r="B19" s="431" t="s">
        <v>2435</v>
      </c>
      <c r="C19" s="2390"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5"/>
      <c r="M19" s="1236"/>
      <c r="N19" s="1236"/>
      <c r="O19" s="1236"/>
      <c r="P19" s="3084"/>
      <c r="Q19" s="1882" t="str">
        <f>B19</f>
        <v>公共配套设施</v>
      </c>
      <c r="R19" s="752" t="s">
        <v>25</v>
      </c>
      <c r="S19" s="753">
        <f>F19</f>
        <v>100</v>
      </c>
      <c r="T19" s="752" t="s">
        <v>25</v>
      </c>
      <c r="U19" s="753">
        <f>H19</f>
        <v>100</v>
      </c>
      <c r="V19" s="752" t="s">
        <v>25</v>
      </c>
      <c r="W19" s="753">
        <f>J19</f>
        <v>100</v>
      </c>
      <c r="X19" s="1883"/>
      <c r="Y19" s="3071"/>
      <c r="Z19" s="1885" t="str">
        <f>Q19</f>
        <v>公共配套设施</v>
      </c>
      <c r="AA19" s="1886">
        <f t="shared" si="3"/>
        <v>1</v>
      </c>
      <c r="AB19" s="1886">
        <f t="shared" si="4"/>
        <v>1</v>
      </c>
      <c r="AC19" s="1886">
        <f t="shared" si="5"/>
        <v>1</v>
      </c>
    </row>
    <row r="20" spans="1:29" ht="15">
      <c r="A20" s="408"/>
      <c r="B20" s="436"/>
      <c r="C20" s="426"/>
      <c r="D20" s="427"/>
      <c r="E20" s="428"/>
      <c r="F20" s="429"/>
      <c r="G20" s="2388"/>
      <c r="H20" s="427"/>
      <c r="I20" s="428"/>
      <c r="J20" s="427"/>
      <c r="K20" s="599"/>
      <c r="L20" s="1245"/>
      <c r="M20" s="1236"/>
      <c r="N20" s="1236"/>
      <c r="O20" s="1236"/>
      <c r="P20" s="3084"/>
      <c r="Q20" s="1882"/>
      <c r="R20" s="752"/>
      <c r="S20" s="753"/>
      <c r="T20" s="752"/>
      <c r="U20" s="753"/>
      <c r="V20" s="752"/>
      <c r="W20" s="753"/>
      <c r="X20" s="1883"/>
      <c r="Y20" s="3071"/>
      <c r="Z20" s="1885"/>
      <c r="AA20" s="1886">
        <v>1</v>
      </c>
      <c r="AB20" s="1886">
        <v>1</v>
      </c>
      <c r="AC20" s="1886">
        <v>1</v>
      </c>
    </row>
    <row r="21" spans="1:29" ht="28.5">
      <c r="A21" s="408"/>
      <c r="B21" s="2392" t="s">
        <v>2436</v>
      </c>
      <c r="C21" s="2390"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5"/>
      <c r="M21" s="1236"/>
      <c r="N21" s="1236"/>
      <c r="O21" s="1236"/>
      <c r="P21" s="3084"/>
      <c r="Q21" s="1882" t="str">
        <f>B21</f>
        <v>基础设施水平</v>
      </c>
      <c r="R21" s="752" t="s">
        <v>25</v>
      </c>
      <c r="S21" s="753">
        <f>F21</f>
        <v>100</v>
      </c>
      <c r="T21" s="752" t="s">
        <v>25</v>
      </c>
      <c r="U21" s="753">
        <f>H21</f>
        <v>100</v>
      </c>
      <c r="V21" s="752" t="s">
        <v>25</v>
      </c>
      <c r="W21" s="753">
        <f>J21</f>
        <v>100</v>
      </c>
      <c r="X21" s="1883"/>
      <c r="Y21" s="3071"/>
      <c r="Z21" s="1885" t="str">
        <f>Q21</f>
        <v>基础设施水平</v>
      </c>
      <c r="AA21" s="1886">
        <f t="shared" ref="AA21" si="8">D21/F21</f>
        <v>1</v>
      </c>
      <c r="AB21" s="1886">
        <f t="shared" ref="AB21" si="9">D21/H21</f>
        <v>1</v>
      </c>
      <c r="AC21" s="1886">
        <f t="shared" ref="AC21" si="10">D21/J21</f>
        <v>1</v>
      </c>
    </row>
    <row r="22" spans="1:29" ht="15">
      <c r="A22" s="408"/>
      <c r="B22" s="2392"/>
      <c r="C22" s="437"/>
      <c r="D22" s="427"/>
      <c r="E22" s="426"/>
      <c r="F22" s="429"/>
      <c r="G22" s="426"/>
      <c r="H22" s="427"/>
      <c r="I22" s="426"/>
      <c r="J22" s="427"/>
      <c r="K22" s="1461"/>
      <c r="L22" s="1245"/>
      <c r="M22" s="1236"/>
      <c r="N22" s="1236"/>
      <c r="O22" s="1236"/>
      <c r="P22" s="3084"/>
      <c r="Q22" s="1882"/>
      <c r="R22" s="752"/>
      <c r="S22" s="753"/>
      <c r="T22" s="752"/>
      <c r="U22" s="753"/>
      <c r="V22" s="752"/>
      <c r="W22" s="753"/>
      <c r="X22" s="1883"/>
      <c r="Y22" s="3071"/>
      <c r="Z22" s="1885"/>
      <c r="AA22" s="1886">
        <v>1</v>
      </c>
      <c r="AB22" s="1886">
        <v>1</v>
      </c>
      <c r="AC22" s="1886">
        <v>1</v>
      </c>
    </row>
    <row r="23" spans="1:29" ht="57">
      <c r="A23" s="408"/>
      <c r="B23" s="431" t="s">
        <v>1745</v>
      </c>
      <c r="C23" s="244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84"/>
      <c r="Q23" s="1882" t="str">
        <f>B23</f>
        <v>自然及人文环境</v>
      </c>
      <c r="R23" s="752" t="s">
        <v>25</v>
      </c>
      <c r="S23" s="753">
        <f>F23</f>
        <v>100</v>
      </c>
      <c r="T23" s="752" t="s">
        <v>25</v>
      </c>
      <c r="U23" s="753">
        <f>H23</f>
        <v>100</v>
      </c>
      <c r="V23" s="752" t="s">
        <v>25</v>
      </c>
      <c r="W23" s="753">
        <f>J23</f>
        <v>100</v>
      </c>
      <c r="X23" s="1883"/>
      <c r="Y23" s="3071"/>
      <c r="Z23" s="1885" t="str">
        <f>Q23</f>
        <v>自然及人文环境</v>
      </c>
      <c r="AA23" s="1886">
        <f t="shared" si="3"/>
        <v>1</v>
      </c>
      <c r="AB23" s="1886">
        <f t="shared" si="4"/>
        <v>1</v>
      </c>
      <c r="AC23" s="1886">
        <f t="shared" si="5"/>
        <v>1</v>
      </c>
    </row>
    <row r="24" spans="1:29" ht="15">
      <c r="A24" s="408"/>
      <c r="B24" s="436"/>
      <c r="C24" s="426"/>
      <c r="D24" s="427"/>
      <c r="E24" s="428"/>
      <c r="F24" s="429"/>
      <c r="G24" s="2388"/>
      <c r="H24" s="427"/>
      <c r="I24" s="428"/>
      <c r="J24" s="427"/>
      <c r="K24" s="599"/>
      <c r="L24" s="1245"/>
      <c r="M24" s="1236"/>
      <c r="N24" s="1236"/>
      <c r="O24" s="1236"/>
      <c r="P24" s="3084"/>
      <c r="Q24" s="1882"/>
      <c r="R24" s="752"/>
      <c r="S24" s="753"/>
      <c r="T24" s="752"/>
      <c r="U24" s="753"/>
      <c r="V24" s="752"/>
      <c r="W24" s="753"/>
      <c r="X24" s="1883"/>
      <c r="Y24" s="3071"/>
      <c r="Z24" s="1885"/>
      <c r="AA24" s="1886">
        <v>1</v>
      </c>
      <c r="AB24" s="1886">
        <v>1</v>
      </c>
      <c r="AC24" s="1886">
        <v>1</v>
      </c>
    </row>
    <row r="25" spans="1:29" ht="15">
      <c r="A25" s="408"/>
      <c r="B25" s="402" t="s">
        <v>2437</v>
      </c>
      <c r="C25" s="600"/>
      <c r="D25" s="415">
        <v>100</v>
      </c>
      <c r="E25" s="600"/>
      <c r="F25" s="442">
        <f>SUMIF(86:86,E25,87:87)-SUMIF(86:86,C25,87:87)+100</f>
        <v>100</v>
      </c>
      <c r="G25" s="600"/>
      <c r="H25" s="415">
        <f>SUMIF(86:86,G25,87:87)-SUMIF(86:86,C25,87:87)+100</f>
        <v>100</v>
      </c>
      <c r="I25" s="600"/>
      <c r="J25" s="415">
        <f>SUMIF(86:86,I25,87:87)-SUMIF(86:86,C25,87:87)+100</f>
        <v>100</v>
      </c>
      <c r="K25" s="596"/>
      <c r="L25" s="1245"/>
      <c r="M25" s="1236"/>
      <c r="N25" s="1236"/>
      <c r="O25" s="1236"/>
      <c r="P25" s="3084"/>
      <c r="Q25" s="1882" t="str">
        <f t="shared" ref="Q25:Q46" si="11">B25</f>
        <v>临街状况</v>
      </c>
      <c r="R25" s="752" t="s">
        <v>25</v>
      </c>
      <c r="S25" s="753">
        <f>F25</f>
        <v>100</v>
      </c>
      <c r="T25" s="752" t="s">
        <v>25</v>
      </c>
      <c r="U25" s="753">
        <f>H25</f>
        <v>100</v>
      </c>
      <c r="V25" s="752" t="s">
        <v>25</v>
      </c>
      <c r="W25" s="753">
        <f>J25</f>
        <v>100</v>
      </c>
      <c r="X25" s="1883"/>
      <c r="Y25" s="3071"/>
      <c r="Z25" s="1885" t="str">
        <f>Q25</f>
        <v>临街状况</v>
      </c>
      <c r="AA25" s="1886">
        <f t="shared" si="3"/>
        <v>1</v>
      </c>
      <c r="AB25" s="1886">
        <f t="shared" si="4"/>
        <v>1</v>
      </c>
      <c r="AC25" s="1886">
        <f t="shared" si="5"/>
        <v>1</v>
      </c>
    </row>
    <row r="26" spans="1:29" ht="15">
      <c r="A26" s="408"/>
      <c r="B26" s="2396" t="s">
        <v>2438</v>
      </c>
      <c r="C26" s="414"/>
      <c r="D26" s="415">
        <v>100</v>
      </c>
      <c r="E26" s="414"/>
      <c r="F26" s="442">
        <f>SUMIF(88:88,E26,89:89)-SUMIF(88:88,C26,89:89)+100</f>
        <v>100</v>
      </c>
      <c r="G26" s="414"/>
      <c r="H26" s="415">
        <f>SUMIF(88:88,G26,89:89)-SUMIF(88:88,C26,89:89)+100</f>
        <v>100</v>
      </c>
      <c r="I26" s="414"/>
      <c r="J26" s="415">
        <f>SUMIF(88:88,I26,89:89)-SUMIF(88:88,C26,89:89)+100</f>
        <v>100</v>
      </c>
      <c r="K26" s="597"/>
      <c r="L26" s="1245"/>
      <c r="M26" s="1236"/>
      <c r="N26" s="1236"/>
      <c r="O26" s="1236"/>
      <c r="P26" s="3084"/>
      <c r="Q26" s="1882" t="str">
        <f t="shared" si="11"/>
        <v>平面位置/可视性</v>
      </c>
      <c r="R26" s="752" t="s">
        <v>25</v>
      </c>
      <c r="S26" s="753">
        <f>F26</f>
        <v>100</v>
      </c>
      <c r="T26" s="752" t="s">
        <v>25</v>
      </c>
      <c r="U26" s="753">
        <f>H26</f>
        <v>100</v>
      </c>
      <c r="V26" s="752" t="s">
        <v>25</v>
      </c>
      <c r="W26" s="753">
        <f>J26</f>
        <v>100</v>
      </c>
      <c r="X26" s="1883"/>
      <c r="Y26" s="3071"/>
      <c r="Z26" s="1885" t="str">
        <f>Q26</f>
        <v>平面位置/可视性</v>
      </c>
      <c r="AA26" s="1886">
        <f t="shared" si="3"/>
        <v>1</v>
      </c>
      <c r="AB26" s="1886">
        <f t="shared" si="4"/>
        <v>1</v>
      </c>
      <c r="AC26" s="1886">
        <f t="shared" si="5"/>
        <v>1</v>
      </c>
    </row>
    <row r="27" spans="1:29" s="35" customFormat="1" ht="15">
      <c r="A27" s="411"/>
      <c r="B27" s="431" t="s">
        <v>2439</v>
      </c>
      <c r="C27" s="2441"/>
      <c r="D27" s="443">
        <v>100</v>
      </c>
      <c r="E27" s="2441"/>
      <c r="F27" s="445">
        <f>SUMIF(90:90,E27,91:91)-SUMIF(90:90,C27,91:91)+100</f>
        <v>100</v>
      </c>
      <c r="G27" s="2441"/>
      <c r="H27" s="443">
        <f>SUMIF(90:90,G27,91:91)-SUMIF(90:90,C27,91:91)+100</f>
        <v>100</v>
      </c>
      <c r="I27" s="2441"/>
      <c r="J27" s="443">
        <f>SUMIF(90:90,I27,91:91)-SUMIF(90:90,C27,91:91)+100</f>
        <v>100</v>
      </c>
      <c r="K27" s="596"/>
      <c r="L27" s="1237"/>
      <c r="M27" s="1238"/>
      <c r="N27" s="1238"/>
      <c r="O27" s="1238"/>
      <c r="P27" s="3084"/>
      <c r="Q27" s="1870" t="str">
        <f t="shared" si="11"/>
        <v>人流量</v>
      </c>
      <c r="R27" s="748" t="s">
        <v>25</v>
      </c>
      <c r="S27" s="749">
        <f>F27</f>
        <v>100</v>
      </c>
      <c r="T27" s="748" t="s">
        <v>25</v>
      </c>
      <c r="U27" s="749">
        <f>H27</f>
        <v>100</v>
      </c>
      <c r="V27" s="748" t="s">
        <v>25</v>
      </c>
      <c r="W27" s="749">
        <f>J27</f>
        <v>100</v>
      </c>
      <c r="X27" s="750"/>
      <c r="Y27" s="3071"/>
      <c r="Z27" s="23" t="str">
        <f>Q27</f>
        <v>人流量</v>
      </c>
      <c r="AA27" s="1886">
        <f>D27/F27</f>
        <v>1</v>
      </c>
      <c r="AB27" s="1886">
        <f>D27/H27</f>
        <v>1</v>
      </c>
      <c r="AC27" s="1886">
        <f>D27/J27</f>
        <v>1</v>
      </c>
    </row>
    <row r="28" spans="1:29" ht="15">
      <c r="A28" s="408"/>
      <c r="B28" s="402" t="s">
        <v>2440</v>
      </c>
      <c r="C28" s="600"/>
      <c r="D28" s="415">
        <v>100</v>
      </c>
      <c r="E28" s="600"/>
      <c r="F28" s="442">
        <f>SUMIF(92:92,E28,93:93)-SUMIF(92:92,C28,93:93)+100</f>
        <v>100</v>
      </c>
      <c r="G28" s="600"/>
      <c r="H28" s="415">
        <f>SUMIF(92:92,G28,93:93)-SUMIF(92:92,C28,93:93)+100</f>
        <v>100</v>
      </c>
      <c r="I28" s="600"/>
      <c r="J28" s="415">
        <f>SUMIF(92:92,I28,93:93)-SUMIF(92:92,C28,93:93)+100</f>
        <v>100</v>
      </c>
      <c r="K28" s="597"/>
      <c r="L28" s="1245"/>
      <c r="M28" s="1236"/>
      <c r="N28" s="1236"/>
      <c r="O28" s="1236"/>
      <c r="P28" s="3084"/>
      <c r="Q28" s="1882" t="str">
        <f t="shared" si="11"/>
        <v>楼层</v>
      </c>
      <c r="R28" s="752" t="s">
        <v>25</v>
      </c>
      <c r="S28" s="753">
        <f t="shared" ref="S28:S46" si="12">F28</f>
        <v>100</v>
      </c>
      <c r="T28" s="752" t="s">
        <v>25</v>
      </c>
      <c r="U28" s="753">
        <f t="shared" ref="U28:U46" si="13">H28</f>
        <v>100</v>
      </c>
      <c r="V28" s="752" t="s">
        <v>25</v>
      </c>
      <c r="W28" s="753">
        <f t="shared" ref="W28:W46" si="14">J28</f>
        <v>100</v>
      </c>
      <c r="X28" s="1883"/>
      <c r="Y28" s="3071"/>
      <c r="Z28" s="1885" t="str">
        <f t="shared" ref="Z28:Z46" si="15">Q28</f>
        <v>楼层</v>
      </c>
      <c r="AA28" s="1886">
        <f t="shared" si="3"/>
        <v>1</v>
      </c>
      <c r="AB28" s="1886">
        <f t="shared" si="4"/>
        <v>1</v>
      </c>
      <c r="AC28" s="1886">
        <f t="shared" si="5"/>
        <v>1</v>
      </c>
    </row>
    <row r="29" spans="1:29" ht="15">
      <c r="A29" s="408"/>
      <c r="B29" s="2396">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84"/>
      <c r="Q29" s="1882">
        <f t="shared" si="11"/>
        <v>111</v>
      </c>
      <c r="R29" s="752" t="s">
        <v>25</v>
      </c>
      <c r="S29" s="753">
        <f t="shared" si="12"/>
        <v>100</v>
      </c>
      <c r="T29" s="752" t="s">
        <v>25</v>
      </c>
      <c r="U29" s="753">
        <f t="shared" si="13"/>
        <v>100</v>
      </c>
      <c r="V29" s="752" t="s">
        <v>25</v>
      </c>
      <c r="W29" s="753">
        <f t="shared" si="14"/>
        <v>100</v>
      </c>
      <c r="X29" s="1883"/>
      <c r="Y29" s="3071"/>
      <c r="Z29" s="1885">
        <f t="shared" si="15"/>
        <v>111</v>
      </c>
      <c r="AA29" s="1886">
        <f t="shared" si="3"/>
        <v>1</v>
      </c>
      <c r="AB29" s="1886">
        <f t="shared" si="4"/>
        <v>1</v>
      </c>
      <c r="AC29" s="1886">
        <f t="shared" si="5"/>
        <v>1</v>
      </c>
    </row>
    <row r="30" spans="1:29" ht="15">
      <c r="A30" s="408"/>
      <c r="B30" s="2396">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84"/>
      <c r="Q30" s="1882">
        <f t="shared" si="11"/>
        <v>111</v>
      </c>
      <c r="R30" s="752" t="s">
        <v>25</v>
      </c>
      <c r="S30" s="753">
        <f t="shared" si="12"/>
        <v>100</v>
      </c>
      <c r="T30" s="752" t="s">
        <v>25</v>
      </c>
      <c r="U30" s="753">
        <f t="shared" si="13"/>
        <v>100</v>
      </c>
      <c r="V30" s="752" t="s">
        <v>25</v>
      </c>
      <c r="W30" s="753">
        <f t="shared" si="14"/>
        <v>100</v>
      </c>
      <c r="X30" s="1883"/>
      <c r="Y30" s="3071"/>
      <c r="Z30" s="1885">
        <f t="shared" si="15"/>
        <v>111</v>
      </c>
      <c r="AA30" s="1886">
        <f t="shared" si="3"/>
        <v>1</v>
      </c>
      <c r="AB30" s="1886">
        <f t="shared" si="4"/>
        <v>1</v>
      </c>
      <c r="AC30" s="1886">
        <f t="shared" si="5"/>
        <v>1</v>
      </c>
    </row>
    <row r="31" spans="1:29" ht="15.75" thickBot="1">
      <c r="A31" s="416"/>
      <c r="B31" s="2396">
        <v>111</v>
      </c>
      <c r="C31" s="2386"/>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84"/>
      <c r="Q31" s="1882">
        <f t="shared" si="11"/>
        <v>111</v>
      </c>
      <c r="R31" s="752" t="s">
        <v>25</v>
      </c>
      <c r="S31" s="753">
        <f t="shared" si="12"/>
        <v>100</v>
      </c>
      <c r="T31" s="752" t="s">
        <v>25</v>
      </c>
      <c r="U31" s="753">
        <f t="shared" si="13"/>
        <v>100</v>
      </c>
      <c r="V31" s="752" t="s">
        <v>25</v>
      </c>
      <c r="W31" s="753">
        <f t="shared" si="14"/>
        <v>100</v>
      </c>
      <c r="X31" s="1883"/>
      <c r="Y31" s="3071"/>
      <c r="Z31" s="1885">
        <f t="shared" si="15"/>
        <v>111</v>
      </c>
      <c r="AA31" s="1886">
        <f t="shared" si="3"/>
        <v>1</v>
      </c>
      <c r="AB31" s="1886">
        <f t="shared" si="4"/>
        <v>1</v>
      </c>
      <c r="AC31" s="1886">
        <f t="shared" si="5"/>
        <v>1</v>
      </c>
    </row>
    <row r="32" spans="1:29" ht="15">
      <c r="A32" s="419" t="s">
        <v>2353</v>
      </c>
      <c r="B32" s="28" t="s">
        <v>2441</v>
      </c>
      <c r="C32" s="2397"/>
      <c r="D32" s="448">
        <v>100</v>
      </c>
      <c r="E32" s="2397"/>
      <c r="F32" s="442">
        <f>SUMIF(100:100,E32,101:101)-SUMIF(100:100,C32,101:101)+100</f>
        <v>100</v>
      </c>
      <c r="G32" s="2397"/>
      <c r="H32" s="415">
        <f>SUMIF(100:100,G32,101:101)-SUMIF(100:100,C32,101:101)+100</f>
        <v>100</v>
      </c>
      <c r="I32" s="2397"/>
      <c r="J32" s="448">
        <f>SUMIF(100:100,I32,101:101)-SUMIF(100:100,C32,101:101)+100</f>
        <v>100</v>
      </c>
      <c r="K32" s="596"/>
      <c r="L32" s="1245"/>
      <c r="M32" s="1236"/>
      <c r="N32" s="1236"/>
      <c r="O32" s="1236"/>
      <c r="P32" s="3072" t="s">
        <v>2355</v>
      </c>
      <c r="Q32" s="1882" t="str">
        <f t="shared" si="11"/>
        <v>商业类型</v>
      </c>
      <c r="R32" s="752" t="s">
        <v>25</v>
      </c>
      <c r="S32" s="753">
        <f t="shared" si="12"/>
        <v>100</v>
      </c>
      <c r="T32" s="752" t="s">
        <v>25</v>
      </c>
      <c r="U32" s="753">
        <f t="shared" si="13"/>
        <v>100</v>
      </c>
      <c r="V32" s="752" t="s">
        <v>25</v>
      </c>
      <c r="W32" s="753">
        <f t="shared" si="14"/>
        <v>100</v>
      </c>
      <c r="X32" s="1883"/>
      <c r="Y32" s="3075" t="s">
        <v>2355</v>
      </c>
      <c r="Z32" s="1885" t="str">
        <f t="shared" si="15"/>
        <v>商业类型</v>
      </c>
      <c r="AA32" s="1886">
        <f t="shared" si="3"/>
        <v>1</v>
      </c>
      <c r="AB32" s="1886">
        <f t="shared" si="4"/>
        <v>1</v>
      </c>
      <c r="AC32" s="1886">
        <f t="shared" si="5"/>
        <v>1</v>
      </c>
    </row>
    <row r="33" spans="1:29" s="452" customFormat="1" ht="15">
      <c r="A33" s="449"/>
      <c r="B33" s="402" t="s">
        <v>2356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3"/>
      <c r="M33" s="1246"/>
      <c r="N33" s="1246"/>
      <c r="O33" s="1246"/>
      <c r="P33" s="3073"/>
      <c r="Q33" s="754" t="str">
        <f t="shared" si="11"/>
        <v>项目建筑规模</v>
      </c>
      <c r="R33" s="755" t="s">
        <v>25</v>
      </c>
      <c r="S33" s="756" t="e">
        <f t="shared" si="12"/>
        <v>#N/A</v>
      </c>
      <c r="T33" s="755" t="s">
        <v>25</v>
      </c>
      <c r="U33" s="756" t="e">
        <f t="shared" si="13"/>
        <v>#N/A</v>
      </c>
      <c r="V33" s="755" t="s">
        <v>25</v>
      </c>
      <c r="W33" s="756" t="e">
        <f t="shared" si="14"/>
        <v>#N/A</v>
      </c>
      <c r="X33" s="757"/>
      <c r="Y33" s="3075"/>
      <c r="Z33" s="758" t="str">
        <f t="shared" si="15"/>
        <v>项目建筑规模</v>
      </c>
      <c r="AA33" s="1886" t="e">
        <f t="shared" si="3"/>
        <v>#N/A</v>
      </c>
      <c r="AB33" s="1886" t="e">
        <f t="shared" si="4"/>
        <v>#N/A</v>
      </c>
      <c r="AC33" s="1886" t="e">
        <f t="shared" si="5"/>
        <v>#N/A</v>
      </c>
    </row>
    <row r="34" spans="1:29" ht="15">
      <c r="A34" s="453"/>
      <c r="B34" s="402" t="s">
        <v>2357</v>
      </c>
      <c r="C34" s="2398"/>
      <c r="D34" s="415">
        <v>100</v>
      </c>
      <c r="E34" s="2399"/>
      <c r="F34" s="442">
        <f>SUMIF(105:105,E34,106:106)-SUMIF(105:105,C34,106:106)+100</f>
        <v>100</v>
      </c>
      <c r="G34" s="2398"/>
      <c r="H34" s="415">
        <f>SUMIF(105:105,G34,106:106)-SUMIF(105:105,C34,106:106)+100</f>
        <v>100</v>
      </c>
      <c r="I34" s="2398"/>
      <c r="J34" s="415">
        <f>SUMIF(105:105,I34,106:106)-SUMIF(105:105,C34,106:106)+100</f>
        <v>100</v>
      </c>
      <c r="K34" s="596"/>
      <c r="L34" s="1245"/>
      <c r="M34" s="1236"/>
      <c r="N34" s="1236"/>
      <c r="O34" s="1236"/>
      <c r="P34" s="3073"/>
      <c r="Q34" s="1882" t="str">
        <f t="shared" si="11"/>
        <v>建筑结构</v>
      </c>
      <c r="R34" s="752" t="s">
        <v>25</v>
      </c>
      <c r="S34" s="753">
        <f t="shared" si="12"/>
        <v>100</v>
      </c>
      <c r="T34" s="752" t="s">
        <v>25</v>
      </c>
      <c r="U34" s="753">
        <f t="shared" si="13"/>
        <v>100</v>
      </c>
      <c r="V34" s="752" t="s">
        <v>25</v>
      </c>
      <c r="W34" s="753">
        <f t="shared" si="14"/>
        <v>100</v>
      </c>
      <c r="X34" s="1883"/>
      <c r="Y34" s="3075"/>
      <c r="Z34" s="1885" t="str">
        <f t="shared" si="15"/>
        <v>建筑结构</v>
      </c>
      <c r="AA34" s="1886">
        <f t="shared" si="3"/>
        <v>1</v>
      </c>
      <c r="AB34" s="1886">
        <f t="shared" si="4"/>
        <v>1</v>
      </c>
      <c r="AC34" s="1886">
        <f t="shared" si="5"/>
        <v>1</v>
      </c>
    </row>
    <row r="35" spans="1:29" ht="15">
      <c r="A35" s="453"/>
      <c r="B35" s="402" t="s">
        <v>2442</v>
      </c>
      <c r="C35" s="2395"/>
      <c r="D35" s="415">
        <v>100</v>
      </c>
      <c r="E35" s="2395"/>
      <c r="F35" s="442">
        <f>SUMIF(107:107,E35,108:108)-SUMIF(107:107,C35,108:108)+100</f>
        <v>100</v>
      </c>
      <c r="G35" s="2395"/>
      <c r="H35" s="415">
        <f>SUMIF(107:107,G35,108:108)-SUMIF(107:107,C35,108:108)+100</f>
        <v>100</v>
      </c>
      <c r="I35" s="2395"/>
      <c r="J35" s="415">
        <f>SUMIF(107:107,I35,108:108)-SUMIF(107:107,C35,108:108)+100</f>
        <v>100</v>
      </c>
      <c r="K35" s="596"/>
      <c r="L35" s="1245"/>
      <c r="M35" s="1236"/>
      <c r="N35" s="1236"/>
      <c r="O35" s="1236"/>
      <c r="P35" s="3073"/>
      <c r="Q35" s="1882" t="str">
        <f t="shared" si="11"/>
        <v>公共部分装修</v>
      </c>
      <c r="R35" s="752" t="s">
        <v>25</v>
      </c>
      <c r="S35" s="753">
        <f t="shared" si="12"/>
        <v>100</v>
      </c>
      <c r="T35" s="752" t="s">
        <v>25</v>
      </c>
      <c r="U35" s="753">
        <f t="shared" si="13"/>
        <v>100</v>
      </c>
      <c r="V35" s="752" t="s">
        <v>25</v>
      </c>
      <c r="W35" s="753">
        <f t="shared" si="14"/>
        <v>100</v>
      </c>
      <c r="X35" s="1883"/>
      <c r="Y35" s="3075"/>
      <c r="Z35" s="1885" t="str">
        <f t="shared" si="15"/>
        <v>公共部分装修</v>
      </c>
      <c r="AA35" s="1886">
        <f t="shared" si="3"/>
        <v>1</v>
      </c>
      <c r="AB35" s="1886">
        <f t="shared" si="4"/>
        <v>1</v>
      </c>
      <c r="AC35" s="1886">
        <f t="shared" si="5"/>
        <v>1</v>
      </c>
    </row>
    <row r="36" spans="1:29" ht="15">
      <c r="A36" s="453"/>
      <c r="B36" s="402" t="s">
        <v>2443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5"/>
      <c r="M36" s="1236"/>
      <c r="N36" s="1236"/>
      <c r="O36" s="1236"/>
      <c r="P36" s="3073"/>
      <c r="Q36" s="1882" t="str">
        <f t="shared" si="11"/>
        <v>成新度</v>
      </c>
      <c r="R36" s="752" t="s">
        <v>25</v>
      </c>
      <c r="S36" s="753" t="e">
        <f t="shared" si="12"/>
        <v>#N/A</v>
      </c>
      <c r="T36" s="752" t="s">
        <v>25</v>
      </c>
      <c r="U36" s="753" t="e">
        <f t="shared" si="13"/>
        <v>#N/A</v>
      </c>
      <c r="V36" s="752" t="s">
        <v>25</v>
      </c>
      <c r="W36" s="753" t="e">
        <f t="shared" si="14"/>
        <v>#N/A</v>
      </c>
      <c r="X36" s="1883"/>
      <c r="Y36" s="3075"/>
      <c r="Z36" s="1885" t="str">
        <f t="shared" si="15"/>
        <v>成新度</v>
      </c>
      <c r="AA36" s="1886" t="e">
        <f t="shared" si="3"/>
        <v>#N/A</v>
      </c>
      <c r="AB36" s="1886" t="e">
        <f t="shared" si="4"/>
        <v>#N/A</v>
      </c>
      <c r="AC36" s="1886" t="e">
        <f t="shared" si="5"/>
        <v>#N/A</v>
      </c>
    </row>
    <row r="37" spans="1:29" s="35" customFormat="1" ht="15">
      <c r="A37" s="454"/>
      <c r="B37" s="402" t="s">
        <v>2444</v>
      </c>
      <c r="C37" s="2395"/>
      <c r="D37" s="52">
        <v>100</v>
      </c>
      <c r="E37" s="2395"/>
      <c r="F37" s="442">
        <f>SUMIF(112:112,E37,113:113)-SUMIF(112:112,C37,113:113)+100</f>
        <v>100</v>
      </c>
      <c r="G37" s="2395"/>
      <c r="H37" s="415">
        <f>SUMIF(112:112,G37,113:113)-SUMIF(112:112,C37,113:113)+100</f>
        <v>100</v>
      </c>
      <c r="I37" s="2395"/>
      <c r="J37" s="415">
        <f>SUMIF(112:112,I37,113:113)-SUMIF(112:112,C37,113:113)+100</f>
        <v>100</v>
      </c>
      <c r="K37" s="596"/>
      <c r="L37" s="1237"/>
      <c r="M37" s="1238"/>
      <c r="N37" s="1238"/>
      <c r="O37" s="1238"/>
      <c r="P37" s="3073"/>
      <c r="Q37" s="1870" t="str">
        <f t="shared" si="11"/>
        <v>市政基础设施</v>
      </c>
      <c r="R37" s="748" t="s">
        <v>25</v>
      </c>
      <c r="S37" s="749">
        <f t="shared" si="12"/>
        <v>100</v>
      </c>
      <c r="T37" s="748" t="s">
        <v>25</v>
      </c>
      <c r="U37" s="749">
        <f t="shared" si="13"/>
        <v>100</v>
      </c>
      <c r="V37" s="748" t="s">
        <v>25</v>
      </c>
      <c r="W37" s="749">
        <f t="shared" si="14"/>
        <v>100</v>
      </c>
      <c r="X37" s="750"/>
      <c r="Y37" s="3075"/>
      <c r="Z37" s="23" t="str">
        <f t="shared" si="15"/>
        <v>市政基础设施</v>
      </c>
      <c r="AA37" s="751">
        <f t="shared" si="3"/>
        <v>1</v>
      </c>
      <c r="AB37" s="751">
        <f t="shared" si="4"/>
        <v>1</v>
      </c>
      <c r="AC37" s="751">
        <f t="shared" si="5"/>
        <v>1</v>
      </c>
    </row>
    <row r="38" spans="1:29" ht="15">
      <c r="A38" s="453"/>
      <c r="B38" s="402" t="s">
        <v>2445</v>
      </c>
      <c r="C38" s="2395"/>
      <c r="D38" s="415">
        <v>100</v>
      </c>
      <c r="E38" s="2395"/>
      <c r="F38" s="442">
        <f>SUMIF(114:114,E38,115:115)-SUMIF(114:114,C38,115:115)+100</f>
        <v>100</v>
      </c>
      <c r="G38" s="2395"/>
      <c r="H38" s="415">
        <f>SUMIF(114:114,G38,115:115)-SUMIF(114:114,C38,115:115)+100</f>
        <v>100</v>
      </c>
      <c r="I38" s="2395"/>
      <c r="J38" s="415">
        <f>SUMIF(114:114,I38,115:115)-SUMIF(114:114,C38,115:115)+100</f>
        <v>100</v>
      </c>
      <c r="K38" s="596"/>
      <c r="L38" s="1245"/>
      <c r="M38" s="1236"/>
      <c r="N38" s="1236"/>
      <c r="O38" s="1236"/>
      <c r="P38" s="3073" t="s">
        <v>2355</v>
      </c>
      <c r="Q38" s="1882" t="str">
        <f t="shared" si="11"/>
        <v>业态</v>
      </c>
      <c r="R38" s="752" t="s">
        <v>25</v>
      </c>
      <c r="S38" s="753">
        <f t="shared" si="12"/>
        <v>100</v>
      </c>
      <c r="T38" s="752" t="s">
        <v>25</v>
      </c>
      <c r="U38" s="753">
        <f t="shared" si="13"/>
        <v>100</v>
      </c>
      <c r="V38" s="752" t="s">
        <v>25</v>
      </c>
      <c r="W38" s="753">
        <f t="shared" si="14"/>
        <v>100</v>
      </c>
      <c r="X38" s="1883"/>
      <c r="Y38" s="3075" t="s">
        <v>2355</v>
      </c>
      <c r="Z38" s="1885" t="str">
        <f t="shared" si="15"/>
        <v>业态</v>
      </c>
      <c r="AA38" s="1886">
        <f t="shared" si="3"/>
        <v>1</v>
      </c>
      <c r="AB38" s="1886">
        <f t="shared" si="4"/>
        <v>1</v>
      </c>
      <c r="AC38" s="1886">
        <f t="shared" si="5"/>
        <v>1</v>
      </c>
    </row>
    <row r="39" spans="1:29" ht="15">
      <c r="A39" s="453"/>
      <c r="B39" s="402" t="s">
        <v>2446</v>
      </c>
      <c r="C39" s="2395"/>
      <c r="D39" s="415">
        <v>100</v>
      </c>
      <c r="E39" s="2395"/>
      <c r="F39" s="442">
        <f>SUMIF(116:116,E39,117:117)-SUMIF(116:116,C39,117:117)+100</f>
        <v>100</v>
      </c>
      <c r="G39" s="2395"/>
      <c r="H39" s="415">
        <f>SUMIF(116:116,G39,117:117)-SUMIF(116:116,C39,117:117)+100</f>
        <v>100</v>
      </c>
      <c r="I39" s="2395"/>
      <c r="J39" s="415">
        <f>SUMIF(116:116,I39,117:117)-SUMIF(116:116,C39,117:117)+100</f>
        <v>100</v>
      </c>
      <c r="K39" s="596"/>
      <c r="L39" s="1245"/>
      <c r="M39" s="1236"/>
      <c r="N39" s="1236"/>
      <c r="O39" s="1236"/>
      <c r="P39" s="3073"/>
      <c r="Q39" s="1882" t="str">
        <f t="shared" si="11"/>
        <v>层高</v>
      </c>
      <c r="R39" s="752" t="s">
        <v>25</v>
      </c>
      <c r="S39" s="753">
        <f t="shared" si="12"/>
        <v>100</v>
      </c>
      <c r="T39" s="752" t="s">
        <v>25</v>
      </c>
      <c r="U39" s="753">
        <f t="shared" si="13"/>
        <v>100</v>
      </c>
      <c r="V39" s="752" t="s">
        <v>25</v>
      </c>
      <c r="W39" s="753">
        <f t="shared" si="14"/>
        <v>100</v>
      </c>
      <c r="X39" s="1883"/>
      <c r="Y39" s="3075"/>
      <c r="Z39" s="1885" t="str">
        <f t="shared" si="15"/>
        <v>层高</v>
      </c>
      <c r="AA39" s="1886">
        <f t="shared" si="3"/>
        <v>1</v>
      </c>
      <c r="AB39" s="1886">
        <f t="shared" si="4"/>
        <v>1</v>
      </c>
      <c r="AC39" s="1886">
        <f t="shared" si="5"/>
        <v>1</v>
      </c>
    </row>
    <row r="40" spans="1:29" ht="15">
      <c r="A40" s="453"/>
      <c r="B40" s="402" t="s">
        <v>2447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73"/>
      <c r="Q40" s="1882" t="str">
        <f t="shared" si="11"/>
        <v>单套建筑面积</v>
      </c>
      <c r="R40" s="752" t="s">
        <v>25</v>
      </c>
      <c r="S40" s="753">
        <f t="shared" si="12"/>
        <v>100</v>
      </c>
      <c r="T40" s="752" t="s">
        <v>25</v>
      </c>
      <c r="U40" s="753">
        <f t="shared" si="13"/>
        <v>100</v>
      </c>
      <c r="V40" s="752" t="s">
        <v>25</v>
      </c>
      <c r="W40" s="753">
        <f t="shared" si="14"/>
        <v>100</v>
      </c>
      <c r="X40" s="1883"/>
      <c r="Y40" s="3075"/>
      <c r="Z40" s="1885" t="str">
        <f t="shared" si="15"/>
        <v>单套建筑面积</v>
      </c>
      <c r="AA40" s="1886">
        <f t="shared" si="3"/>
        <v>1</v>
      </c>
      <c r="AB40" s="1886">
        <f t="shared" si="4"/>
        <v>1</v>
      </c>
      <c r="AC40" s="1886">
        <f t="shared" si="5"/>
        <v>1</v>
      </c>
    </row>
    <row r="41" spans="1:29" s="452" customFormat="1" ht="15">
      <c r="A41" s="449"/>
      <c r="B41" s="1887" t="s">
        <v>2448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73"/>
      <c r="Q41" s="754" t="str">
        <f t="shared" si="11"/>
        <v>进深比</v>
      </c>
      <c r="R41" s="755" t="s">
        <v>25</v>
      </c>
      <c r="S41" s="756">
        <f t="shared" si="12"/>
        <v>100</v>
      </c>
      <c r="T41" s="755" t="s">
        <v>25</v>
      </c>
      <c r="U41" s="756">
        <f t="shared" si="13"/>
        <v>100</v>
      </c>
      <c r="V41" s="755" t="s">
        <v>25</v>
      </c>
      <c r="W41" s="756">
        <f t="shared" si="14"/>
        <v>100</v>
      </c>
      <c r="X41" s="757"/>
      <c r="Y41" s="3075"/>
      <c r="Z41" s="758" t="str">
        <f t="shared" si="15"/>
        <v>进深比</v>
      </c>
      <c r="AA41" s="1886">
        <f t="shared" si="3"/>
        <v>1</v>
      </c>
      <c r="AB41" s="1886">
        <f t="shared" si="4"/>
        <v>1</v>
      </c>
      <c r="AC41" s="1886">
        <f t="shared" si="5"/>
        <v>1</v>
      </c>
    </row>
    <row r="42" spans="1:29" ht="15">
      <c r="A42" s="453"/>
      <c r="B42" s="402" t="s">
        <v>2449</v>
      </c>
      <c r="C42" s="2395"/>
      <c r="D42" s="415">
        <v>100</v>
      </c>
      <c r="E42" s="2395"/>
      <c r="F42" s="442">
        <f>SUMIF(122:122,E42,123:123)-SUMIF(122:122,C42,123:123)+100</f>
        <v>100</v>
      </c>
      <c r="G42" s="2395"/>
      <c r="H42" s="415">
        <f>SUMIF(122:122,G42,123:123)-SUMIF(122:122,C42,123:123)+100</f>
        <v>100</v>
      </c>
      <c r="I42" s="2395"/>
      <c r="J42" s="415">
        <f>SUMIF(122:122,I42,123:123)-SUMIF(122:122,C42,123:123)+100</f>
        <v>100</v>
      </c>
      <c r="K42" s="596"/>
      <c r="L42" s="1245"/>
      <c r="M42" s="1236"/>
      <c r="N42" s="1236"/>
      <c r="O42" s="1236"/>
      <c r="P42" s="3073"/>
      <c r="Q42" s="1882" t="str">
        <f t="shared" si="11"/>
        <v>内部装修</v>
      </c>
      <c r="R42" s="752" t="s">
        <v>25</v>
      </c>
      <c r="S42" s="753">
        <f t="shared" si="12"/>
        <v>100</v>
      </c>
      <c r="T42" s="752" t="s">
        <v>25</v>
      </c>
      <c r="U42" s="753">
        <f t="shared" si="13"/>
        <v>100</v>
      </c>
      <c r="V42" s="752" t="s">
        <v>25</v>
      </c>
      <c r="W42" s="753">
        <f t="shared" si="14"/>
        <v>100</v>
      </c>
      <c r="X42" s="1883"/>
      <c r="Y42" s="3075"/>
      <c r="Z42" s="1885" t="str">
        <f t="shared" si="15"/>
        <v>内部装修</v>
      </c>
      <c r="AA42" s="1886">
        <f t="shared" si="3"/>
        <v>1</v>
      </c>
      <c r="AB42" s="1886">
        <f t="shared" si="4"/>
        <v>1</v>
      </c>
      <c r="AC42" s="1886">
        <f t="shared" si="5"/>
        <v>1</v>
      </c>
    </row>
    <row r="43" spans="1:29" ht="15">
      <c r="A43" s="453"/>
      <c r="B43" s="402" t="s">
        <v>2366</v>
      </c>
      <c r="C43" s="2395"/>
      <c r="D43" s="415">
        <v>100</v>
      </c>
      <c r="E43" s="2395"/>
      <c r="F43" s="442">
        <f>SUMIF(124:124,E43,125:125)-SUMIF(124:124,C43,125:125)+100</f>
        <v>100</v>
      </c>
      <c r="G43" s="2395"/>
      <c r="H43" s="415">
        <f>SUMIF(124:124,G43,125:125)-SUMIF(124:124,C43,125:125)+100</f>
        <v>100</v>
      </c>
      <c r="I43" s="2395"/>
      <c r="J43" s="415">
        <f>SUMIF(124:124,I43,125:125)-SUMIF(124:124,C43,125:125)+100</f>
        <v>100</v>
      </c>
      <c r="K43" s="596"/>
      <c r="L43" s="1245"/>
      <c r="M43" s="1236"/>
      <c r="N43" s="1236"/>
      <c r="O43" s="1236"/>
      <c r="P43" s="3073"/>
      <c r="Q43" s="1882" t="str">
        <f t="shared" si="11"/>
        <v>内部装修维护情况</v>
      </c>
      <c r="R43" s="752" t="s">
        <v>25</v>
      </c>
      <c r="S43" s="753">
        <f t="shared" si="12"/>
        <v>100</v>
      </c>
      <c r="T43" s="752" t="s">
        <v>25</v>
      </c>
      <c r="U43" s="753">
        <f t="shared" si="13"/>
        <v>100</v>
      </c>
      <c r="V43" s="752" t="s">
        <v>25</v>
      </c>
      <c r="W43" s="753">
        <f t="shared" si="14"/>
        <v>100</v>
      </c>
      <c r="X43" s="1883"/>
      <c r="Y43" s="3075"/>
      <c r="Z43" s="1885" t="str">
        <f t="shared" si="15"/>
        <v>内部装修维护情况</v>
      </c>
      <c r="AA43" s="1886">
        <f t="shared" si="3"/>
        <v>1</v>
      </c>
      <c r="AB43" s="1886">
        <f t="shared" si="4"/>
        <v>1</v>
      </c>
      <c r="AC43" s="1886">
        <f t="shared" si="5"/>
        <v>1</v>
      </c>
    </row>
    <row r="44" spans="1:29" s="35" customFormat="1" ht="15">
      <c r="A44" s="454"/>
      <c r="B44" s="239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73"/>
      <c r="Q44" s="1870">
        <f t="shared" si="11"/>
        <v>111</v>
      </c>
      <c r="R44" s="748" t="s">
        <v>25</v>
      </c>
      <c r="S44" s="749">
        <f t="shared" si="12"/>
        <v>100</v>
      </c>
      <c r="T44" s="748" t="s">
        <v>25</v>
      </c>
      <c r="U44" s="749">
        <f t="shared" si="13"/>
        <v>100</v>
      </c>
      <c r="V44" s="748" t="s">
        <v>25</v>
      </c>
      <c r="W44" s="749">
        <f t="shared" si="14"/>
        <v>100</v>
      </c>
      <c r="X44" s="750"/>
      <c r="Y44" s="3075"/>
      <c r="Z44" s="23">
        <f t="shared" si="15"/>
        <v>111</v>
      </c>
      <c r="AA44" s="751">
        <f t="shared" si="3"/>
        <v>1</v>
      </c>
      <c r="AB44" s="751">
        <f t="shared" si="4"/>
        <v>1</v>
      </c>
      <c r="AC44" s="751">
        <f t="shared" si="5"/>
        <v>1</v>
      </c>
    </row>
    <row r="45" spans="1:29" ht="15">
      <c r="A45" s="453"/>
      <c r="B45" s="239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73"/>
      <c r="Q45" s="1882">
        <f t="shared" si="11"/>
        <v>111</v>
      </c>
      <c r="R45" s="752" t="s">
        <v>25</v>
      </c>
      <c r="S45" s="753">
        <f t="shared" si="12"/>
        <v>100</v>
      </c>
      <c r="T45" s="752" t="s">
        <v>25</v>
      </c>
      <c r="U45" s="753">
        <f t="shared" si="13"/>
        <v>100</v>
      </c>
      <c r="V45" s="752" t="s">
        <v>25</v>
      </c>
      <c r="W45" s="753">
        <f t="shared" si="14"/>
        <v>100</v>
      </c>
      <c r="X45" s="1883"/>
      <c r="Y45" s="3075"/>
      <c r="Z45" s="1885">
        <f t="shared" si="15"/>
        <v>111</v>
      </c>
      <c r="AA45" s="1886">
        <f t="shared" si="3"/>
        <v>1</v>
      </c>
      <c r="AB45" s="1886">
        <f t="shared" si="4"/>
        <v>1</v>
      </c>
      <c r="AC45" s="1886">
        <f t="shared" si="5"/>
        <v>1</v>
      </c>
    </row>
    <row r="46" spans="1:29" ht="15.75" thickBot="1">
      <c r="A46" s="459"/>
      <c r="B46" s="2385">
        <v>111</v>
      </c>
      <c r="C46" s="2386"/>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74"/>
      <c r="Q46" s="1882">
        <f t="shared" si="11"/>
        <v>111</v>
      </c>
      <c r="R46" s="752" t="s">
        <v>25</v>
      </c>
      <c r="S46" s="753">
        <f t="shared" si="12"/>
        <v>100</v>
      </c>
      <c r="T46" s="752" t="s">
        <v>25</v>
      </c>
      <c r="U46" s="753">
        <f t="shared" si="13"/>
        <v>100</v>
      </c>
      <c r="V46" s="752" t="s">
        <v>25</v>
      </c>
      <c r="W46" s="753">
        <f t="shared" si="14"/>
        <v>100</v>
      </c>
      <c r="X46" s="1883"/>
      <c r="Y46" s="3076"/>
      <c r="Z46" s="1885">
        <f t="shared" si="15"/>
        <v>111</v>
      </c>
      <c r="AA46" s="1886">
        <f t="shared" si="3"/>
        <v>1</v>
      </c>
      <c r="AB46" s="1886">
        <f t="shared" si="4"/>
        <v>1</v>
      </c>
      <c r="AC46" s="1886">
        <f t="shared" si="5"/>
        <v>1</v>
      </c>
    </row>
    <row r="47" spans="1:29" ht="15">
      <c r="A47" s="460" t="s">
        <v>2367</v>
      </c>
      <c r="B47" s="461"/>
      <c r="C47" s="1494" t="s">
        <v>1</v>
      </c>
      <c r="D47" s="1495"/>
      <c r="E47" s="1496"/>
      <c r="F47" s="1497"/>
      <c r="G47" s="1498"/>
      <c r="H47" s="1499"/>
      <c r="I47" s="1496"/>
      <c r="J47" s="1499"/>
      <c r="K47" s="761"/>
      <c r="L47" s="1248"/>
      <c r="M47" s="1249"/>
      <c r="N47" s="1236"/>
      <c r="O47" s="1249"/>
      <c r="P47" s="3081" t="str">
        <f>A47</f>
        <v>成交单价（元/平方米）</v>
      </c>
      <c r="Q47" s="3081"/>
      <c r="R47" s="3082">
        <f>E47</f>
        <v>0</v>
      </c>
      <c r="S47" s="3082"/>
      <c r="T47" s="3082">
        <f>G47</f>
        <v>0</v>
      </c>
      <c r="U47" s="3082"/>
      <c r="V47" s="3082">
        <f>I47</f>
        <v>0</v>
      </c>
      <c r="W47" s="3082"/>
      <c r="X47" s="737"/>
      <c r="Y47" s="759"/>
      <c r="Z47" s="737"/>
      <c r="AA47" s="737"/>
      <c r="AB47" s="737"/>
      <c r="AC47" s="737"/>
    </row>
    <row r="48" spans="1:29" ht="15.75" thickBot="1">
      <c r="A48" s="467" t="s">
        <v>2450</v>
      </c>
      <c r="B48" s="468"/>
      <c r="C48" s="1500" t="e">
        <f>R49</f>
        <v>#DIV/0!</v>
      </c>
      <c r="D48" s="1501"/>
      <c r="E48" s="1502" t="e">
        <f>R48</f>
        <v>#DIV/0!</v>
      </c>
      <c r="F48" s="1502"/>
      <c r="G48" s="1500" t="e">
        <f>T48</f>
        <v>#DIV/0!</v>
      </c>
      <c r="H48" s="1501"/>
      <c r="I48" s="1502" t="e">
        <f>V48</f>
        <v>#DIV/0!</v>
      </c>
      <c r="J48" s="1501"/>
      <c r="K48" s="762"/>
      <c r="L48" s="1248"/>
      <c r="M48" s="1249"/>
      <c r="N48" s="1236"/>
      <c r="O48" s="1249"/>
      <c r="P48" s="3081" t="str">
        <f>A48</f>
        <v>比较价值（元/平方米）</v>
      </c>
      <c r="Q48" s="3081"/>
      <c r="R48" s="3082" t="e">
        <f>IF(E1="售价",ROUND(PRODUCT(R47,AA7:AA46),0),ROUND(PRODUCT(R47,AA7:AA46),1))</f>
        <v>#DIV/0!</v>
      </c>
      <c r="S48" s="3082"/>
      <c r="T48" s="3082" t="e">
        <f>IF(E1="售价",ROUND(PRODUCT(T47,AB7:AB46),0),ROUND(PRODUCT(T47,AB7:AB46),1))</f>
        <v>#DIV/0!</v>
      </c>
      <c r="U48" s="3082"/>
      <c r="V48" s="3082" t="e">
        <f>IF(E1="售价",ROUND(PRODUCT(V47,AC7:AC46),0),ROUND(PRODUCT(V47,AC7:AC46),1))</f>
        <v>#DIV/0!</v>
      </c>
      <c r="W48" s="3082"/>
      <c r="X48" s="737"/>
      <c r="Y48" s="737"/>
      <c r="Z48" s="737"/>
      <c r="AA48" s="737"/>
      <c r="AB48" s="737"/>
      <c r="AC48" s="737"/>
    </row>
    <row r="49" spans="1:29" ht="15.75" thickBot="1">
      <c r="A49" s="473" t="s">
        <v>2451</v>
      </c>
      <c r="B49" s="474"/>
      <c r="C49" s="1504" t="e">
        <f>R49</f>
        <v>#DIV/0!</v>
      </c>
      <c r="D49" s="1504"/>
      <c r="E49" s="1504"/>
      <c r="F49" s="1504"/>
      <c r="G49" s="1504"/>
      <c r="H49" s="1504"/>
      <c r="I49" s="1504"/>
      <c r="J49" s="1504"/>
      <c r="K49" s="763"/>
      <c r="L49" s="1248"/>
      <c r="M49" s="1249"/>
      <c r="N49" s="1236"/>
      <c r="O49" s="1249"/>
      <c r="P49" s="3087" t="str">
        <f>A49</f>
        <v>估价对象XX用房的比较价值（楼面单价，元/平方米）</v>
      </c>
      <c r="Q49" s="3088"/>
      <c r="R49" s="3089" t="e">
        <f>IF(E1="售价",ROUND(AVERAGE(R48:V48),0),ROUND(AVERAGE(R48:V48),1))</f>
        <v>#DIV/0!</v>
      </c>
      <c r="S49" s="3089"/>
      <c r="T49" s="3089"/>
      <c r="U49" s="3089"/>
      <c r="V49" s="3089"/>
      <c r="W49" s="3089"/>
      <c r="X49" s="737"/>
      <c r="Y49" s="737"/>
      <c r="Z49" s="737"/>
      <c r="AA49" s="737"/>
      <c r="AB49" s="737"/>
      <c r="AC49" s="737"/>
    </row>
    <row r="50" spans="1:29">
      <c r="A50" s="1249"/>
      <c r="B50" s="1249"/>
      <c r="C50" s="1249"/>
      <c r="D50" s="1249"/>
      <c r="E50" s="1249"/>
      <c r="F50" s="1249"/>
      <c r="G50" s="1253"/>
      <c r="H50" s="1249"/>
      <c r="I50" s="1249"/>
      <c r="J50" s="1249"/>
      <c r="K50" s="1254"/>
      <c r="L50" s="1250"/>
      <c r="M50" s="1249"/>
      <c r="N50" s="1249"/>
      <c r="O50" s="1249"/>
      <c r="P50" s="2442"/>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2"/>
      <c r="Q51" s="1249"/>
      <c r="R51" s="1249"/>
      <c r="S51" s="1249"/>
      <c r="T51" s="1249"/>
      <c r="U51" s="1249"/>
      <c r="V51" s="1249"/>
      <c r="W51" s="1249"/>
      <c r="X51" s="1249"/>
      <c r="Y51" s="1249"/>
      <c r="Z51" s="1249"/>
      <c r="AA51" s="1249"/>
      <c r="AB51" s="1249"/>
      <c r="AC51" s="1249"/>
    </row>
    <row r="52" spans="1:29" ht="13.5" customHeight="1">
      <c r="A52" s="1249"/>
      <c r="B52" s="1249"/>
      <c r="C52" s="478" t="s">
        <v>2452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4"/>
      <c r="L52" s="1250"/>
      <c r="M52" s="1249"/>
      <c r="N52" s="1249"/>
      <c r="O52" s="1249"/>
      <c r="P52" s="2442"/>
      <c r="Q52" s="1249"/>
      <c r="R52" s="1249"/>
      <c r="S52" s="1249"/>
      <c r="T52" s="1249"/>
      <c r="U52" s="1249"/>
      <c r="V52" s="1249"/>
      <c r="W52" s="1249"/>
      <c r="X52" s="1249"/>
      <c r="Y52" s="1249"/>
      <c r="Z52" s="1249"/>
      <c r="AA52" s="1249"/>
      <c r="AB52" s="1249"/>
      <c r="AC52" s="1249"/>
    </row>
    <row r="53" spans="1:29" ht="13.5" customHeight="1">
      <c r="A53" s="1249"/>
      <c r="B53" s="1249"/>
      <c r="C53" s="478" t="s">
        <v>2453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4"/>
      <c r="L53" s="1250"/>
      <c r="M53" s="1249"/>
      <c r="N53" s="1249"/>
      <c r="O53" s="1249"/>
      <c r="P53" s="2442"/>
      <c r="Q53" s="1249"/>
      <c r="R53" s="1249"/>
      <c r="S53" s="1249"/>
      <c r="T53" s="1249"/>
      <c r="U53" s="1249"/>
      <c r="V53" s="1249"/>
      <c r="W53" s="1249"/>
      <c r="X53" s="1249"/>
      <c r="Y53" s="1249"/>
      <c r="Z53" s="1249"/>
      <c r="AA53" s="1249"/>
      <c r="AB53" s="1249"/>
      <c r="AC53" s="1249"/>
    </row>
    <row r="54" spans="1:29" s="483" customFormat="1" ht="13.5" customHeight="1">
      <c r="A54" s="1251"/>
      <c r="B54" s="1251"/>
      <c r="C54" s="478" t="s">
        <v>2454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5"/>
      <c r="L54" s="1256"/>
      <c r="M54" s="1251"/>
      <c r="N54" s="1251"/>
      <c r="O54" s="1251"/>
      <c r="P54" s="2443"/>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3"/>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2"/>
      <c r="Q56" s="1249"/>
      <c r="R56" s="1249"/>
      <c r="S56" s="1249"/>
      <c r="T56" s="1249"/>
      <c r="U56" s="1249"/>
      <c r="V56" s="1249"/>
      <c r="W56" s="1249"/>
      <c r="X56" s="1249"/>
      <c r="Y56" s="1249"/>
      <c r="Z56" s="1249"/>
      <c r="AA56" s="1249"/>
      <c r="AB56" s="1249"/>
      <c r="AC56" s="1249"/>
    </row>
    <row r="57" spans="1:29" ht="21.75" thickBot="1">
      <c r="A57" s="741" t="s">
        <v>2455</v>
      </c>
      <c r="B57" s="737"/>
      <c r="C57" s="742"/>
      <c r="D57" s="742"/>
      <c r="E57" s="742"/>
      <c r="F57" s="743"/>
      <c r="G57" s="743"/>
      <c r="H57" s="742"/>
      <c r="I57" s="742"/>
      <c r="J57" s="742"/>
      <c r="K57" s="744"/>
      <c r="L57" s="1264"/>
      <c r="M57" s="1265"/>
      <c r="N57" s="1265"/>
      <c r="O57" s="1265"/>
      <c r="P57" s="2444"/>
      <c r="Q57" s="2445"/>
      <c r="R57" s="1249"/>
      <c r="S57" s="1249"/>
      <c r="T57" s="1249"/>
      <c r="U57" s="1249"/>
      <c r="V57" s="1249"/>
      <c r="W57" s="1249"/>
      <c r="X57" s="1249"/>
      <c r="Y57" s="1249"/>
      <c r="Z57" s="1249"/>
      <c r="AA57" s="1249"/>
      <c r="AB57" s="1249"/>
      <c r="AC57" s="1249"/>
    </row>
    <row r="58" spans="1:29" s="489" customFormat="1" ht="15">
      <c r="A58" s="486" t="s">
        <v>2338</v>
      </c>
      <c r="B58" s="487"/>
      <c r="C58" s="1670" t="str">
        <f>YEAR(C7)&amp;"-"&amp;MONTH(C7)</f>
        <v>2020-6</v>
      </c>
      <c r="D58" s="1671">
        <f>EDATE(C58,-1)</f>
        <v>43952</v>
      </c>
      <c r="E58" s="1671">
        <f t="shared" ref="E58:O58" si="16">EDATE(D58,-1)</f>
        <v>43922</v>
      </c>
      <c r="F58" s="1671">
        <f t="shared" si="16"/>
        <v>43891</v>
      </c>
      <c r="G58" s="1671">
        <f t="shared" si="16"/>
        <v>43862</v>
      </c>
      <c r="H58" s="1671">
        <f t="shared" si="16"/>
        <v>43831</v>
      </c>
      <c r="I58" s="1671">
        <f t="shared" si="16"/>
        <v>43800</v>
      </c>
      <c r="J58" s="1671">
        <f t="shared" si="16"/>
        <v>43770</v>
      </c>
      <c r="K58" s="1671">
        <f t="shared" si="16"/>
        <v>43739</v>
      </c>
      <c r="L58" s="1671">
        <f t="shared" si="16"/>
        <v>43709</v>
      </c>
      <c r="M58" s="1671">
        <f t="shared" si="16"/>
        <v>43678</v>
      </c>
      <c r="N58" s="1671">
        <f t="shared" si="16"/>
        <v>43647</v>
      </c>
      <c r="O58" s="1671">
        <f t="shared" si="16"/>
        <v>43617</v>
      </c>
      <c r="P58" s="2406"/>
    </row>
    <row r="59" spans="1:29" s="35" customFormat="1" ht="15">
      <c r="A59" s="490"/>
      <c r="B59" s="491"/>
      <c r="C59" s="623">
        <v>100</v>
      </c>
      <c r="D59" s="493"/>
      <c r="E59" s="493"/>
      <c r="F59" s="493"/>
      <c r="G59" s="493"/>
      <c r="H59" s="493"/>
      <c r="I59" s="493"/>
      <c r="J59" s="493"/>
      <c r="K59" s="493"/>
      <c r="L59" s="493"/>
      <c r="M59" s="494"/>
      <c r="N59" s="493"/>
      <c r="O59" s="494"/>
      <c r="P59" s="2407"/>
    </row>
    <row r="60" spans="1:29" s="35" customFormat="1" ht="15.75" thickBot="1">
      <c r="A60" s="496" t="s">
        <v>2375</v>
      </c>
      <c r="B60" s="497"/>
      <c r="C60" s="498"/>
      <c r="D60" s="499"/>
      <c r="E60" s="499"/>
      <c r="F60" s="499"/>
      <c r="G60" s="499"/>
      <c r="H60" s="499"/>
      <c r="I60" s="499"/>
      <c r="J60" s="499"/>
      <c r="K60" s="499"/>
      <c r="L60" s="499"/>
      <c r="M60" s="500"/>
      <c r="N60" s="499"/>
      <c r="O60" s="500"/>
      <c r="P60" s="2407"/>
      <c r="Q60" s="485"/>
    </row>
    <row r="61" spans="1:29" s="35" customFormat="1" ht="15">
      <c r="A61" s="502" t="s">
        <v>2340</v>
      </c>
      <c r="B61" s="491"/>
      <c r="C61" s="503" t="s">
        <v>2341</v>
      </c>
      <c r="D61" s="504"/>
      <c r="E61" s="504"/>
      <c r="F61" s="504"/>
      <c r="G61" s="504"/>
      <c r="H61" s="504"/>
      <c r="I61" s="504"/>
      <c r="J61" s="504"/>
      <c r="K61" s="504"/>
      <c r="L61" s="505"/>
      <c r="M61" s="506"/>
      <c r="N61" s="1258"/>
      <c r="O61" s="1258"/>
      <c r="P61" s="2408"/>
      <c r="Q61" s="485"/>
    </row>
    <row r="62" spans="1:29" s="35" customFormat="1" ht="15.75" thickBot="1">
      <c r="A62" s="502"/>
      <c r="B62" s="491"/>
      <c r="C62" s="492">
        <v>100</v>
      </c>
      <c r="D62" s="493"/>
      <c r="E62" s="493"/>
      <c r="F62" s="493"/>
      <c r="G62" s="493"/>
      <c r="H62" s="493"/>
      <c r="I62" s="493"/>
      <c r="J62" s="493"/>
      <c r="K62" s="493"/>
      <c r="L62" s="493"/>
      <c r="M62" s="495"/>
      <c r="N62" s="1258"/>
      <c r="O62" s="1258"/>
      <c r="P62" s="2407"/>
      <c r="Q62" s="485"/>
    </row>
    <row r="63" spans="1:29">
      <c r="A63" s="508" t="s">
        <v>2378</v>
      </c>
      <c r="B63" s="509" t="s">
        <v>2344</v>
      </c>
      <c r="C63" s="510">
        <f>C9</f>
        <v>0</v>
      </c>
      <c r="D63" s="511"/>
      <c r="E63" s="511"/>
      <c r="F63" s="511"/>
      <c r="G63" s="511"/>
      <c r="H63" s="511"/>
      <c r="I63" s="511"/>
      <c r="J63" s="511"/>
      <c r="K63" s="512"/>
      <c r="L63" s="513"/>
      <c r="M63" s="514"/>
      <c r="N63" s="1259"/>
      <c r="O63" s="1259"/>
      <c r="P63" s="2409"/>
      <c r="Q63" s="485"/>
    </row>
    <row r="64" spans="1:29" ht="15.75" thickBot="1">
      <c r="A64" s="516"/>
      <c r="B64" s="517"/>
      <c r="C64" s="518">
        <v>100</v>
      </c>
      <c r="D64" s="518"/>
      <c r="E64" s="518"/>
      <c r="F64" s="518"/>
      <c r="G64" s="518"/>
      <c r="H64" s="518"/>
      <c r="I64" s="518"/>
      <c r="J64" s="518"/>
      <c r="K64" s="518"/>
      <c r="L64" s="518"/>
      <c r="M64" s="519"/>
      <c r="N64" s="1260"/>
      <c r="O64" s="1260"/>
      <c r="P64" s="2409"/>
      <c r="Q64" s="485"/>
    </row>
    <row r="65" spans="1:17" ht="27.75" thickTop="1">
      <c r="A65" s="516"/>
      <c r="B65" s="521" t="s">
        <v>2347</v>
      </c>
      <c r="C65" s="522" t="s">
        <v>2379</v>
      </c>
      <c r="D65" s="522" t="s">
        <v>2380</v>
      </c>
      <c r="E65" s="522" t="s">
        <v>2381</v>
      </c>
      <c r="F65" s="522" t="s">
        <v>2382</v>
      </c>
      <c r="G65" s="522" t="s">
        <v>2383</v>
      </c>
      <c r="H65" s="522" t="s">
        <v>2384</v>
      </c>
      <c r="I65" s="522" t="s">
        <v>2385</v>
      </c>
      <c r="J65" s="522"/>
      <c r="K65" s="523"/>
      <c r="L65" s="524"/>
      <c r="M65" s="525"/>
      <c r="N65" s="1259"/>
      <c r="O65" s="1259"/>
      <c r="P65" s="240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09"/>
      <c r="Q66" s="485"/>
    </row>
    <row r="67" spans="1:17" ht="15.75" thickTop="1">
      <c r="A67" s="516"/>
      <c r="B67" s="529" t="s">
        <v>2348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09"/>
      <c r="Q67" s="485"/>
    </row>
    <row r="68" spans="1:17" ht="15">
      <c r="A68" s="516"/>
      <c r="B68" s="531"/>
      <c r="C68" s="532"/>
      <c r="D68" s="532"/>
      <c r="E68" s="532"/>
      <c r="F68" s="532"/>
      <c r="G68" s="532"/>
      <c r="H68" s="532"/>
      <c r="I68" s="532"/>
      <c r="J68" s="532"/>
      <c r="K68" s="533"/>
      <c r="L68" s="534"/>
      <c r="M68" s="535"/>
      <c r="N68" s="1259"/>
      <c r="O68" s="1259"/>
      <c r="P68" s="240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09"/>
      <c r="Q69" s="485"/>
    </row>
    <row r="70" spans="1:17" s="452" customFormat="1" ht="15.75" thickTop="1">
      <c r="A70" s="536"/>
      <c r="B70" s="521">
        <f>B12</f>
        <v>111</v>
      </c>
      <c r="C70" s="537"/>
      <c r="D70" s="537"/>
      <c r="E70" s="537"/>
      <c r="F70" s="537"/>
      <c r="G70" s="537"/>
      <c r="H70" s="538"/>
      <c r="I70" s="538"/>
      <c r="J70" s="538"/>
      <c r="K70" s="538"/>
      <c r="L70" s="539"/>
      <c r="M70" s="540"/>
      <c r="N70" s="1261"/>
      <c r="O70" s="1261"/>
      <c r="P70" s="2410"/>
      <c r="Q70" s="543"/>
    </row>
    <row r="71" spans="1:17" s="452" customFormat="1" ht="15.75" thickBot="1">
      <c r="A71" s="536"/>
      <c r="B71" s="526"/>
      <c r="C71" s="544"/>
      <c r="D71" s="518"/>
      <c r="E71" s="518"/>
      <c r="F71" s="518"/>
      <c r="G71" s="518"/>
      <c r="H71" s="518"/>
      <c r="I71" s="518"/>
      <c r="J71" s="518"/>
      <c r="K71" s="518"/>
      <c r="L71" s="518"/>
      <c r="M71" s="519"/>
      <c r="N71" s="1260"/>
      <c r="O71" s="1260"/>
      <c r="P71" s="2410"/>
      <c r="Q71" s="543"/>
    </row>
    <row r="72" spans="1:17" s="452" customFormat="1" ht="15.75" thickTop="1">
      <c r="A72" s="536"/>
      <c r="B72" s="521">
        <f>B13</f>
        <v>111</v>
      </c>
      <c r="C72" s="537"/>
      <c r="D72" s="537"/>
      <c r="E72" s="537"/>
      <c r="F72" s="537"/>
      <c r="G72" s="537"/>
      <c r="H72" s="538"/>
      <c r="I72" s="538"/>
      <c r="J72" s="538"/>
      <c r="K72" s="538"/>
      <c r="L72" s="539"/>
      <c r="M72" s="540"/>
      <c r="N72" s="1261"/>
      <c r="O72" s="1261"/>
      <c r="P72" s="2411"/>
      <c r="Q72" s="545"/>
    </row>
    <row r="73" spans="1:17" s="452" customFormat="1" ht="15.75" thickBot="1">
      <c r="A73" s="536"/>
      <c r="B73" s="526"/>
      <c r="C73" s="544"/>
      <c r="D73" s="518"/>
      <c r="E73" s="518"/>
      <c r="F73" s="518"/>
      <c r="G73" s="544"/>
      <c r="H73" s="546"/>
      <c r="I73" s="546"/>
      <c r="J73" s="546"/>
      <c r="K73" s="546"/>
      <c r="L73" s="546"/>
      <c r="M73" s="547"/>
      <c r="N73" s="1261"/>
      <c r="O73" s="1261"/>
      <c r="P73" s="2410"/>
      <c r="Q73" s="543"/>
    </row>
    <row r="74" spans="1:17" s="452" customFormat="1" ht="15.75" thickTop="1">
      <c r="A74" s="536"/>
      <c r="B74" s="529">
        <f>B14</f>
        <v>111</v>
      </c>
      <c r="C74" s="537"/>
      <c r="D74" s="537"/>
      <c r="E74" s="537"/>
      <c r="F74" s="537"/>
      <c r="G74" s="504"/>
      <c r="H74" s="548"/>
      <c r="I74" s="548"/>
      <c r="J74" s="548"/>
      <c r="K74" s="548"/>
      <c r="L74" s="549"/>
      <c r="M74" s="550"/>
      <c r="N74" s="1261"/>
      <c r="O74" s="1261"/>
      <c r="P74" s="2412"/>
      <c r="Q74" s="543"/>
    </row>
    <row r="75" spans="1:17" s="452" customFormat="1" ht="15.75" thickBot="1">
      <c r="A75" s="552"/>
      <c r="B75" s="553"/>
      <c r="C75" s="554"/>
      <c r="D75" s="554"/>
      <c r="E75" s="554"/>
      <c r="F75" s="554"/>
      <c r="G75" s="554"/>
      <c r="H75" s="555"/>
      <c r="I75" s="555"/>
      <c r="J75" s="555"/>
      <c r="K75" s="555"/>
      <c r="L75" s="555"/>
      <c r="M75" s="556"/>
      <c r="N75" s="1261"/>
      <c r="O75" s="1261"/>
      <c r="P75" s="2410"/>
      <c r="Q75" s="543"/>
    </row>
    <row r="76" spans="1:17">
      <c r="A76" s="508" t="s">
        <v>2349</v>
      </c>
      <c r="B76" s="509" t="s">
        <v>2386</v>
      </c>
      <c r="C76" s="557" t="s">
        <v>2387</v>
      </c>
      <c r="D76" s="557" t="s">
        <v>2388</v>
      </c>
      <c r="E76" s="557" t="s">
        <v>2389</v>
      </c>
      <c r="F76" s="557" t="s">
        <v>2390</v>
      </c>
      <c r="G76" s="557" t="s">
        <v>2391</v>
      </c>
      <c r="H76" s="510"/>
      <c r="I76" s="510"/>
      <c r="J76" s="510"/>
      <c r="K76" s="558"/>
      <c r="L76" s="559"/>
      <c r="M76" s="560"/>
      <c r="N76" s="1259"/>
      <c r="O76" s="1259"/>
      <c r="P76" s="241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09"/>
      <c r="Q77" s="485"/>
    </row>
    <row r="78" spans="1:17" ht="15.75" thickTop="1">
      <c r="A78" s="516"/>
      <c r="B78" s="521" t="s">
        <v>2392</v>
      </c>
      <c r="C78" s="562" t="s">
        <v>2387</v>
      </c>
      <c r="D78" s="562" t="s">
        <v>2388</v>
      </c>
      <c r="E78" s="562" t="s">
        <v>2389</v>
      </c>
      <c r="F78" s="562" t="s">
        <v>2390</v>
      </c>
      <c r="G78" s="562" t="s">
        <v>2391</v>
      </c>
      <c r="H78" s="522"/>
      <c r="I78" s="522"/>
      <c r="J78" s="522"/>
      <c r="K78" s="523"/>
      <c r="L78" s="524"/>
      <c r="M78" s="525"/>
      <c r="N78" s="1259"/>
      <c r="O78" s="1259"/>
      <c r="P78" s="240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09"/>
      <c r="Q79" s="485"/>
    </row>
    <row r="80" spans="1:17" ht="15.75" thickTop="1">
      <c r="A80" s="516"/>
      <c r="B80" s="521" t="s">
        <v>2393</v>
      </c>
      <c r="C80" s="562" t="s">
        <v>2387</v>
      </c>
      <c r="D80" s="562" t="s">
        <v>2388</v>
      </c>
      <c r="E80" s="562" t="s">
        <v>2389</v>
      </c>
      <c r="F80" s="562" t="s">
        <v>2390</v>
      </c>
      <c r="G80" s="562" t="s">
        <v>2391</v>
      </c>
      <c r="H80" s="522"/>
      <c r="I80" s="522"/>
      <c r="J80" s="522"/>
      <c r="K80" s="523"/>
      <c r="L80" s="524"/>
      <c r="M80" s="525"/>
      <c r="N80" s="1259"/>
      <c r="O80" s="1259"/>
      <c r="P80" s="240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09"/>
      <c r="Q81" s="485"/>
    </row>
    <row r="82" spans="1:17" ht="15.75" thickTop="1">
      <c r="A82" s="516"/>
      <c r="B82" s="529" t="s">
        <v>2436</v>
      </c>
      <c r="C82" s="522" t="s">
        <v>2394</v>
      </c>
      <c r="D82" s="522" t="s">
        <v>2395</v>
      </c>
      <c r="E82" s="522" t="s">
        <v>2396</v>
      </c>
      <c r="F82" s="522" t="s">
        <v>2397</v>
      </c>
      <c r="G82" s="522" t="s">
        <v>2398</v>
      </c>
      <c r="H82" s="522"/>
      <c r="I82" s="522"/>
      <c r="J82" s="522"/>
      <c r="K82" s="522"/>
      <c r="L82" s="522"/>
      <c r="M82" s="1459"/>
      <c r="N82" s="1260"/>
      <c r="O82" s="1260"/>
      <c r="P82" s="240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09"/>
      <c r="Q83" s="485"/>
    </row>
    <row r="84" spans="1:17" ht="15.75" thickTop="1">
      <c r="A84" s="516"/>
      <c r="B84" s="521" t="s">
        <v>2399</v>
      </c>
      <c r="C84" s="562" t="s">
        <v>2387</v>
      </c>
      <c r="D84" s="562" t="s">
        <v>2388</v>
      </c>
      <c r="E84" s="562" t="s">
        <v>2389</v>
      </c>
      <c r="F84" s="562" t="s">
        <v>2390</v>
      </c>
      <c r="G84" s="562" t="s">
        <v>2391</v>
      </c>
      <c r="H84" s="522"/>
      <c r="I84" s="522"/>
      <c r="J84" s="522"/>
      <c r="K84" s="523"/>
      <c r="L84" s="524"/>
      <c r="M84" s="525"/>
      <c r="N84" s="1259"/>
      <c r="O84" s="1259"/>
      <c r="P84" s="240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09"/>
      <c r="Q85" s="485"/>
    </row>
    <row r="86" spans="1:17" s="35" customFormat="1" ht="15.75" thickTop="1">
      <c r="A86" s="563"/>
      <c r="B86" s="521" t="s">
        <v>2456</v>
      </c>
      <c r="C86" s="537"/>
      <c r="D86" s="537"/>
      <c r="E86" s="537"/>
      <c r="F86" s="537"/>
      <c r="G86" s="537"/>
      <c r="H86" s="537"/>
      <c r="I86" s="537"/>
      <c r="J86" s="537"/>
      <c r="K86" s="537"/>
      <c r="L86" s="564"/>
      <c r="M86" s="565"/>
      <c r="N86" s="1258"/>
      <c r="O86" s="1258"/>
      <c r="P86" s="240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09"/>
      <c r="Q87" s="485"/>
    </row>
    <row r="88" spans="1:17" s="35" customFormat="1" ht="15.75" thickTop="1">
      <c r="A88" s="563"/>
      <c r="B88" s="521" t="str">
        <f>B26</f>
        <v>平面位置/可视性</v>
      </c>
      <c r="C88" s="537"/>
      <c r="D88" s="537"/>
      <c r="E88" s="537"/>
      <c r="F88" s="2414"/>
      <c r="G88" s="537"/>
      <c r="H88" s="537"/>
      <c r="I88" s="537"/>
      <c r="J88" s="537"/>
      <c r="K88" s="537"/>
      <c r="L88" s="537"/>
      <c r="M88" s="565"/>
      <c r="N88" s="1258"/>
      <c r="O88" s="1258"/>
      <c r="P88" s="2409"/>
      <c r="Q88" s="485"/>
    </row>
    <row r="89" spans="1:17" s="35" customFormat="1" ht="15.75" thickBot="1">
      <c r="A89" s="563"/>
      <c r="B89" s="526"/>
      <c r="C89" s="544"/>
      <c r="D89" s="518"/>
      <c r="E89" s="518"/>
      <c r="F89" s="518"/>
      <c r="G89" s="518"/>
      <c r="H89" s="518"/>
      <c r="I89" s="518"/>
      <c r="J89" s="518"/>
      <c r="K89" s="518"/>
      <c r="L89" s="518"/>
      <c r="M89" s="518"/>
      <c r="N89" s="1260"/>
      <c r="O89" s="1260"/>
      <c r="P89" s="2409"/>
      <c r="Q89" s="485"/>
    </row>
    <row r="90" spans="1:17" s="452" customFormat="1" ht="15.75" thickTop="1">
      <c r="A90" s="536"/>
      <c r="B90" s="521" t="str">
        <f>B27</f>
        <v>人流量</v>
      </c>
      <c r="C90" s="537"/>
      <c r="D90" s="537"/>
      <c r="E90" s="537"/>
      <c r="F90" s="537"/>
      <c r="G90" s="537"/>
      <c r="H90" s="538"/>
      <c r="I90" s="538"/>
      <c r="J90" s="538"/>
      <c r="K90" s="538"/>
      <c r="L90" s="539"/>
      <c r="M90" s="540"/>
      <c r="N90" s="1261"/>
      <c r="O90" s="1261"/>
      <c r="P90" s="241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1"/>
      <c r="O91" s="1261"/>
      <c r="P91" s="2410"/>
      <c r="Q91" s="543"/>
    </row>
    <row r="92" spans="1:17" ht="15.75" thickTop="1">
      <c r="A92" s="516"/>
      <c r="B92" s="521" t="str">
        <f>B28</f>
        <v>楼层</v>
      </c>
      <c r="C92" s="537"/>
      <c r="D92" s="537"/>
      <c r="E92" s="537"/>
      <c r="F92" s="537"/>
      <c r="G92" s="537"/>
      <c r="H92" s="537"/>
      <c r="I92" s="537"/>
      <c r="J92" s="537"/>
      <c r="K92" s="537"/>
      <c r="L92" s="564"/>
      <c r="M92" s="565"/>
      <c r="N92" s="1259"/>
      <c r="O92" s="1259"/>
      <c r="P92" s="2409"/>
      <c r="Q92" s="485"/>
    </row>
    <row r="93" spans="1:17" ht="15.75" thickBot="1">
      <c r="A93" s="516"/>
      <c r="B93" s="526"/>
      <c r="C93" s="518"/>
      <c r="D93" s="518"/>
      <c r="E93" s="518"/>
      <c r="F93" s="518"/>
      <c r="G93" s="518"/>
      <c r="H93" s="518"/>
      <c r="I93" s="518"/>
      <c r="J93" s="518"/>
      <c r="K93" s="518"/>
      <c r="L93" s="518"/>
      <c r="M93" s="519"/>
      <c r="N93" s="1260"/>
      <c r="O93" s="1260"/>
      <c r="P93" s="2409"/>
      <c r="Q93" s="485"/>
    </row>
    <row r="94" spans="1:17" ht="15.75" thickTop="1">
      <c r="A94" s="516"/>
      <c r="B94" s="521">
        <f>B29</f>
        <v>111</v>
      </c>
      <c r="C94" s="537"/>
      <c r="D94" s="537"/>
      <c r="E94" s="537"/>
      <c r="F94" s="537"/>
      <c r="G94" s="567"/>
      <c r="H94" s="567"/>
      <c r="I94" s="567"/>
      <c r="J94" s="567"/>
      <c r="K94" s="568"/>
      <c r="L94" s="569"/>
      <c r="M94" s="570"/>
      <c r="N94" s="1259"/>
      <c r="O94" s="1259"/>
      <c r="P94" s="2409"/>
      <c r="Q94" s="485"/>
    </row>
    <row r="95" spans="1:17" ht="15.75" thickBot="1">
      <c r="A95" s="516"/>
      <c r="B95" s="526"/>
      <c r="C95" s="544"/>
      <c r="D95" s="518"/>
      <c r="E95" s="518"/>
      <c r="F95" s="518"/>
      <c r="G95" s="518"/>
      <c r="H95" s="518"/>
      <c r="I95" s="518"/>
      <c r="J95" s="518"/>
      <c r="K95" s="518"/>
      <c r="L95" s="518"/>
      <c r="M95" s="519"/>
      <c r="N95" s="1260"/>
      <c r="O95" s="1260"/>
      <c r="P95" s="2409"/>
      <c r="Q95" s="485"/>
    </row>
    <row r="96" spans="1:17" ht="15.75" thickTop="1">
      <c r="A96" s="516"/>
      <c r="B96" s="521">
        <f>B30</f>
        <v>111</v>
      </c>
      <c r="C96" s="537"/>
      <c r="D96" s="537"/>
      <c r="E96" s="537"/>
      <c r="F96" s="537"/>
      <c r="G96" s="567"/>
      <c r="H96" s="567"/>
      <c r="I96" s="567"/>
      <c r="J96" s="567"/>
      <c r="K96" s="568"/>
      <c r="L96" s="569"/>
      <c r="M96" s="570"/>
      <c r="N96" s="1259"/>
      <c r="O96" s="1259"/>
      <c r="P96" s="2409"/>
      <c r="Q96" s="485"/>
    </row>
    <row r="97" spans="1:17" ht="15.75" thickBot="1">
      <c r="A97" s="516"/>
      <c r="B97" s="526"/>
      <c r="C97" s="544"/>
      <c r="D97" s="518"/>
      <c r="E97" s="518"/>
      <c r="F97" s="518"/>
      <c r="G97" s="518"/>
      <c r="H97" s="518"/>
      <c r="I97" s="518"/>
      <c r="J97" s="518"/>
      <c r="K97" s="518"/>
      <c r="L97" s="518"/>
      <c r="M97" s="519"/>
      <c r="N97" s="1260"/>
      <c r="O97" s="1260"/>
      <c r="P97" s="2409"/>
      <c r="Q97" s="485"/>
    </row>
    <row r="98" spans="1:17" ht="15.75" thickTop="1">
      <c r="A98" s="516"/>
      <c r="B98" s="529">
        <f>B31</f>
        <v>111</v>
      </c>
      <c r="C98" s="537"/>
      <c r="D98" s="537"/>
      <c r="E98" s="537"/>
      <c r="F98" s="537"/>
      <c r="G98" s="571"/>
      <c r="H98" s="571"/>
      <c r="I98" s="571"/>
      <c r="J98" s="571"/>
      <c r="K98" s="572"/>
      <c r="L98" s="573"/>
      <c r="M98" s="574"/>
      <c r="N98" s="1259"/>
      <c r="O98" s="1259"/>
      <c r="P98" s="2409"/>
      <c r="Q98" s="485"/>
    </row>
    <row r="99" spans="1:17" ht="15.75" thickBot="1">
      <c r="A99" s="2415"/>
      <c r="B99" s="553"/>
      <c r="C99" s="554"/>
      <c r="D99" s="554"/>
      <c r="E99" s="554"/>
      <c r="F99" s="554"/>
      <c r="G99" s="575"/>
      <c r="H99" s="575"/>
      <c r="I99" s="575"/>
      <c r="J99" s="575"/>
      <c r="K99" s="575"/>
      <c r="L99" s="575"/>
      <c r="M99" s="576"/>
      <c r="N99" s="1260"/>
      <c r="O99" s="1260"/>
      <c r="P99" s="2409"/>
      <c r="Q99" s="485"/>
    </row>
    <row r="100" spans="1:17">
      <c r="A100" s="508" t="s">
        <v>2353</v>
      </c>
      <c r="B100" s="509" t="s">
        <v>2457</v>
      </c>
      <c r="C100" s="511"/>
      <c r="D100" s="511"/>
      <c r="E100" s="511"/>
      <c r="F100" s="511"/>
      <c r="G100" s="511"/>
      <c r="H100" s="511"/>
      <c r="I100" s="511"/>
      <c r="J100" s="511"/>
      <c r="K100" s="512"/>
      <c r="L100" s="513"/>
      <c r="M100" s="514"/>
      <c r="N100" s="1259"/>
      <c r="O100" s="1259"/>
      <c r="P100" s="240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09"/>
      <c r="Q101" s="485"/>
    </row>
    <row r="102" spans="1:17" ht="15.75" thickTop="1">
      <c r="A102" s="516"/>
      <c r="B102" s="521" t="s">
        <v>2403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8"/>
      <c r="O102" s="1258"/>
      <c r="P102" s="2409"/>
      <c r="Q102" s="485"/>
    </row>
    <row r="103" spans="1:17" s="452" customFormat="1">
      <c r="A103" s="577"/>
      <c r="B103" s="578"/>
      <c r="C103" s="579"/>
      <c r="D103" s="579"/>
      <c r="E103" s="579"/>
      <c r="F103" s="579"/>
      <c r="G103" s="579"/>
      <c r="H103" s="579"/>
      <c r="I103" s="579"/>
      <c r="J103" s="580"/>
      <c r="K103" s="580"/>
      <c r="L103" s="581"/>
      <c r="M103" s="582"/>
      <c r="N103" s="1261"/>
      <c r="O103" s="1261"/>
      <c r="P103" s="2410"/>
      <c r="Q103" s="543"/>
    </row>
    <row r="104" spans="1:17" s="452" customFormat="1" ht="15.75" thickBot="1">
      <c r="A104" s="536"/>
      <c r="B104" s="526"/>
      <c r="C104" s="544"/>
      <c r="D104" s="518"/>
      <c r="E104" s="518"/>
      <c r="F104" s="518"/>
      <c r="G104" s="518"/>
      <c r="H104" s="518"/>
      <c r="I104" s="518"/>
      <c r="J104" s="518"/>
      <c r="K104" s="518"/>
      <c r="L104" s="518"/>
      <c r="M104" s="519"/>
      <c r="N104" s="1260"/>
      <c r="O104" s="1260"/>
      <c r="P104" s="2410"/>
      <c r="Q104" s="543"/>
    </row>
    <row r="105" spans="1:17" ht="15" thickTop="1">
      <c r="A105" s="583"/>
      <c r="B105" s="521" t="s">
        <v>2404</v>
      </c>
      <c r="C105" s="537"/>
      <c r="D105" s="537"/>
      <c r="E105" s="567"/>
      <c r="F105" s="567"/>
      <c r="G105" s="567"/>
      <c r="H105" s="567"/>
      <c r="I105" s="567"/>
      <c r="J105" s="567"/>
      <c r="K105" s="568"/>
      <c r="L105" s="569"/>
      <c r="M105" s="570"/>
      <c r="N105" s="1259"/>
      <c r="O105" s="1259"/>
      <c r="P105" s="240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09"/>
      <c r="Q106" s="485"/>
    </row>
    <row r="107" spans="1:17" ht="15" thickTop="1">
      <c r="A107" s="583"/>
      <c r="B107" s="521" t="s">
        <v>2406</v>
      </c>
      <c r="C107" s="537"/>
      <c r="D107" s="537"/>
      <c r="E107" s="537"/>
      <c r="F107" s="567"/>
      <c r="G107" s="567"/>
      <c r="H107" s="567"/>
      <c r="I107" s="567"/>
      <c r="J107" s="567"/>
      <c r="K107" s="568"/>
      <c r="L107" s="569"/>
      <c r="M107" s="570"/>
      <c r="N107" s="1259"/>
      <c r="O107" s="1259"/>
      <c r="P107" s="240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09"/>
      <c r="Q108" s="485"/>
    </row>
    <row r="109" spans="1:17" ht="15" thickTop="1">
      <c r="A109" s="583"/>
      <c r="B109" s="521" t="s">
        <v>2407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09"/>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0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0"/>
      <c r="O111" s="1260"/>
      <c r="P111" s="2409"/>
      <c r="Q111" s="485"/>
    </row>
    <row r="112" spans="1:17" s="452" customFormat="1" ht="15" thickTop="1">
      <c r="A112" s="577"/>
      <c r="B112" s="521" t="s">
        <v>2409</v>
      </c>
      <c r="C112" s="537"/>
      <c r="D112" s="537"/>
      <c r="E112" s="537"/>
      <c r="F112" s="537"/>
      <c r="G112" s="537"/>
      <c r="H112" s="567"/>
      <c r="I112" s="567"/>
      <c r="J112" s="567"/>
      <c r="K112" s="568"/>
      <c r="L112" s="569"/>
      <c r="M112" s="570"/>
      <c r="N112" s="1261"/>
      <c r="O112" s="1261"/>
      <c r="P112" s="241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1"/>
      <c r="O113" s="1261"/>
      <c r="P113" s="2410"/>
      <c r="Q113" s="543"/>
    </row>
    <row r="114" spans="1:17" ht="15" thickTop="1">
      <c r="A114" s="583"/>
      <c r="B114" s="521" t="s">
        <v>2458</v>
      </c>
      <c r="C114" s="537"/>
      <c r="D114" s="537"/>
      <c r="E114" s="567"/>
      <c r="F114" s="567"/>
      <c r="G114" s="567"/>
      <c r="H114" s="567"/>
      <c r="I114" s="567"/>
      <c r="J114" s="567"/>
      <c r="K114" s="568"/>
      <c r="L114" s="569"/>
      <c r="M114" s="570"/>
      <c r="N114" s="1259"/>
      <c r="O114" s="1259"/>
      <c r="P114" s="240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09"/>
      <c r="Q115" s="485"/>
    </row>
    <row r="116" spans="1:17" ht="15" thickTop="1">
      <c r="A116" s="583"/>
      <c r="B116" s="521" t="s">
        <v>2459</v>
      </c>
      <c r="C116" s="537"/>
      <c r="D116" s="537"/>
      <c r="E116" s="537"/>
      <c r="F116" s="537"/>
      <c r="G116" s="537"/>
      <c r="H116" s="567"/>
      <c r="I116" s="567"/>
      <c r="J116" s="567"/>
      <c r="K116" s="568"/>
      <c r="L116" s="569"/>
      <c r="M116" s="570"/>
      <c r="N116" s="1259"/>
      <c r="O116" s="1259"/>
      <c r="P116" s="240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09"/>
      <c r="Q117" s="485"/>
    </row>
    <row r="118" spans="1:17" ht="15" thickTop="1">
      <c r="A118" s="583"/>
      <c r="B118" s="521" t="s">
        <v>2460</v>
      </c>
      <c r="C118" s="611"/>
      <c r="D118" s="611"/>
      <c r="E118" s="611"/>
      <c r="F118" s="611"/>
      <c r="G118" s="611"/>
      <c r="H118" s="538"/>
      <c r="I118" s="538"/>
      <c r="J118" s="538"/>
      <c r="K118" s="538"/>
      <c r="L118" s="539"/>
      <c r="M118" s="540"/>
      <c r="N118" s="1259"/>
      <c r="O118" s="1259"/>
      <c r="P118" s="2409"/>
      <c r="Q118" s="485"/>
    </row>
    <row r="119" spans="1:17" ht="15.75" thickBot="1">
      <c r="A119" s="516"/>
      <c r="B119" s="526"/>
      <c r="C119" s="544"/>
      <c r="D119" s="518"/>
      <c r="E119" s="518"/>
      <c r="F119" s="518"/>
      <c r="G119" s="518"/>
      <c r="H119" s="518"/>
      <c r="I119" s="518"/>
      <c r="J119" s="518"/>
      <c r="K119" s="518"/>
      <c r="L119" s="518"/>
      <c r="M119" s="519"/>
      <c r="N119" s="1260"/>
      <c r="O119" s="1260"/>
      <c r="P119" s="2409"/>
      <c r="Q119" s="485"/>
    </row>
    <row r="120" spans="1:17" s="452" customFormat="1" ht="15" thickTop="1">
      <c r="A120" s="577"/>
      <c r="B120" s="521" t="s">
        <v>2461</v>
      </c>
      <c r="C120" s="567"/>
      <c r="D120" s="567"/>
      <c r="E120" s="567"/>
      <c r="F120" s="567"/>
      <c r="G120" s="538"/>
      <c r="H120" s="538"/>
      <c r="I120" s="538"/>
      <c r="J120" s="538"/>
      <c r="K120" s="538"/>
      <c r="L120" s="539"/>
      <c r="M120" s="540"/>
      <c r="N120" s="1261"/>
      <c r="O120" s="1261"/>
      <c r="P120" s="241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0"/>
      <c r="Q121" s="543"/>
    </row>
    <row r="122" spans="1:17" ht="15" thickTop="1">
      <c r="A122" s="583"/>
      <c r="B122" s="521" t="s">
        <v>2411</v>
      </c>
      <c r="C122" s="537"/>
      <c r="D122" s="537"/>
      <c r="E122" s="537"/>
      <c r="F122" s="567"/>
      <c r="G122" s="567"/>
      <c r="H122" s="567"/>
      <c r="I122" s="567"/>
      <c r="J122" s="567"/>
      <c r="K122" s="568"/>
      <c r="L122" s="569"/>
      <c r="M122" s="570"/>
      <c r="N122" s="1259"/>
      <c r="O122" s="1259"/>
      <c r="P122" s="240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09"/>
      <c r="Q123" s="485"/>
    </row>
    <row r="124" spans="1:17" ht="15" thickTop="1">
      <c r="A124" s="583"/>
      <c r="B124" s="521" t="s">
        <v>2412</v>
      </c>
      <c r="C124" s="562" t="s">
        <v>2387</v>
      </c>
      <c r="D124" s="562" t="s">
        <v>2388</v>
      </c>
      <c r="E124" s="562" t="s">
        <v>2389</v>
      </c>
      <c r="F124" s="562" t="s">
        <v>2390</v>
      </c>
      <c r="G124" s="562" t="s">
        <v>2391</v>
      </c>
      <c r="H124" s="522"/>
      <c r="I124" s="522"/>
      <c r="J124" s="522"/>
      <c r="K124" s="523"/>
      <c r="L124" s="524"/>
      <c r="M124" s="525"/>
      <c r="N124" s="1259"/>
      <c r="O124" s="1259"/>
      <c r="P124" s="241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09"/>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0"/>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0"/>
      <c r="Q127" s="543"/>
    </row>
    <row r="128" spans="1:17" ht="15" thickTop="1">
      <c r="A128" s="583"/>
      <c r="B128" s="521">
        <f>B45</f>
        <v>111</v>
      </c>
      <c r="C128" s="537"/>
      <c r="D128" s="537"/>
      <c r="E128" s="537"/>
      <c r="F128" s="537"/>
      <c r="G128" s="567"/>
      <c r="H128" s="567"/>
      <c r="I128" s="567"/>
      <c r="J128" s="567"/>
      <c r="K128" s="568"/>
      <c r="L128" s="569"/>
      <c r="M128" s="570"/>
      <c r="N128" s="1259"/>
      <c r="O128" s="1259"/>
      <c r="P128" s="2409"/>
      <c r="Q128" s="485"/>
    </row>
    <row r="129" spans="1:17" ht="15.75" thickBot="1">
      <c r="A129" s="516"/>
      <c r="B129" s="526"/>
      <c r="C129" s="544"/>
      <c r="D129" s="518"/>
      <c r="E129" s="518"/>
      <c r="F129" s="518"/>
      <c r="G129" s="518"/>
      <c r="H129" s="518"/>
      <c r="I129" s="518"/>
      <c r="J129" s="518"/>
      <c r="K129" s="518"/>
      <c r="L129" s="518"/>
      <c r="M129" s="519"/>
      <c r="N129" s="1260"/>
      <c r="O129" s="1260"/>
      <c r="P129" s="2409"/>
      <c r="Q129" s="485"/>
    </row>
    <row r="130" spans="1:17" ht="15" thickTop="1">
      <c r="A130" s="583"/>
      <c r="B130" s="529">
        <f>B46</f>
        <v>111</v>
      </c>
      <c r="C130" s="537"/>
      <c r="D130" s="537"/>
      <c r="E130" s="537"/>
      <c r="F130" s="537"/>
      <c r="G130" s="571"/>
      <c r="H130" s="571"/>
      <c r="I130" s="571"/>
      <c r="J130" s="571"/>
      <c r="K130" s="504"/>
      <c r="L130" s="505"/>
      <c r="M130" s="574"/>
      <c r="N130" s="1259"/>
      <c r="O130" s="1259"/>
      <c r="P130" s="2409"/>
      <c r="Q130" s="485"/>
    </row>
    <row r="131" spans="1:17" ht="15.75" thickBot="1">
      <c r="A131" s="2415"/>
      <c r="B131" s="553"/>
      <c r="C131" s="554"/>
      <c r="D131" s="554"/>
      <c r="E131" s="554"/>
      <c r="F131" s="554"/>
      <c r="G131" s="575"/>
      <c r="H131" s="575"/>
      <c r="I131" s="575"/>
      <c r="J131" s="575"/>
      <c r="K131" s="575"/>
      <c r="L131" s="575"/>
      <c r="M131" s="576"/>
      <c r="N131" s="1260"/>
      <c r="O131" s="1260"/>
      <c r="P131" s="240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9" activeCellId="2" sqref="I3 B39 B3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2321</v>
      </c>
      <c r="B1" s="1726" t="s">
        <v>2462</v>
      </c>
      <c r="C1" s="1718"/>
      <c r="D1" s="1731"/>
      <c r="E1" s="2366"/>
      <c r="F1" s="1732" t="s">
        <v>2323</v>
      </c>
      <c r="G1" s="1731"/>
      <c r="H1" s="1731"/>
      <c r="I1" s="1731"/>
      <c r="J1" s="1731"/>
      <c r="K1" s="1733"/>
      <c r="L1" s="1725"/>
      <c r="M1" s="1726"/>
      <c r="N1" s="1726"/>
      <c r="O1" s="1726"/>
      <c r="P1" s="1726"/>
      <c r="Q1" s="1726"/>
      <c r="R1" s="1726"/>
      <c r="S1" s="1726"/>
      <c r="T1" s="1726"/>
      <c r="U1" s="1726"/>
      <c r="V1" s="1726"/>
      <c r="W1" s="1726"/>
      <c r="X1" s="1726"/>
      <c r="Y1" s="1726"/>
      <c r="Z1" s="1726"/>
      <c r="AA1" s="1726"/>
      <c r="AB1" s="2446"/>
      <c r="AC1" s="1728"/>
    </row>
    <row r="2" spans="1:29" s="377" customFormat="1" ht="28.5" customHeight="1" thickTop="1">
      <c r="A2" s="1719" t="s">
        <v>1998</v>
      </c>
      <c r="B2" s="1717" t="e">
        <f ca="1">IF(D2="——",IF(C2="元",ROUND(C50*D3,0),ROUND(C50*D3/10000,0)),IF(C2="元",ROUND(C50*D3,0),ROUND(C50*D3/10000,0))-E2)</f>
        <v>#DIV/0!</v>
      </c>
      <c r="C2" s="163" t="str">
        <f>'数据-取费表'!B3</f>
        <v>万元</v>
      </c>
      <c r="D2" s="2368"/>
      <c r="E2" s="1826" t="e">
        <f ca="1">SUMIF(INDIRECT("'"&amp;G2&amp;"'"&amp;"!A:A"),"承租人权益价值",INDIRECT("'"&amp;G2&amp;"'"&amp;"!c:c"))</f>
        <v>#REF!</v>
      </c>
      <c r="F2" s="2369" t="str">
        <f>C2</f>
        <v>万元</v>
      </c>
      <c r="G2" s="2370"/>
      <c r="H2" s="976"/>
      <c r="I2" s="976"/>
      <c r="J2" s="976"/>
      <c r="K2" s="976"/>
      <c r="L2" s="1233"/>
      <c r="M2" s="1234"/>
      <c r="N2" s="1234"/>
      <c r="O2" s="1234"/>
      <c r="P2" s="746"/>
      <c r="Q2" s="746"/>
      <c r="R2" s="746"/>
      <c r="S2" s="746"/>
      <c r="T2" s="746"/>
      <c r="U2" s="746"/>
      <c r="V2" s="746"/>
      <c r="W2" s="746"/>
      <c r="X2" s="746"/>
      <c r="Y2" s="746"/>
      <c r="Z2" s="746"/>
      <c r="AA2" s="746"/>
      <c r="AB2" s="2447"/>
      <c r="AC2" s="760"/>
    </row>
    <row r="3" spans="1:29" s="377" customFormat="1" ht="28.5" customHeight="1" thickBot="1">
      <c r="A3" s="167" t="s">
        <v>1999</v>
      </c>
      <c r="B3" s="593" t="e">
        <f ca="1">ROUND(IF(D2="——",C50,IF(C2="万元",B2*10000/D3,B2/D3)),0)</f>
        <v>#DIV/0!</v>
      </c>
      <c r="C3" s="379" t="s">
        <v>2324</v>
      </c>
      <c r="D3" s="378">
        <f>IF(C1="仅计算典型户型",'数据-取费表'!E5,'数据-取费表'!B5)</f>
        <v>0</v>
      </c>
      <c r="E3" s="2439"/>
      <c r="F3" s="977"/>
      <c r="G3" s="976"/>
      <c r="H3" s="976"/>
      <c r="I3" s="976"/>
      <c r="J3" s="976"/>
      <c r="K3" s="978"/>
      <c r="L3" s="1233"/>
      <c r="M3" s="1234"/>
      <c r="N3" s="1234"/>
      <c r="O3" s="1234"/>
      <c r="P3" s="736"/>
      <c r="Q3" s="736"/>
      <c r="R3" s="736"/>
      <c r="S3" s="736"/>
      <c r="T3" s="736"/>
      <c r="U3" s="736"/>
      <c r="V3" s="736"/>
      <c r="W3" s="736"/>
      <c r="X3" s="746"/>
      <c r="Y3" s="736"/>
      <c r="Z3" s="736"/>
      <c r="AA3" s="736"/>
      <c r="AB3" s="2448"/>
      <c r="AC3" s="760"/>
    </row>
    <row r="4" spans="1:29" ht="15">
      <c r="A4" s="380" t="s">
        <v>2325</v>
      </c>
      <c r="B4" s="381"/>
      <c r="C4" s="3045" t="s">
        <v>2326</v>
      </c>
      <c r="D4" s="3046"/>
      <c r="E4" s="3047" t="s">
        <v>2327</v>
      </c>
      <c r="F4" s="3048"/>
      <c r="G4" s="3045" t="s">
        <v>2328</v>
      </c>
      <c r="H4" s="3046"/>
      <c r="I4" s="3045" t="s">
        <v>2329</v>
      </c>
      <c r="J4" s="3046"/>
      <c r="K4" s="594" t="s">
        <v>2330</v>
      </c>
      <c r="L4" s="1235"/>
      <c r="M4" s="1236"/>
      <c r="N4" s="1236"/>
      <c r="O4" s="1236"/>
      <c r="P4" s="3091" t="s">
        <v>2331</v>
      </c>
      <c r="Q4" s="3050"/>
      <c r="R4" s="3055" t="s">
        <v>2327</v>
      </c>
      <c r="S4" s="3056"/>
      <c r="T4" s="3055" t="s">
        <v>2328</v>
      </c>
      <c r="U4" s="3056"/>
      <c r="V4" s="3061" t="s">
        <v>2329</v>
      </c>
      <c r="W4" s="3061"/>
      <c r="X4" s="1883"/>
      <c r="Y4" s="3055" t="s">
        <v>2331</v>
      </c>
      <c r="Z4" s="3056"/>
      <c r="AA4" s="3042" t="s">
        <v>2327</v>
      </c>
      <c r="AB4" s="3042" t="s">
        <v>2328</v>
      </c>
      <c r="AC4" s="3042" t="s">
        <v>2329</v>
      </c>
    </row>
    <row r="5" spans="1:29" ht="15">
      <c r="A5" s="383"/>
      <c r="B5" s="384"/>
      <c r="C5" s="3064" t="s">
        <v>2332</v>
      </c>
      <c r="D5" s="3065"/>
      <c r="E5" s="3090" t="s">
        <v>2333</v>
      </c>
      <c r="F5" s="3063"/>
      <c r="G5" s="3064" t="s">
        <v>2334</v>
      </c>
      <c r="H5" s="3065"/>
      <c r="I5" s="3064" t="s">
        <v>2335</v>
      </c>
      <c r="J5" s="3065"/>
      <c r="K5" s="594"/>
      <c r="L5" s="1235"/>
      <c r="M5" s="1236"/>
      <c r="N5" s="1236"/>
      <c r="O5" s="1236"/>
      <c r="P5" s="3092"/>
      <c r="Q5" s="3052"/>
      <c r="R5" s="3057"/>
      <c r="S5" s="3058"/>
      <c r="T5" s="3057"/>
      <c r="U5" s="3058"/>
      <c r="V5" s="3061"/>
      <c r="W5" s="3061"/>
      <c r="X5" s="1883"/>
      <c r="Y5" s="3057"/>
      <c r="Z5" s="3058"/>
      <c r="AA5" s="3043"/>
      <c r="AB5" s="3043"/>
      <c r="AC5" s="3043"/>
    </row>
    <row r="6" spans="1:29" ht="15.75" thickBot="1">
      <c r="A6" s="385"/>
      <c r="B6" s="386"/>
      <c r="C6" s="3066" t="s">
        <v>2336</v>
      </c>
      <c r="D6" s="3067"/>
      <c r="E6" s="3068" t="s">
        <v>2336</v>
      </c>
      <c r="F6" s="3069"/>
      <c r="G6" s="3066" t="s">
        <v>2336</v>
      </c>
      <c r="H6" s="3067"/>
      <c r="I6" s="3066" t="s">
        <v>2336</v>
      </c>
      <c r="J6" s="3067"/>
      <c r="K6" s="594" t="s">
        <v>2337</v>
      </c>
      <c r="L6" s="1235"/>
      <c r="M6" s="1236"/>
      <c r="N6" s="1236"/>
      <c r="O6" s="1236"/>
      <c r="P6" s="3093"/>
      <c r="Q6" s="3054"/>
      <c r="R6" s="3057"/>
      <c r="S6" s="3058"/>
      <c r="T6" s="3059"/>
      <c r="U6" s="3060"/>
      <c r="V6" s="3061"/>
      <c r="W6" s="3061"/>
      <c r="X6" s="1883"/>
      <c r="Y6" s="3059"/>
      <c r="Z6" s="3060"/>
      <c r="AA6" s="3044"/>
      <c r="AB6" s="3044"/>
      <c r="AC6" s="3044"/>
    </row>
    <row r="7" spans="1:29" s="35" customFormat="1" ht="15.75" thickBot="1">
      <c r="A7" s="387" t="s">
        <v>2338</v>
      </c>
      <c r="B7" s="388"/>
      <c r="C7" s="389">
        <f>'数据-取费表'!B2</f>
        <v>43999</v>
      </c>
      <c r="D7" s="390">
        <v>100</v>
      </c>
      <c r="E7" s="391"/>
      <c r="F7" s="392">
        <f>SUMIF(59:59,YEAR(E7)&amp;"-"&amp;MONTH(E7),60:60)</f>
        <v>0</v>
      </c>
      <c r="G7" s="2449"/>
      <c r="H7" s="390">
        <f>SUMIF(59:59,YEAR(G7)&amp;"-"&amp;MONTH(G7),60:60)</f>
        <v>0</v>
      </c>
      <c r="I7" s="2449"/>
      <c r="J7" s="390">
        <f>SUMIF(59:59,YEAR(I7)&amp;"-"&amp;MONTH(I7),60:60)</f>
        <v>0</v>
      </c>
      <c r="K7" s="595"/>
      <c r="L7" s="1237"/>
      <c r="M7" s="1238"/>
      <c r="N7" s="1238"/>
      <c r="O7" s="1238"/>
      <c r="P7" s="3079" t="s">
        <v>2339</v>
      </c>
      <c r="Q7" s="3079"/>
      <c r="R7" s="748" t="s">
        <v>25</v>
      </c>
      <c r="S7" s="749">
        <f t="shared" ref="S7:S15" si="0">F7</f>
        <v>0</v>
      </c>
      <c r="T7" s="748" t="s">
        <v>25</v>
      </c>
      <c r="U7" s="749">
        <f t="shared" ref="U7:U15" si="1">H7</f>
        <v>0</v>
      </c>
      <c r="V7" s="748" t="s">
        <v>25</v>
      </c>
      <c r="W7" s="749">
        <f t="shared" ref="W7:W15" si="2">J7</f>
        <v>0</v>
      </c>
      <c r="X7" s="750"/>
      <c r="Y7" s="3077" t="s">
        <v>2339</v>
      </c>
      <c r="Z7" s="3078"/>
      <c r="AA7" s="751" t="e">
        <f>D7/F7</f>
        <v>#DIV/0!</v>
      </c>
      <c r="AB7" s="751" t="e">
        <f>D7/H7</f>
        <v>#DIV/0!</v>
      </c>
      <c r="AC7" s="751" t="e">
        <f>D7/J7</f>
        <v>#DIV/0!</v>
      </c>
    </row>
    <row r="8" spans="1:29" s="35" customFormat="1" ht="15.75" thickBot="1">
      <c r="A8" s="387" t="s">
        <v>2340</v>
      </c>
      <c r="B8" s="388"/>
      <c r="C8" s="394" t="s">
        <v>2341</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79" t="s">
        <v>2342</v>
      </c>
      <c r="Q8" s="3078"/>
      <c r="R8" s="748" t="s">
        <v>25</v>
      </c>
      <c r="S8" s="749">
        <f t="shared" si="0"/>
        <v>0</v>
      </c>
      <c r="T8" s="748" t="s">
        <v>25</v>
      </c>
      <c r="U8" s="749">
        <f t="shared" si="1"/>
        <v>0</v>
      </c>
      <c r="V8" s="748" t="s">
        <v>25</v>
      </c>
      <c r="W8" s="749">
        <f t="shared" si="2"/>
        <v>0</v>
      </c>
      <c r="X8" s="750"/>
      <c r="Y8" s="3077" t="s">
        <v>2342</v>
      </c>
      <c r="Z8" s="3078"/>
      <c r="AA8" s="751" t="e">
        <f t="shared" ref="AA8:AA47" si="3">D8/F8</f>
        <v>#DIV/0!</v>
      </c>
      <c r="AB8" s="751" t="e">
        <f t="shared" ref="AB8:AB47" si="4">D8/H8</f>
        <v>#DIV/0!</v>
      </c>
      <c r="AC8" s="751" t="e">
        <f t="shared" ref="AC8:AC47" si="5">D8/J8</f>
        <v>#DIV/0!</v>
      </c>
    </row>
    <row r="9" spans="1:29" s="35" customFormat="1">
      <c r="A9" s="395" t="s">
        <v>2343</v>
      </c>
      <c r="B9" s="28" t="s">
        <v>2344</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88" t="s">
        <v>2345</v>
      </c>
      <c r="Q9" s="1870"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29" s="407" customFormat="1" ht="27">
      <c r="A10" s="401"/>
      <c r="B10" s="402" t="s">
        <v>2347</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88"/>
      <c r="Q10" s="1870"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408"/>
      <c r="B11" s="402" t="s">
        <v>2348</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88"/>
      <c r="Q11" s="1870" t="str">
        <f t="shared" si="6"/>
        <v>容积率</v>
      </c>
      <c r="R11" s="748" t="s">
        <v>25</v>
      </c>
      <c r="S11" s="749" t="e">
        <f t="shared" si="0"/>
        <v>#N/A</v>
      </c>
      <c r="T11" s="748" t="s">
        <v>25</v>
      </c>
      <c r="U11" s="749" t="e">
        <f t="shared" si="1"/>
        <v>#N/A</v>
      </c>
      <c r="V11" s="748" t="s">
        <v>25</v>
      </c>
      <c r="W11" s="749" t="e">
        <f t="shared" si="2"/>
        <v>#N/A</v>
      </c>
      <c r="X11" s="750"/>
      <c r="Y11" s="2891"/>
      <c r="Z11" s="23" t="str">
        <f t="shared" si="7"/>
        <v>容积率</v>
      </c>
      <c r="AA11" s="751" t="e">
        <f t="shared" si="3"/>
        <v>#N/A</v>
      </c>
      <c r="AB11" s="751" t="e">
        <f t="shared" si="4"/>
        <v>#N/A</v>
      </c>
      <c r="AC11" s="751" t="e">
        <f t="shared" si="5"/>
        <v>#N/A</v>
      </c>
    </row>
    <row r="12" spans="1:29" s="35" customFormat="1" ht="15">
      <c r="A12" s="411"/>
      <c r="B12" s="2383">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88"/>
      <c r="Q12" s="1870">
        <f t="shared" si="6"/>
        <v>111</v>
      </c>
      <c r="R12" s="748" t="s">
        <v>25</v>
      </c>
      <c r="S12" s="749">
        <f t="shared" si="0"/>
        <v>100</v>
      </c>
      <c r="T12" s="748" t="s">
        <v>25</v>
      </c>
      <c r="U12" s="749">
        <f t="shared" si="1"/>
        <v>100</v>
      </c>
      <c r="V12" s="748" t="s">
        <v>25</v>
      </c>
      <c r="W12" s="749">
        <f t="shared" si="2"/>
        <v>100</v>
      </c>
      <c r="X12" s="750"/>
      <c r="Y12" s="2891"/>
      <c r="Z12" s="23">
        <f t="shared" si="7"/>
        <v>111</v>
      </c>
      <c r="AA12" s="751">
        <f>D12/F12</f>
        <v>1</v>
      </c>
      <c r="AB12" s="751">
        <f>D12/H12</f>
        <v>1</v>
      </c>
      <c r="AC12" s="751">
        <f>D12/J12</f>
        <v>1</v>
      </c>
    </row>
    <row r="13" spans="1:29" ht="15">
      <c r="A13" s="408"/>
      <c r="B13" s="2383">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88"/>
      <c r="Q13" s="1870">
        <f t="shared" si="6"/>
        <v>111</v>
      </c>
      <c r="R13" s="748" t="s">
        <v>25</v>
      </c>
      <c r="S13" s="749">
        <f t="shared" si="0"/>
        <v>100</v>
      </c>
      <c r="T13" s="748" t="s">
        <v>25</v>
      </c>
      <c r="U13" s="749">
        <f t="shared" si="1"/>
        <v>100</v>
      </c>
      <c r="V13" s="748" t="s">
        <v>25</v>
      </c>
      <c r="W13" s="749">
        <f t="shared" si="2"/>
        <v>100</v>
      </c>
      <c r="X13" s="750"/>
      <c r="Y13" s="2891"/>
      <c r="Z13" s="23">
        <f t="shared" si="7"/>
        <v>111</v>
      </c>
      <c r="AA13" s="751">
        <f t="shared" si="3"/>
        <v>1</v>
      </c>
      <c r="AB13" s="751">
        <f t="shared" si="4"/>
        <v>1</v>
      </c>
      <c r="AC13" s="751">
        <f t="shared" si="5"/>
        <v>1</v>
      </c>
    </row>
    <row r="14" spans="1:29" ht="15.75" thickBot="1">
      <c r="A14" s="416"/>
      <c r="B14" s="2385">
        <v>111</v>
      </c>
      <c r="C14" s="2386"/>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88"/>
      <c r="Q14" s="1870">
        <f t="shared" si="6"/>
        <v>111</v>
      </c>
      <c r="R14" s="748" t="s">
        <v>25</v>
      </c>
      <c r="S14" s="749">
        <f t="shared" si="0"/>
        <v>100</v>
      </c>
      <c r="T14" s="748" t="s">
        <v>25</v>
      </c>
      <c r="U14" s="749">
        <f t="shared" si="1"/>
        <v>100</v>
      </c>
      <c r="V14" s="748" t="s">
        <v>25</v>
      </c>
      <c r="W14" s="749">
        <f t="shared" si="2"/>
        <v>100</v>
      </c>
      <c r="X14" s="750"/>
      <c r="Y14" s="2891"/>
      <c r="Z14" s="23">
        <f t="shared" si="7"/>
        <v>111</v>
      </c>
      <c r="AA14" s="751">
        <f t="shared" si="3"/>
        <v>1</v>
      </c>
      <c r="AB14" s="751">
        <f t="shared" si="4"/>
        <v>1</v>
      </c>
      <c r="AC14" s="751">
        <f t="shared" si="5"/>
        <v>1</v>
      </c>
    </row>
    <row r="15" spans="1:29" ht="71.25">
      <c r="A15" s="419" t="s">
        <v>2349</v>
      </c>
      <c r="B15" s="613" t="s">
        <v>2463</v>
      </c>
      <c r="C15" s="245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50" t="s">
        <v>2350</v>
      </c>
      <c r="Q15" s="1882" t="str">
        <f t="shared" si="6"/>
        <v>办公集聚程度</v>
      </c>
      <c r="R15" s="752" t="s">
        <v>25</v>
      </c>
      <c r="S15" s="753">
        <f t="shared" si="0"/>
        <v>100</v>
      </c>
      <c r="T15" s="752" t="s">
        <v>25</v>
      </c>
      <c r="U15" s="753">
        <f t="shared" si="1"/>
        <v>100</v>
      </c>
      <c r="V15" s="752" t="s">
        <v>25</v>
      </c>
      <c r="W15" s="753">
        <f t="shared" si="2"/>
        <v>100</v>
      </c>
      <c r="X15" s="1883"/>
      <c r="Y15" s="3070" t="s">
        <v>2350</v>
      </c>
      <c r="Z15" s="1885" t="str">
        <f t="shared" si="7"/>
        <v>办公集聚程度</v>
      </c>
      <c r="AA15" s="1886">
        <f t="shared" si="3"/>
        <v>1</v>
      </c>
      <c r="AB15" s="1886">
        <f t="shared" si="4"/>
        <v>1</v>
      </c>
      <c r="AC15" s="1886">
        <f t="shared" si="5"/>
        <v>1</v>
      </c>
    </row>
    <row r="16" spans="1:29" ht="15">
      <c r="A16" s="408"/>
      <c r="B16" s="614"/>
      <c r="C16" s="1464"/>
      <c r="D16" s="427"/>
      <c r="E16" s="426"/>
      <c r="F16" s="427"/>
      <c r="G16" s="1464"/>
      <c r="H16" s="430"/>
      <c r="I16" s="426"/>
      <c r="J16" s="427"/>
      <c r="K16" s="599"/>
      <c r="L16" s="1245"/>
      <c r="M16" s="1236"/>
      <c r="N16" s="1236"/>
      <c r="O16" s="1236"/>
      <c r="P16" s="3052"/>
      <c r="Q16" s="1882"/>
      <c r="R16" s="752"/>
      <c r="S16" s="753"/>
      <c r="T16" s="752"/>
      <c r="U16" s="753"/>
      <c r="V16" s="752"/>
      <c r="W16" s="753"/>
      <c r="X16" s="1883"/>
      <c r="Y16" s="3071"/>
      <c r="Z16" s="1885"/>
      <c r="AA16" s="1886">
        <v>1</v>
      </c>
      <c r="AB16" s="1886">
        <v>1</v>
      </c>
      <c r="AC16" s="1886">
        <v>1</v>
      </c>
    </row>
    <row r="17" spans="1:29" ht="85.5">
      <c r="A17" s="408"/>
      <c r="B17" s="615" t="s">
        <v>1740</v>
      </c>
      <c r="C17" s="2451"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52"/>
      <c r="Q17" s="1882" t="str">
        <f>B17</f>
        <v>交通便捷度</v>
      </c>
      <c r="R17" s="752" t="s">
        <v>25</v>
      </c>
      <c r="S17" s="753">
        <f>F17</f>
        <v>100</v>
      </c>
      <c r="T17" s="752" t="s">
        <v>25</v>
      </c>
      <c r="U17" s="753">
        <f>H17</f>
        <v>100</v>
      </c>
      <c r="V17" s="752" t="s">
        <v>25</v>
      </c>
      <c r="W17" s="753">
        <f>J17</f>
        <v>100</v>
      </c>
      <c r="X17" s="1883"/>
      <c r="Y17" s="3071"/>
      <c r="Z17" s="1885" t="str">
        <f>Q17</f>
        <v>交通便捷度</v>
      </c>
      <c r="AA17" s="1886">
        <f t="shared" si="3"/>
        <v>1</v>
      </c>
      <c r="AB17" s="1886">
        <f t="shared" si="4"/>
        <v>1</v>
      </c>
      <c r="AC17" s="1886">
        <f t="shared" si="5"/>
        <v>1</v>
      </c>
    </row>
    <row r="18" spans="1:29" ht="15">
      <c r="A18" s="408"/>
      <c r="B18" s="616"/>
      <c r="C18" s="2452"/>
      <c r="D18" s="430"/>
      <c r="E18" s="2391"/>
      <c r="F18" s="430"/>
      <c r="G18" s="1460"/>
      <c r="H18" s="427"/>
      <c r="I18" s="1460"/>
      <c r="J18" s="427"/>
      <c r="K18" s="599"/>
      <c r="L18" s="1245"/>
      <c r="M18" s="1236"/>
      <c r="N18" s="1236"/>
      <c r="O18" s="1236"/>
      <c r="P18" s="3052"/>
      <c r="Q18" s="1882"/>
      <c r="R18" s="752"/>
      <c r="S18" s="753"/>
      <c r="T18" s="752"/>
      <c r="U18" s="753"/>
      <c r="V18" s="752"/>
      <c r="W18" s="753"/>
      <c r="X18" s="1883"/>
      <c r="Y18" s="3071"/>
      <c r="Z18" s="1885"/>
      <c r="AA18" s="1886">
        <v>1</v>
      </c>
      <c r="AB18" s="1886">
        <v>1</v>
      </c>
      <c r="AC18" s="1886">
        <v>1</v>
      </c>
    </row>
    <row r="19" spans="1:29" ht="42.75">
      <c r="A19" s="408"/>
      <c r="B19" s="615" t="s">
        <v>2464</v>
      </c>
      <c r="C19" s="2451"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52"/>
      <c r="Q19" s="1882" t="str">
        <f>B19</f>
        <v>公共配套设施</v>
      </c>
      <c r="R19" s="752" t="s">
        <v>25</v>
      </c>
      <c r="S19" s="753">
        <f>F19</f>
        <v>100</v>
      </c>
      <c r="T19" s="752" t="s">
        <v>25</v>
      </c>
      <c r="U19" s="753">
        <f>H19</f>
        <v>100</v>
      </c>
      <c r="V19" s="752" t="s">
        <v>25</v>
      </c>
      <c r="W19" s="753">
        <f>J19</f>
        <v>100</v>
      </c>
      <c r="X19" s="1883"/>
      <c r="Y19" s="3071"/>
      <c r="Z19" s="1885" t="str">
        <f>Q19</f>
        <v>公共配套设施</v>
      </c>
      <c r="AA19" s="1886">
        <f t="shared" si="3"/>
        <v>1</v>
      </c>
      <c r="AB19" s="1886">
        <f t="shared" si="4"/>
        <v>1</v>
      </c>
      <c r="AC19" s="1886">
        <f t="shared" si="5"/>
        <v>1</v>
      </c>
    </row>
    <row r="20" spans="1:29" ht="15">
      <c r="A20" s="408"/>
      <c r="B20" s="616"/>
      <c r="C20" s="1464"/>
      <c r="D20" s="427"/>
      <c r="E20" s="2388"/>
      <c r="F20" s="427"/>
      <c r="G20" s="428"/>
      <c r="H20" s="427"/>
      <c r="I20" s="428"/>
      <c r="J20" s="427"/>
      <c r="K20" s="599"/>
      <c r="L20" s="1245"/>
      <c r="M20" s="1236"/>
      <c r="N20" s="1236"/>
      <c r="O20" s="1236"/>
      <c r="P20" s="3052"/>
      <c r="Q20" s="1882"/>
      <c r="R20" s="752"/>
      <c r="S20" s="753"/>
      <c r="T20" s="752"/>
      <c r="U20" s="753"/>
      <c r="V20" s="752"/>
      <c r="W20" s="753"/>
      <c r="X20" s="1883"/>
      <c r="Y20" s="3071"/>
      <c r="Z20" s="1885"/>
      <c r="AA20" s="1886">
        <v>1</v>
      </c>
      <c r="AB20" s="1886">
        <v>1</v>
      </c>
      <c r="AC20" s="1886">
        <v>1</v>
      </c>
    </row>
    <row r="21" spans="1:29" ht="28.5">
      <c r="A21" s="408"/>
      <c r="B21" s="617" t="s">
        <v>2465</v>
      </c>
      <c r="C21" s="2451"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52"/>
      <c r="Q21" s="1882" t="str">
        <f>B21</f>
        <v>基础设施水平</v>
      </c>
      <c r="R21" s="752" t="s">
        <v>25</v>
      </c>
      <c r="S21" s="753">
        <f>F21</f>
        <v>100</v>
      </c>
      <c r="T21" s="752" t="s">
        <v>25</v>
      </c>
      <c r="U21" s="753">
        <f>H21</f>
        <v>100</v>
      </c>
      <c r="V21" s="752" t="s">
        <v>25</v>
      </c>
      <c r="W21" s="753">
        <f>J21</f>
        <v>100</v>
      </c>
      <c r="X21" s="1883"/>
      <c r="Y21" s="3071"/>
      <c r="Z21" s="1885" t="str">
        <f>Q21</f>
        <v>基础设施水平</v>
      </c>
      <c r="AA21" s="1886">
        <f t="shared" ref="AA21" si="8">D21/F21</f>
        <v>1</v>
      </c>
      <c r="AB21" s="1886">
        <f t="shared" ref="AB21" si="9">D21/H21</f>
        <v>1</v>
      </c>
      <c r="AC21" s="1886">
        <f t="shared" ref="AC21" si="10">D21/J21</f>
        <v>1</v>
      </c>
    </row>
    <row r="22" spans="1:29" ht="15">
      <c r="A22" s="408"/>
      <c r="B22" s="617"/>
      <c r="C22" s="2452"/>
      <c r="D22" s="427"/>
      <c r="E22" s="426"/>
      <c r="F22" s="427"/>
      <c r="G22" s="1464"/>
      <c r="H22" s="427"/>
      <c r="I22" s="1464"/>
      <c r="J22" s="427"/>
      <c r="K22" s="1461"/>
      <c r="L22" s="1245"/>
      <c r="M22" s="1236"/>
      <c r="N22" s="1236"/>
      <c r="O22" s="1236"/>
      <c r="P22" s="3052"/>
      <c r="Q22" s="1882"/>
      <c r="R22" s="752"/>
      <c r="S22" s="753"/>
      <c r="T22" s="752"/>
      <c r="U22" s="753"/>
      <c r="V22" s="752"/>
      <c r="W22" s="753"/>
      <c r="X22" s="1883"/>
      <c r="Y22" s="3071"/>
      <c r="Z22" s="1885"/>
      <c r="AA22" s="1886">
        <v>1</v>
      </c>
      <c r="AB22" s="1886">
        <v>1</v>
      </c>
      <c r="AC22" s="1886">
        <v>1</v>
      </c>
    </row>
    <row r="23" spans="1:29" ht="57">
      <c r="A23" s="408"/>
      <c r="B23" s="615" t="s">
        <v>2466</v>
      </c>
      <c r="C23" s="245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52"/>
      <c r="Q23" s="1882" t="str">
        <f>B23</f>
        <v>环境质量</v>
      </c>
      <c r="R23" s="752" t="s">
        <v>25</v>
      </c>
      <c r="S23" s="753">
        <f>F23</f>
        <v>100</v>
      </c>
      <c r="T23" s="752" t="s">
        <v>25</v>
      </c>
      <c r="U23" s="753">
        <f>H23</f>
        <v>100</v>
      </c>
      <c r="V23" s="752" t="s">
        <v>25</v>
      </c>
      <c r="W23" s="753">
        <f>J23</f>
        <v>100</v>
      </c>
      <c r="X23" s="1883"/>
      <c r="Y23" s="3071"/>
      <c r="Z23" s="1885" t="str">
        <f>Q23</f>
        <v>环境质量</v>
      </c>
      <c r="AA23" s="1886">
        <f t="shared" si="3"/>
        <v>1</v>
      </c>
      <c r="AB23" s="1886">
        <f t="shared" si="4"/>
        <v>1</v>
      </c>
      <c r="AC23" s="1886">
        <f t="shared" si="5"/>
        <v>1</v>
      </c>
    </row>
    <row r="24" spans="1:29" ht="15">
      <c r="A24" s="408"/>
      <c r="B24" s="617"/>
      <c r="C24" s="1464"/>
      <c r="D24" s="427"/>
      <c r="E24" s="2388"/>
      <c r="F24" s="427"/>
      <c r="G24" s="428"/>
      <c r="H24" s="427"/>
      <c r="I24" s="428"/>
      <c r="J24" s="427"/>
      <c r="K24" s="599"/>
      <c r="L24" s="1245"/>
      <c r="M24" s="1236"/>
      <c r="N24" s="1236"/>
      <c r="O24" s="1236"/>
      <c r="P24" s="3052"/>
      <c r="Q24" s="1882"/>
      <c r="R24" s="752"/>
      <c r="S24" s="753"/>
      <c r="T24" s="752"/>
      <c r="U24" s="753"/>
      <c r="V24" s="752"/>
      <c r="W24" s="753"/>
      <c r="X24" s="1883"/>
      <c r="Y24" s="3071"/>
      <c r="Z24" s="1885"/>
      <c r="AA24" s="1886">
        <v>1</v>
      </c>
      <c r="AB24" s="1886">
        <v>1</v>
      </c>
      <c r="AC24" s="1886">
        <v>1</v>
      </c>
    </row>
    <row r="25" spans="1:29" ht="27">
      <c r="A25" s="383"/>
      <c r="B25" s="615" t="s">
        <v>2467</v>
      </c>
      <c r="C25" s="2453"/>
      <c r="D25" s="415">
        <v>100</v>
      </c>
      <c r="E25" s="414"/>
      <c r="F25" s="415">
        <f>SUMIF(87:87,E26,88:88)-SUMIF(87:87,C26,88:88)+100</f>
        <v>100</v>
      </c>
      <c r="G25" s="2453"/>
      <c r="H25" s="415">
        <f>SUMIF(87:87,G26,88:88)-SUMIF(87:87,C26,88:88)+100</f>
        <v>100</v>
      </c>
      <c r="I25" s="414"/>
      <c r="J25" s="415">
        <f>SUMIF(87:87,I26,88:88)-SUMIF(87:87,C26,88:88)+100</f>
        <v>100</v>
      </c>
      <c r="K25" s="598"/>
      <c r="L25" s="1245"/>
      <c r="M25" s="1236"/>
      <c r="N25" s="1236"/>
      <c r="O25" s="1236"/>
      <c r="P25" s="3052"/>
      <c r="Q25" s="1882" t="str">
        <f>B25</f>
        <v>毗邻道路的类型与等级</v>
      </c>
      <c r="R25" s="752" t="s">
        <v>25</v>
      </c>
      <c r="S25" s="753">
        <f>F25</f>
        <v>100</v>
      </c>
      <c r="T25" s="752" t="s">
        <v>25</v>
      </c>
      <c r="U25" s="753">
        <f>H25</f>
        <v>100</v>
      </c>
      <c r="V25" s="752" t="s">
        <v>25</v>
      </c>
      <c r="W25" s="753">
        <f>J25</f>
        <v>100</v>
      </c>
      <c r="X25" s="1883"/>
      <c r="Y25" s="3071"/>
      <c r="Z25" s="1885" t="str">
        <f>Q25</f>
        <v>毗邻道路的类型与等级</v>
      </c>
      <c r="AA25" s="1886">
        <f t="shared" si="3"/>
        <v>1</v>
      </c>
      <c r="AB25" s="1886">
        <f t="shared" si="4"/>
        <v>1</v>
      </c>
      <c r="AC25" s="1886">
        <f t="shared" si="5"/>
        <v>1</v>
      </c>
    </row>
    <row r="26" spans="1:29" ht="15">
      <c r="A26" s="383"/>
      <c r="B26" s="616"/>
      <c r="C26" s="618"/>
      <c r="D26" s="415"/>
      <c r="E26" s="600"/>
      <c r="F26" s="415"/>
      <c r="G26" s="618"/>
      <c r="H26" s="415"/>
      <c r="I26" s="600"/>
      <c r="J26" s="415"/>
      <c r="K26" s="599"/>
      <c r="L26" s="1245"/>
      <c r="M26" s="1236"/>
      <c r="N26" s="1236"/>
      <c r="O26" s="1236"/>
      <c r="P26" s="3052"/>
      <c r="Q26" s="1882"/>
      <c r="R26" s="752"/>
      <c r="S26" s="753"/>
      <c r="T26" s="752"/>
      <c r="U26" s="753"/>
      <c r="V26" s="752"/>
      <c r="W26" s="753"/>
      <c r="X26" s="1883"/>
      <c r="Y26" s="3071"/>
      <c r="Z26" s="1885"/>
      <c r="AA26" s="1886">
        <v>1</v>
      </c>
      <c r="AB26" s="1886">
        <v>1</v>
      </c>
      <c r="AC26" s="1886">
        <v>1</v>
      </c>
    </row>
    <row r="27" spans="1:29" ht="15">
      <c r="A27" s="408"/>
      <c r="B27" s="616" t="s">
        <v>2440</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52"/>
      <c r="Q27" s="1882" t="str">
        <f t="shared" ref="Q27:Q47" si="11">B27</f>
        <v>楼层</v>
      </c>
      <c r="R27" s="752" t="s">
        <v>25</v>
      </c>
      <c r="S27" s="753">
        <f>F27</f>
        <v>100</v>
      </c>
      <c r="T27" s="752" t="s">
        <v>25</v>
      </c>
      <c r="U27" s="753">
        <f>H27</f>
        <v>100</v>
      </c>
      <c r="V27" s="752" t="s">
        <v>25</v>
      </c>
      <c r="W27" s="753">
        <f>J27</f>
        <v>100</v>
      </c>
      <c r="X27" s="1883"/>
      <c r="Y27" s="3071"/>
      <c r="Z27" s="1885" t="str">
        <f>Q27</f>
        <v>楼层</v>
      </c>
      <c r="AA27" s="1886">
        <f t="shared" si="3"/>
        <v>1</v>
      </c>
      <c r="AB27" s="1886">
        <f t="shared" si="4"/>
        <v>1</v>
      </c>
      <c r="AC27" s="1886">
        <f t="shared" si="5"/>
        <v>1</v>
      </c>
    </row>
    <row r="28" spans="1:29" s="35" customFormat="1" ht="15">
      <c r="A28" s="411"/>
      <c r="B28" s="615" t="s">
        <v>2468</v>
      </c>
      <c r="C28" s="2454"/>
      <c r="D28" s="443">
        <v>100</v>
      </c>
      <c r="E28" s="2441"/>
      <c r="F28" s="443">
        <f>SUMIF(91:91,E28,92:92)-SUMIF(91:91,C28,92:92)+100</f>
        <v>100</v>
      </c>
      <c r="G28" s="2454"/>
      <c r="H28" s="443">
        <f>SUMIF(91:91,G28,92:92)-SUMIF(91:91,C28,92:92)+100</f>
        <v>100</v>
      </c>
      <c r="I28" s="2441"/>
      <c r="J28" s="443">
        <f>SUMIF(91:91,I28,92:92)-SUMIF(91:91,C28,92:92)+100</f>
        <v>100</v>
      </c>
      <c r="K28" s="596"/>
      <c r="L28" s="1237"/>
      <c r="M28" s="1238"/>
      <c r="N28" s="1238"/>
      <c r="O28" s="1238"/>
      <c r="P28" s="3052"/>
      <c r="Q28" s="1870" t="str">
        <f t="shared" si="11"/>
        <v>朝向</v>
      </c>
      <c r="R28" s="748" t="s">
        <v>25</v>
      </c>
      <c r="S28" s="749">
        <f>F28</f>
        <v>100</v>
      </c>
      <c r="T28" s="748" t="s">
        <v>25</v>
      </c>
      <c r="U28" s="749">
        <f>H28</f>
        <v>100</v>
      </c>
      <c r="V28" s="748" t="s">
        <v>25</v>
      </c>
      <c r="W28" s="749">
        <f>J28</f>
        <v>100</v>
      </c>
      <c r="X28" s="750"/>
      <c r="Y28" s="3071"/>
      <c r="Z28" s="23" t="str">
        <f>Q28</f>
        <v>朝向</v>
      </c>
      <c r="AA28" s="1886">
        <f>D28/F28</f>
        <v>1</v>
      </c>
      <c r="AB28" s="1886">
        <f>D28/H28</f>
        <v>1</v>
      </c>
      <c r="AC28" s="1886">
        <f>D28/J28</f>
        <v>1</v>
      </c>
    </row>
    <row r="29" spans="1:29" ht="15">
      <c r="A29" s="408"/>
      <c r="B29" s="2455">
        <v>111</v>
      </c>
      <c r="C29" s="2453"/>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52"/>
      <c r="Q29" s="1882">
        <f t="shared" si="11"/>
        <v>111</v>
      </c>
      <c r="R29" s="752" t="s">
        <v>25</v>
      </c>
      <c r="S29" s="753">
        <f t="shared" ref="S29:S47" si="12">F29</f>
        <v>100</v>
      </c>
      <c r="T29" s="752" t="s">
        <v>25</v>
      </c>
      <c r="U29" s="753">
        <f t="shared" ref="U29:U47" si="13">H29</f>
        <v>100</v>
      </c>
      <c r="V29" s="752" t="s">
        <v>25</v>
      </c>
      <c r="W29" s="753">
        <f t="shared" ref="W29:W47" si="14">J29</f>
        <v>100</v>
      </c>
      <c r="X29" s="1883"/>
      <c r="Y29" s="3071"/>
      <c r="Z29" s="1885">
        <f t="shared" ref="Z29:Z47" si="15">Q29</f>
        <v>111</v>
      </c>
      <c r="AA29" s="1886">
        <f t="shared" si="3"/>
        <v>1</v>
      </c>
      <c r="AB29" s="1886">
        <f t="shared" si="4"/>
        <v>1</v>
      </c>
      <c r="AC29" s="1886">
        <f t="shared" si="5"/>
        <v>1</v>
      </c>
    </row>
    <row r="30" spans="1:29" ht="15">
      <c r="A30" s="408"/>
      <c r="B30" s="2455">
        <v>111</v>
      </c>
      <c r="C30" s="2453"/>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52"/>
      <c r="Q30" s="1882">
        <f t="shared" si="11"/>
        <v>111</v>
      </c>
      <c r="R30" s="752" t="s">
        <v>25</v>
      </c>
      <c r="S30" s="753">
        <f t="shared" si="12"/>
        <v>100</v>
      </c>
      <c r="T30" s="752" t="s">
        <v>25</v>
      </c>
      <c r="U30" s="753">
        <f t="shared" si="13"/>
        <v>100</v>
      </c>
      <c r="V30" s="752" t="s">
        <v>25</v>
      </c>
      <c r="W30" s="753">
        <f t="shared" si="14"/>
        <v>100</v>
      </c>
      <c r="X30" s="1883"/>
      <c r="Y30" s="3071"/>
      <c r="Z30" s="1885">
        <f t="shared" si="15"/>
        <v>111</v>
      </c>
      <c r="AA30" s="1886">
        <f t="shared" si="3"/>
        <v>1</v>
      </c>
      <c r="AB30" s="1886">
        <f t="shared" si="4"/>
        <v>1</v>
      </c>
      <c r="AC30" s="1886">
        <f t="shared" si="5"/>
        <v>1</v>
      </c>
    </row>
    <row r="31" spans="1:29" ht="15">
      <c r="A31" s="408"/>
      <c r="B31" s="2455">
        <v>111</v>
      </c>
      <c r="C31" s="2453"/>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52"/>
      <c r="Q31" s="1882">
        <f t="shared" si="11"/>
        <v>111</v>
      </c>
      <c r="R31" s="752" t="s">
        <v>25</v>
      </c>
      <c r="S31" s="753">
        <f t="shared" si="12"/>
        <v>100</v>
      </c>
      <c r="T31" s="752" t="s">
        <v>25</v>
      </c>
      <c r="U31" s="753">
        <f t="shared" si="13"/>
        <v>100</v>
      </c>
      <c r="V31" s="752" t="s">
        <v>25</v>
      </c>
      <c r="W31" s="753">
        <f t="shared" si="14"/>
        <v>100</v>
      </c>
      <c r="X31" s="1883"/>
      <c r="Y31" s="3071"/>
      <c r="Z31" s="1885">
        <f t="shared" si="15"/>
        <v>111</v>
      </c>
      <c r="AA31" s="1886">
        <f t="shared" si="3"/>
        <v>1</v>
      </c>
      <c r="AB31" s="1886">
        <f t="shared" si="4"/>
        <v>1</v>
      </c>
      <c r="AC31" s="1886">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52"/>
      <c r="Q32" s="1882">
        <f t="shared" si="11"/>
        <v>111</v>
      </c>
      <c r="R32" s="752" t="s">
        <v>25</v>
      </c>
      <c r="S32" s="753">
        <f t="shared" si="12"/>
        <v>100</v>
      </c>
      <c r="T32" s="752" t="s">
        <v>25</v>
      </c>
      <c r="U32" s="753">
        <f t="shared" si="13"/>
        <v>100</v>
      </c>
      <c r="V32" s="752" t="s">
        <v>25</v>
      </c>
      <c r="W32" s="753">
        <f t="shared" si="14"/>
        <v>100</v>
      </c>
      <c r="X32" s="1883"/>
      <c r="Y32" s="3071"/>
      <c r="Z32" s="1885">
        <f t="shared" si="15"/>
        <v>111</v>
      </c>
      <c r="AA32" s="1886">
        <f t="shared" si="3"/>
        <v>1</v>
      </c>
      <c r="AB32" s="1886">
        <f t="shared" si="4"/>
        <v>1</v>
      </c>
      <c r="AC32" s="1886">
        <f t="shared" si="5"/>
        <v>1</v>
      </c>
    </row>
    <row r="33" spans="1:29" ht="15">
      <c r="A33" s="419" t="s">
        <v>2353</v>
      </c>
      <c r="B33" s="28" t="s">
        <v>2469</v>
      </c>
      <c r="C33" s="2456"/>
      <c r="D33" s="448">
        <v>100</v>
      </c>
      <c r="E33" s="2456"/>
      <c r="F33" s="442">
        <f>SUMIF(101:101,E33,102:102)-SUMIF(101:101,C33,102:102)+100</f>
        <v>100</v>
      </c>
      <c r="G33" s="2456"/>
      <c r="H33" s="415">
        <f>SUMIF(101:101,G33,102:102)-SUMIF(101:101,C33,102:102)+100</f>
        <v>100</v>
      </c>
      <c r="I33" s="2456"/>
      <c r="J33" s="448">
        <f>SUMIF(101:101,I33,102:102)-SUMIF(101:101,C33,102:102)+100</f>
        <v>100</v>
      </c>
      <c r="K33" s="596"/>
      <c r="L33" s="1245"/>
      <c r="M33" s="1236"/>
      <c r="N33" s="1236"/>
      <c r="O33" s="1236"/>
      <c r="P33" s="3094" t="s">
        <v>2355</v>
      </c>
      <c r="Q33" s="1882" t="str">
        <f t="shared" si="11"/>
        <v>建筑类型</v>
      </c>
      <c r="R33" s="752" t="s">
        <v>25</v>
      </c>
      <c r="S33" s="753">
        <f t="shared" si="12"/>
        <v>100</v>
      </c>
      <c r="T33" s="752" t="s">
        <v>25</v>
      </c>
      <c r="U33" s="753">
        <f t="shared" si="13"/>
        <v>100</v>
      </c>
      <c r="V33" s="752" t="s">
        <v>25</v>
      </c>
      <c r="W33" s="753">
        <f t="shared" si="14"/>
        <v>100</v>
      </c>
      <c r="X33" s="1883"/>
      <c r="Y33" s="3075" t="s">
        <v>2355</v>
      </c>
      <c r="Z33" s="1885" t="str">
        <f t="shared" si="15"/>
        <v>建筑类型</v>
      </c>
      <c r="AA33" s="1886">
        <f t="shared" si="3"/>
        <v>1</v>
      </c>
      <c r="AB33" s="1886">
        <f t="shared" si="4"/>
        <v>1</v>
      </c>
      <c r="AC33" s="1886">
        <f t="shared" si="5"/>
        <v>1</v>
      </c>
    </row>
    <row r="34" spans="1:29" s="452" customFormat="1" ht="15">
      <c r="A34" s="449"/>
      <c r="B34" s="402" t="s">
        <v>2356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95"/>
      <c r="Q34" s="754" t="str">
        <f t="shared" si="11"/>
        <v>项目建筑规模</v>
      </c>
      <c r="R34" s="755" t="s">
        <v>25</v>
      </c>
      <c r="S34" s="756" t="e">
        <f t="shared" si="12"/>
        <v>#N/A</v>
      </c>
      <c r="T34" s="755" t="s">
        <v>25</v>
      </c>
      <c r="U34" s="756" t="e">
        <f t="shared" si="13"/>
        <v>#N/A</v>
      </c>
      <c r="V34" s="755" t="s">
        <v>25</v>
      </c>
      <c r="W34" s="756" t="e">
        <f t="shared" si="14"/>
        <v>#N/A</v>
      </c>
      <c r="X34" s="757"/>
      <c r="Y34" s="3075"/>
      <c r="Z34" s="758" t="str">
        <f t="shared" si="15"/>
        <v>项目建筑规模</v>
      </c>
      <c r="AA34" s="1886" t="e">
        <f t="shared" si="3"/>
        <v>#N/A</v>
      </c>
      <c r="AB34" s="1886" t="e">
        <f t="shared" si="4"/>
        <v>#N/A</v>
      </c>
      <c r="AC34" s="1886" t="e">
        <f t="shared" si="5"/>
        <v>#N/A</v>
      </c>
    </row>
    <row r="35" spans="1:29" ht="15">
      <c r="A35" s="453"/>
      <c r="B35" s="402" t="s">
        <v>2357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95"/>
      <c r="Q35" s="1882" t="str">
        <f t="shared" si="11"/>
        <v>建筑结构</v>
      </c>
      <c r="R35" s="752" t="s">
        <v>25</v>
      </c>
      <c r="S35" s="753">
        <f t="shared" si="12"/>
        <v>100</v>
      </c>
      <c r="T35" s="752" t="s">
        <v>25</v>
      </c>
      <c r="U35" s="753">
        <f t="shared" si="13"/>
        <v>100</v>
      </c>
      <c r="V35" s="752" t="s">
        <v>25</v>
      </c>
      <c r="W35" s="753">
        <f t="shared" si="14"/>
        <v>100</v>
      </c>
      <c r="X35" s="1883"/>
      <c r="Y35" s="3075"/>
      <c r="Z35" s="1885" t="str">
        <f t="shared" si="15"/>
        <v>建筑结构</v>
      </c>
      <c r="AA35" s="1886">
        <f t="shared" si="3"/>
        <v>1</v>
      </c>
      <c r="AB35" s="1886">
        <f t="shared" si="4"/>
        <v>1</v>
      </c>
      <c r="AC35" s="1886">
        <f t="shared" si="5"/>
        <v>1</v>
      </c>
    </row>
    <row r="36" spans="1:29" ht="15">
      <c r="A36" s="453"/>
      <c r="B36" s="402" t="s">
        <v>2442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95"/>
      <c r="Q36" s="1882" t="str">
        <f t="shared" si="11"/>
        <v>公共部分装修</v>
      </c>
      <c r="R36" s="752" t="s">
        <v>25</v>
      </c>
      <c r="S36" s="753">
        <f t="shared" si="12"/>
        <v>100</v>
      </c>
      <c r="T36" s="752" t="s">
        <v>25</v>
      </c>
      <c r="U36" s="753">
        <f t="shared" si="13"/>
        <v>100</v>
      </c>
      <c r="V36" s="752" t="s">
        <v>25</v>
      </c>
      <c r="W36" s="753">
        <f t="shared" si="14"/>
        <v>100</v>
      </c>
      <c r="X36" s="1883"/>
      <c r="Y36" s="3075"/>
      <c r="Z36" s="1885" t="str">
        <f t="shared" si="15"/>
        <v>公共部分装修</v>
      </c>
      <c r="AA36" s="1886">
        <f t="shared" si="3"/>
        <v>1</v>
      </c>
      <c r="AB36" s="1886">
        <f t="shared" si="4"/>
        <v>1</v>
      </c>
      <c r="AC36" s="1886">
        <f t="shared" si="5"/>
        <v>1</v>
      </c>
    </row>
    <row r="37" spans="1:29" ht="15">
      <c r="A37" s="453"/>
      <c r="B37" s="402" t="s">
        <v>2443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95"/>
      <c r="Q37" s="1882" t="str">
        <f t="shared" si="11"/>
        <v>成新度</v>
      </c>
      <c r="R37" s="752" t="s">
        <v>25</v>
      </c>
      <c r="S37" s="753" t="e">
        <f t="shared" si="12"/>
        <v>#N/A</v>
      </c>
      <c r="T37" s="752" t="s">
        <v>25</v>
      </c>
      <c r="U37" s="753" t="e">
        <f t="shared" si="13"/>
        <v>#N/A</v>
      </c>
      <c r="V37" s="752" t="s">
        <v>25</v>
      </c>
      <c r="W37" s="753" t="e">
        <f t="shared" si="14"/>
        <v>#N/A</v>
      </c>
      <c r="X37" s="1883"/>
      <c r="Y37" s="3075"/>
      <c r="Z37" s="1885" t="str">
        <f t="shared" si="15"/>
        <v>成新度</v>
      </c>
      <c r="AA37" s="1886" t="e">
        <f t="shared" si="3"/>
        <v>#N/A</v>
      </c>
      <c r="AB37" s="1886" t="e">
        <f t="shared" si="4"/>
        <v>#N/A</v>
      </c>
      <c r="AC37" s="1886" t="e">
        <f t="shared" si="5"/>
        <v>#N/A</v>
      </c>
    </row>
    <row r="38" spans="1:29" s="35" customFormat="1" ht="15">
      <c r="A38" s="454"/>
      <c r="B38" s="402" t="s">
        <v>2470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95"/>
      <c r="Q38" s="1870" t="str">
        <f t="shared" si="11"/>
        <v>写字楼等级</v>
      </c>
      <c r="R38" s="748" t="s">
        <v>25</v>
      </c>
      <c r="S38" s="749">
        <f t="shared" si="12"/>
        <v>100</v>
      </c>
      <c r="T38" s="748" t="s">
        <v>25</v>
      </c>
      <c r="U38" s="749">
        <f t="shared" si="13"/>
        <v>100</v>
      </c>
      <c r="V38" s="748" t="s">
        <v>25</v>
      </c>
      <c r="W38" s="749">
        <f t="shared" si="14"/>
        <v>100</v>
      </c>
      <c r="X38" s="750"/>
      <c r="Y38" s="3075"/>
      <c r="Z38" s="23" t="str">
        <f t="shared" si="15"/>
        <v>写字楼等级</v>
      </c>
      <c r="AA38" s="751">
        <f t="shared" si="3"/>
        <v>1</v>
      </c>
      <c r="AB38" s="751">
        <f t="shared" si="4"/>
        <v>1</v>
      </c>
      <c r="AC38" s="751">
        <f t="shared" si="5"/>
        <v>1</v>
      </c>
    </row>
    <row r="39" spans="1:29" ht="15">
      <c r="A39" s="453"/>
      <c r="B39" s="402" t="s">
        <v>2471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95" t="s">
        <v>2355</v>
      </c>
      <c r="Q39" s="1882" t="str">
        <f t="shared" si="11"/>
        <v>物业管理</v>
      </c>
      <c r="R39" s="752" t="s">
        <v>25</v>
      </c>
      <c r="S39" s="753">
        <f t="shared" si="12"/>
        <v>100</v>
      </c>
      <c r="T39" s="752" t="s">
        <v>25</v>
      </c>
      <c r="U39" s="753">
        <f t="shared" si="13"/>
        <v>100</v>
      </c>
      <c r="V39" s="752" t="s">
        <v>25</v>
      </c>
      <c r="W39" s="753">
        <f t="shared" si="14"/>
        <v>100</v>
      </c>
      <c r="X39" s="1883"/>
      <c r="Y39" s="3075" t="s">
        <v>2355</v>
      </c>
      <c r="Z39" s="1885" t="str">
        <f t="shared" si="15"/>
        <v>物业管理</v>
      </c>
      <c r="AA39" s="1886">
        <f t="shared" si="3"/>
        <v>1</v>
      </c>
      <c r="AB39" s="1886">
        <f t="shared" si="4"/>
        <v>1</v>
      </c>
      <c r="AC39" s="1886">
        <f t="shared" si="5"/>
        <v>1</v>
      </c>
    </row>
    <row r="40" spans="1:29" ht="15">
      <c r="A40" s="453"/>
      <c r="B40" s="402" t="s">
        <v>2444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95"/>
      <c r="Q40" s="1882" t="str">
        <f t="shared" si="11"/>
        <v>市政基础设施</v>
      </c>
      <c r="R40" s="752" t="s">
        <v>25</v>
      </c>
      <c r="S40" s="753">
        <f t="shared" si="12"/>
        <v>100</v>
      </c>
      <c r="T40" s="752" t="s">
        <v>25</v>
      </c>
      <c r="U40" s="753">
        <f t="shared" si="13"/>
        <v>100</v>
      </c>
      <c r="V40" s="752" t="s">
        <v>25</v>
      </c>
      <c r="W40" s="753">
        <f t="shared" si="14"/>
        <v>100</v>
      </c>
      <c r="X40" s="1883"/>
      <c r="Y40" s="3075"/>
      <c r="Z40" s="1885" t="str">
        <f t="shared" si="15"/>
        <v>市政基础设施</v>
      </c>
      <c r="AA40" s="1886">
        <f t="shared" si="3"/>
        <v>1</v>
      </c>
      <c r="AB40" s="1886">
        <f t="shared" si="4"/>
        <v>1</v>
      </c>
      <c r="AC40" s="1886">
        <f t="shared" si="5"/>
        <v>1</v>
      </c>
    </row>
    <row r="41" spans="1:29" ht="15">
      <c r="A41" s="453"/>
      <c r="B41" s="402" t="s">
        <v>2446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95"/>
      <c r="Q41" s="1882" t="str">
        <f t="shared" si="11"/>
        <v>层高</v>
      </c>
      <c r="R41" s="752" t="s">
        <v>25</v>
      </c>
      <c r="S41" s="753">
        <f t="shared" si="12"/>
        <v>100</v>
      </c>
      <c r="T41" s="752" t="s">
        <v>25</v>
      </c>
      <c r="U41" s="753">
        <f t="shared" si="13"/>
        <v>100</v>
      </c>
      <c r="V41" s="752" t="s">
        <v>25</v>
      </c>
      <c r="W41" s="753">
        <f t="shared" si="14"/>
        <v>100</v>
      </c>
      <c r="X41" s="1883"/>
      <c r="Y41" s="3075"/>
      <c r="Z41" s="1885" t="str">
        <f t="shared" si="15"/>
        <v>层高</v>
      </c>
      <c r="AA41" s="1886">
        <f t="shared" si="3"/>
        <v>1</v>
      </c>
      <c r="AB41" s="1886">
        <f t="shared" si="4"/>
        <v>1</v>
      </c>
      <c r="AC41" s="1886">
        <f t="shared" si="5"/>
        <v>1</v>
      </c>
    </row>
    <row r="42" spans="1:29" s="452" customFormat="1" ht="15">
      <c r="A42" s="449"/>
      <c r="B42" s="1887" t="s">
        <v>2472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95"/>
      <c r="Q42" s="754" t="str">
        <f t="shared" si="11"/>
        <v>单套建筑面积</v>
      </c>
      <c r="R42" s="755" t="s">
        <v>25</v>
      </c>
      <c r="S42" s="756">
        <f t="shared" si="12"/>
        <v>100</v>
      </c>
      <c r="T42" s="755" t="s">
        <v>25</v>
      </c>
      <c r="U42" s="756">
        <f t="shared" si="13"/>
        <v>100</v>
      </c>
      <c r="V42" s="755" t="s">
        <v>25</v>
      </c>
      <c r="W42" s="756">
        <f t="shared" si="14"/>
        <v>100</v>
      </c>
      <c r="X42" s="757"/>
      <c r="Y42" s="3075"/>
      <c r="Z42" s="758" t="str">
        <f t="shared" si="15"/>
        <v>单套建筑面积</v>
      </c>
      <c r="AA42" s="1886">
        <f t="shared" si="3"/>
        <v>1</v>
      </c>
      <c r="AB42" s="1886">
        <f t="shared" si="4"/>
        <v>1</v>
      </c>
      <c r="AC42" s="1886">
        <f t="shared" si="5"/>
        <v>1</v>
      </c>
    </row>
    <row r="43" spans="1:29" ht="15">
      <c r="A43" s="453"/>
      <c r="B43" s="402" t="s">
        <v>2449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95"/>
      <c r="Q43" s="1882" t="str">
        <f t="shared" si="11"/>
        <v>内部装修</v>
      </c>
      <c r="R43" s="752" t="s">
        <v>25</v>
      </c>
      <c r="S43" s="753">
        <f t="shared" si="12"/>
        <v>100</v>
      </c>
      <c r="T43" s="752" t="s">
        <v>25</v>
      </c>
      <c r="U43" s="753">
        <f t="shared" si="13"/>
        <v>100</v>
      </c>
      <c r="V43" s="752" t="s">
        <v>25</v>
      </c>
      <c r="W43" s="753">
        <f t="shared" si="14"/>
        <v>100</v>
      </c>
      <c r="X43" s="1883"/>
      <c r="Y43" s="3075"/>
      <c r="Z43" s="1885" t="str">
        <f t="shared" si="15"/>
        <v>内部装修</v>
      </c>
      <c r="AA43" s="1886">
        <f t="shared" si="3"/>
        <v>1</v>
      </c>
      <c r="AB43" s="1886">
        <f t="shared" si="4"/>
        <v>1</v>
      </c>
      <c r="AC43" s="1886">
        <f t="shared" si="5"/>
        <v>1</v>
      </c>
    </row>
    <row r="44" spans="1:29" ht="15">
      <c r="A44" s="453"/>
      <c r="B44" s="402" t="s">
        <v>2366</v>
      </c>
      <c r="C44" s="441"/>
      <c r="D44" s="415">
        <v>100</v>
      </c>
      <c r="E44" s="2395"/>
      <c r="F44" s="442">
        <f>SUMIF(125:125,E44,126:126)-SUMIF(125:125,C44,126:126)+100</f>
        <v>100</v>
      </c>
      <c r="G44" s="2395"/>
      <c r="H44" s="415">
        <f>SUMIF(125:125,G44,126:126)-SUMIF(125:125,C44,126:126)+100</f>
        <v>100</v>
      </c>
      <c r="I44" s="2395"/>
      <c r="J44" s="415">
        <f>SUMIF(125:125,I44,126:126)-SUMIF(125:125,C44,126:126)+100</f>
        <v>100</v>
      </c>
      <c r="K44" s="596"/>
      <c r="L44" s="1245"/>
      <c r="M44" s="1236"/>
      <c r="N44" s="1236"/>
      <c r="O44" s="1236"/>
      <c r="P44" s="3095"/>
      <c r="Q44" s="1882" t="str">
        <f t="shared" si="11"/>
        <v>内部装修维护情况</v>
      </c>
      <c r="R44" s="752" t="s">
        <v>25</v>
      </c>
      <c r="S44" s="753">
        <f t="shared" si="12"/>
        <v>100</v>
      </c>
      <c r="T44" s="752" t="s">
        <v>25</v>
      </c>
      <c r="U44" s="753">
        <f t="shared" si="13"/>
        <v>100</v>
      </c>
      <c r="V44" s="752" t="s">
        <v>25</v>
      </c>
      <c r="W44" s="753">
        <f t="shared" si="14"/>
        <v>100</v>
      </c>
      <c r="X44" s="1883"/>
      <c r="Y44" s="3075"/>
      <c r="Z44" s="1885" t="str">
        <f t="shared" si="15"/>
        <v>内部装修维护情况</v>
      </c>
      <c r="AA44" s="1886">
        <f t="shared" si="3"/>
        <v>1</v>
      </c>
      <c r="AB44" s="1886">
        <f t="shared" si="4"/>
        <v>1</v>
      </c>
      <c r="AC44" s="1886">
        <f t="shared" si="5"/>
        <v>1</v>
      </c>
    </row>
    <row r="45" spans="1:29" s="35" customFormat="1" ht="15">
      <c r="A45" s="454"/>
      <c r="B45" s="239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95"/>
      <c r="Q45" s="1870">
        <f t="shared" si="11"/>
        <v>111</v>
      </c>
      <c r="R45" s="748" t="s">
        <v>25</v>
      </c>
      <c r="S45" s="749">
        <f t="shared" si="12"/>
        <v>100</v>
      </c>
      <c r="T45" s="748" t="s">
        <v>25</v>
      </c>
      <c r="U45" s="749">
        <f t="shared" si="13"/>
        <v>100</v>
      </c>
      <c r="V45" s="748" t="s">
        <v>25</v>
      </c>
      <c r="W45" s="749">
        <f t="shared" si="14"/>
        <v>100</v>
      </c>
      <c r="X45" s="750"/>
      <c r="Y45" s="3075"/>
      <c r="Z45" s="23">
        <f t="shared" si="15"/>
        <v>111</v>
      </c>
      <c r="AA45" s="751">
        <f t="shared" si="3"/>
        <v>1</v>
      </c>
      <c r="AB45" s="751">
        <f t="shared" si="4"/>
        <v>1</v>
      </c>
      <c r="AC45" s="751">
        <f t="shared" si="5"/>
        <v>1</v>
      </c>
    </row>
    <row r="46" spans="1:29" ht="15">
      <c r="A46" s="453"/>
      <c r="B46" s="239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95"/>
      <c r="Q46" s="1882">
        <f t="shared" si="11"/>
        <v>111</v>
      </c>
      <c r="R46" s="752" t="s">
        <v>25</v>
      </c>
      <c r="S46" s="753">
        <f t="shared" si="12"/>
        <v>100</v>
      </c>
      <c r="T46" s="752" t="s">
        <v>25</v>
      </c>
      <c r="U46" s="753">
        <f t="shared" si="13"/>
        <v>100</v>
      </c>
      <c r="V46" s="752" t="s">
        <v>25</v>
      </c>
      <c r="W46" s="753">
        <f t="shared" si="14"/>
        <v>100</v>
      </c>
      <c r="X46" s="1883"/>
      <c r="Y46" s="3075"/>
      <c r="Z46" s="1885">
        <f t="shared" si="15"/>
        <v>111</v>
      </c>
      <c r="AA46" s="1886">
        <f t="shared" si="3"/>
        <v>1</v>
      </c>
      <c r="AB46" s="1886">
        <f t="shared" si="4"/>
        <v>1</v>
      </c>
      <c r="AC46" s="1886">
        <f t="shared" si="5"/>
        <v>1</v>
      </c>
    </row>
    <row r="47" spans="1:29" ht="15.75" thickBot="1">
      <c r="A47" s="459"/>
      <c r="B47" s="2385">
        <v>111</v>
      </c>
      <c r="C47" s="2386"/>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96"/>
      <c r="Q47" s="1882">
        <f t="shared" si="11"/>
        <v>111</v>
      </c>
      <c r="R47" s="752" t="s">
        <v>25</v>
      </c>
      <c r="S47" s="753">
        <f t="shared" si="12"/>
        <v>100</v>
      </c>
      <c r="T47" s="752" t="s">
        <v>25</v>
      </c>
      <c r="U47" s="753">
        <f t="shared" si="13"/>
        <v>100</v>
      </c>
      <c r="V47" s="752" t="s">
        <v>25</v>
      </c>
      <c r="W47" s="753">
        <f t="shared" si="14"/>
        <v>100</v>
      </c>
      <c r="X47" s="1883"/>
      <c r="Y47" s="3076"/>
      <c r="Z47" s="1885">
        <f t="shared" si="15"/>
        <v>111</v>
      </c>
      <c r="AA47" s="1886">
        <f t="shared" si="3"/>
        <v>1</v>
      </c>
      <c r="AB47" s="1886">
        <f t="shared" si="4"/>
        <v>1</v>
      </c>
      <c r="AC47" s="1886">
        <f t="shared" si="5"/>
        <v>1</v>
      </c>
    </row>
    <row r="48" spans="1:29" ht="15">
      <c r="A48" s="460" t="s">
        <v>2367</v>
      </c>
      <c r="B48" s="461"/>
      <c r="C48" s="1494" t="s">
        <v>1</v>
      </c>
      <c r="D48" s="1495"/>
      <c r="E48" s="1496"/>
      <c r="F48" s="1497"/>
      <c r="G48" s="1498"/>
      <c r="H48" s="1499"/>
      <c r="I48" s="1496"/>
      <c r="J48" s="1499"/>
      <c r="K48" s="761"/>
      <c r="L48" s="1248"/>
      <c r="M48" s="1236"/>
      <c r="N48" s="1236"/>
      <c r="O48" s="1236"/>
      <c r="P48" s="3088" t="str">
        <f>A48</f>
        <v>成交单价（元/平方米）</v>
      </c>
      <c r="Q48" s="3081"/>
      <c r="R48" s="3082">
        <f>E48</f>
        <v>0</v>
      </c>
      <c r="S48" s="3082"/>
      <c r="T48" s="3082">
        <f>G48</f>
        <v>0</v>
      </c>
      <c r="U48" s="3082"/>
      <c r="V48" s="3082">
        <f>I48</f>
        <v>0</v>
      </c>
      <c r="W48" s="3082"/>
      <c r="X48" s="737"/>
      <c r="Y48" s="759"/>
      <c r="Z48" s="737"/>
      <c r="AA48" s="737"/>
      <c r="AB48" s="737"/>
      <c r="AC48" s="737"/>
    </row>
    <row r="49" spans="1:29" ht="15.75" thickBot="1">
      <c r="A49" s="467" t="s">
        <v>2450</v>
      </c>
      <c r="B49" s="468"/>
      <c r="C49" s="1500" t="e">
        <f>R50</f>
        <v>#DIV/0!</v>
      </c>
      <c r="D49" s="1501"/>
      <c r="E49" s="1502" t="e">
        <f>R49</f>
        <v>#DIV/0!</v>
      </c>
      <c r="F49" s="1502"/>
      <c r="G49" s="1500" t="e">
        <f>T49</f>
        <v>#DIV/0!</v>
      </c>
      <c r="H49" s="1501"/>
      <c r="I49" s="1502" t="e">
        <f>V49</f>
        <v>#DIV/0!</v>
      </c>
      <c r="J49" s="1501"/>
      <c r="K49" s="762"/>
      <c r="L49" s="1248"/>
      <c r="M49" s="1236"/>
      <c r="N49" s="1236"/>
      <c r="O49" s="1236"/>
      <c r="P49" s="3088" t="str">
        <f>A49</f>
        <v>比较价值（元/平方米）</v>
      </c>
      <c r="Q49" s="3081"/>
      <c r="R49" s="3082" t="e">
        <f>IF(E1="售价",ROUND(PRODUCT(R48,AA7:AA47),0),ROUND(PRODUCT(R48,AA7:AA47),1))</f>
        <v>#DIV/0!</v>
      </c>
      <c r="S49" s="3082"/>
      <c r="T49" s="3082" t="e">
        <f>IF(E1="售价",ROUND(PRODUCT(T48,AB7:AB47),0),ROUND(PRODUCT(T48,AB7:AB47),1))</f>
        <v>#DIV/0!</v>
      </c>
      <c r="U49" s="3082"/>
      <c r="V49" s="3082" t="e">
        <f>IF(E1="售价",ROUND(PRODUCT(V48,AC7:AC47),0),ROUND(PRODUCT(V48,AC7:AC47),1))</f>
        <v>#DIV/0!</v>
      </c>
      <c r="W49" s="3082"/>
      <c r="X49" s="737"/>
      <c r="Y49" s="737"/>
      <c r="Z49" s="737"/>
      <c r="AA49" s="737"/>
      <c r="AB49" s="737"/>
      <c r="AC49" s="737"/>
    </row>
    <row r="50" spans="1:29" ht="15.75" thickBot="1">
      <c r="A50" s="473" t="s">
        <v>2473</v>
      </c>
      <c r="B50" s="474"/>
      <c r="C50" s="1504" t="e">
        <f>R50</f>
        <v>#DIV/0!</v>
      </c>
      <c r="D50" s="1504"/>
      <c r="E50" s="1504"/>
      <c r="F50" s="1504"/>
      <c r="G50" s="1504"/>
      <c r="H50" s="1504"/>
      <c r="I50" s="1504"/>
      <c r="J50" s="1504"/>
      <c r="K50" s="763"/>
      <c r="L50" s="1248"/>
      <c r="M50" s="1236"/>
      <c r="N50" s="1236"/>
      <c r="O50" s="1236"/>
      <c r="P50" s="3097" t="str">
        <f>A50</f>
        <v>估价对象XX用房的比较价值（楼面单价，元/平方米）</v>
      </c>
      <c r="Q50" s="3088"/>
      <c r="R50" s="3089" t="e">
        <f>IF(E1="售价",ROUND(AVERAGE(R49:V49),0),ROUND(AVERAGE(R49:V49),1))</f>
        <v>#DIV/0!</v>
      </c>
      <c r="S50" s="3089"/>
      <c r="T50" s="3089"/>
      <c r="U50" s="3089"/>
      <c r="V50" s="3089"/>
      <c r="W50" s="3089"/>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2452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2453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2454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2455</v>
      </c>
      <c r="B58" s="737"/>
      <c r="C58" s="742"/>
      <c r="D58" s="742"/>
      <c r="E58" s="742"/>
      <c r="F58" s="743"/>
      <c r="G58" s="743"/>
      <c r="H58" s="742"/>
      <c r="I58" s="742"/>
      <c r="J58" s="742"/>
      <c r="K58" s="744"/>
      <c r="L58" s="745"/>
      <c r="M58" s="742"/>
      <c r="N58" s="742"/>
      <c r="O58" s="742"/>
      <c r="P58" s="484"/>
      <c r="Q58" s="485"/>
    </row>
    <row r="59" spans="1:29" s="489" customFormat="1" ht="15">
      <c r="A59" s="486" t="s">
        <v>2338</v>
      </c>
      <c r="B59" s="487"/>
      <c r="C59" s="1670" t="str">
        <f>YEAR(C7)&amp;"-"&amp;MONTH(C7)</f>
        <v>2020-6</v>
      </c>
      <c r="D59" s="1671">
        <f>EDATE(C59,-1)</f>
        <v>43952</v>
      </c>
      <c r="E59" s="1671">
        <f t="shared" ref="E59:O59" si="16">EDATE(D59,-1)</f>
        <v>43922</v>
      </c>
      <c r="F59" s="1671">
        <f t="shared" si="16"/>
        <v>43891</v>
      </c>
      <c r="G59" s="1671">
        <f t="shared" si="16"/>
        <v>43862</v>
      </c>
      <c r="H59" s="1671">
        <f t="shared" si="16"/>
        <v>43831</v>
      </c>
      <c r="I59" s="1671">
        <f t="shared" si="16"/>
        <v>43800</v>
      </c>
      <c r="J59" s="1671">
        <f t="shared" si="16"/>
        <v>43770</v>
      </c>
      <c r="K59" s="1671">
        <f t="shared" si="16"/>
        <v>43739</v>
      </c>
      <c r="L59" s="1671">
        <f t="shared" si="16"/>
        <v>43709</v>
      </c>
      <c r="M59" s="1671">
        <f t="shared" si="16"/>
        <v>43678</v>
      </c>
      <c r="N59" s="1671">
        <f t="shared" si="16"/>
        <v>43647</v>
      </c>
      <c r="O59" s="1671">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2375</v>
      </c>
      <c r="B61" s="497"/>
      <c r="C61" s="498"/>
      <c r="D61" s="499"/>
      <c r="E61" s="499"/>
      <c r="F61" s="499"/>
      <c r="G61" s="499"/>
      <c r="H61" s="499"/>
      <c r="I61" s="499"/>
      <c r="J61" s="499"/>
      <c r="K61" s="499"/>
      <c r="L61" s="499"/>
      <c r="M61" s="500"/>
      <c r="N61" s="499"/>
      <c r="O61" s="501"/>
      <c r="P61" s="485"/>
      <c r="Q61" s="485"/>
    </row>
    <row r="62" spans="1:29" s="35" customFormat="1" ht="15">
      <c r="A62" s="502" t="s">
        <v>2340</v>
      </c>
      <c r="B62" s="491"/>
      <c r="C62" s="503" t="s">
        <v>2341</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2378</v>
      </c>
      <c r="B64" s="509" t="s">
        <v>2344</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2347</v>
      </c>
      <c r="C66" s="522" t="s">
        <v>2379</v>
      </c>
      <c r="D66" s="522" t="s">
        <v>2380</v>
      </c>
      <c r="E66" s="522" t="s">
        <v>2381</v>
      </c>
      <c r="F66" s="522" t="s">
        <v>2382</v>
      </c>
      <c r="G66" s="522" t="s">
        <v>2383</v>
      </c>
      <c r="H66" s="522" t="s">
        <v>2384</v>
      </c>
      <c r="I66" s="522" t="s">
        <v>2385</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2348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2349</v>
      </c>
      <c r="B77" s="509" t="s">
        <v>2474</v>
      </c>
      <c r="C77" s="557" t="s">
        <v>2387</v>
      </c>
      <c r="D77" s="557" t="s">
        <v>2388</v>
      </c>
      <c r="E77" s="557" t="s">
        <v>2389</v>
      </c>
      <c r="F77" s="557" t="s">
        <v>2390</v>
      </c>
      <c r="G77" s="557" t="s">
        <v>2391</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2392</v>
      </c>
      <c r="C79" s="562" t="s">
        <v>2387</v>
      </c>
      <c r="D79" s="562" t="s">
        <v>2388</v>
      </c>
      <c r="E79" s="562" t="s">
        <v>2389</v>
      </c>
      <c r="F79" s="562" t="s">
        <v>2390</v>
      </c>
      <c r="G79" s="562" t="s">
        <v>2391</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2393</v>
      </c>
      <c r="C81" s="562" t="s">
        <v>2387</v>
      </c>
      <c r="D81" s="562" t="s">
        <v>2388</v>
      </c>
      <c r="E81" s="562" t="s">
        <v>2389</v>
      </c>
      <c r="F81" s="562" t="s">
        <v>2390</v>
      </c>
      <c r="G81" s="562" t="s">
        <v>2391</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2436</v>
      </c>
      <c r="C83" s="522" t="s">
        <v>2394</v>
      </c>
      <c r="D83" s="522" t="s">
        <v>2395</v>
      </c>
      <c r="E83" s="522" t="s">
        <v>2396</v>
      </c>
      <c r="F83" s="522" t="s">
        <v>2397</v>
      </c>
      <c r="G83" s="522" t="s">
        <v>2398</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2475</v>
      </c>
      <c r="C85" s="562" t="s">
        <v>2387</v>
      </c>
      <c r="D85" s="562" t="s">
        <v>2388</v>
      </c>
      <c r="E85" s="562" t="s">
        <v>2389</v>
      </c>
      <c r="F85" s="562" t="s">
        <v>2390</v>
      </c>
      <c r="G85" s="562" t="s">
        <v>2391</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2476</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4"/>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5"/>
      <c r="B100" s="553"/>
      <c r="C100" s="554"/>
      <c r="D100" s="554"/>
      <c r="E100" s="554"/>
      <c r="F100" s="554"/>
      <c r="G100" s="575"/>
      <c r="H100" s="575"/>
      <c r="I100" s="575"/>
      <c r="J100" s="575"/>
      <c r="K100" s="575"/>
      <c r="L100" s="575"/>
      <c r="M100" s="576"/>
      <c r="N100" s="1260"/>
      <c r="O100" s="1260"/>
      <c r="P100" s="22"/>
      <c r="Q100" s="485"/>
    </row>
    <row r="101" spans="1:17">
      <c r="A101" s="508" t="s">
        <v>2353</v>
      </c>
      <c r="B101" s="509" t="s">
        <v>2402</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2403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2404</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2406</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2407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2477</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2408</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2409</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2478</v>
      </c>
      <c r="C119" s="567"/>
      <c r="D119" s="567"/>
      <c r="E119" s="567"/>
      <c r="F119" s="567"/>
      <c r="G119" s="567"/>
      <c r="H119" s="567"/>
      <c r="I119" s="567"/>
      <c r="J119" s="567"/>
      <c r="K119" s="567"/>
      <c r="L119" s="2457"/>
      <c r="M119" s="2458"/>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2460</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2411</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2412</v>
      </c>
      <c r="C125" s="562" t="s">
        <v>2387</v>
      </c>
      <c r="D125" s="562" t="s">
        <v>2388</v>
      </c>
      <c r="E125" s="562" t="s">
        <v>2389</v>
      </c>
      <c r="F125" s="562" t="s">
        <v>2390</v>
      </c>
      <c r="G125" s="562" t="s">
        <v>2391</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59"/>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9" activeCellId="2" sqref="I3 B39 B3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2321</v>
      </c>
      <c r="B1" s="1726" t="s">
        <v>2479</v>
      </c>
      <c r="C1" s="1718"/>
      <c r="D1" s="1731"/>
      <c r="E1" s="2366"/>
      <c r="F1" s="1732" t="s">
        <v>2323</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1998</v>
      </c>
      <c r="B2" s="1717" t="e">
        <f ca="1">IF(D2="——",IF(C2="元",ROUND(C43*D3,0),ROUND(C43*D3/10000,0)),IF(C2="元",ROUND(C43*D3,0),ROUND(C43*D3/10000,0))-E2)</f>
        <v>#DIV/0!</v>
      </c>
      <c r="C2" s="163" t="str">
        <f>'数据-取费表'!B3</f>
        <v>万元</v>
      </c>
      <c r="D2" s="2368"/>
      <c r="E2" s="2460" t="e">
        <f ca="1">SUMIF(INDIRECT("'"&amp;G2&amp;"'"&amp;"!A:A"),"承租人权益价值",INDIRECT("'"&amp;G2&amp;"'"&amp;"!c:c"))</f>
        <v>#REF!</v>
      </c>
      <c r="F2" s="2369" t="str">
        <f>C2</f>
        <v>万元</v>
      </c>
      <c r="G2" s="2370"/>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1999</v>
      </c>
      <c r="B3" s="593" t="e">
        <f ca="1">ROUND(IF(D2="——",C43,IF(C2="万元",B2*10000/D3,B2/D3)),0)</f>
        <v>#DIV/0!</v>
      </c>
      <c r="C3" s="379" t="s">
        <v>2324</v>
      </c>
      <c r="D3" s="378">
        <f>IF(C1="仅计算典型户型",'数据-取费表'!E5,'数据-取费表'!B5)</f>
        <v>0</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2325</v>
      </c>
      <c r="B4" s="381"/>
      <c r="C4" s="3045" t="s">
        <v>2326</v>
      </c>
      <c r="D4" s="3046"/>
      <c r="E4" s="3047" t="s">
        <v>2327</v>
      </c>
      <c r="F4" s="3048"/>
      <c r="G4" s="3045" t="s">
        <v>2328</v>
      </c>
      <c r="H4" s="3046"/>
      <c r="I4" s="3045" t="s">
        <v>2329</v>
      </c>
      <c r="J4" s="3046"/>
      <c r="K4" s="594" t="s">
        <v>2330</v>
      </c>
      <c r="L4" s="1235"/>
      <c r="M4" s="1236"/>
      <c r="N4" s="1236"/>
      <c r="O4" s="1236"/>
      <c r="P4" s="3049" t="s">
        <v>2331</v>
      </c>
      <c r="Q4" s="3050"/>
      <c r="R4" s="3055" t="s">
        <v>2327</v>
      </c>
      <c r="S4" s="3056"/>
      <c r="T4" s="3055" t="s">
        <v>2328</v>
      </c>
      <c r="U4" s="3056"/>
      <c r="V4" s="3061" t="s">
        <v>2329</v>
      </c>
      <c r="W4" s="3061"/>
      <c r="X4" s="1883"/>
      <c r="Y4" s="3055" t="s">
        <v>2331</v>
      </c>
      <c r="Z4" s="3056"/>
      <c r="AA4" s="3042" t="s">
        <v>2327</v>
      </c>
      <c r="AB4" s="3043" t="s">
        <v>2328</v>
      </c>
      <c r="AC4" s="3042" t="s">
        <v>2329</v>
      </c>
    </row>
    <row r="5" spans="1:29" ht="15">
      <c r="A5" s="383"/>
      <c r="B5" s="384"/>
      <c r="C5" s="3064" t="s">
        <v>2332</v>
      </c>
      <c r="D5" s="3065"/>
      <c r="E5" s="3090" t="s">
        <v>2333</v>
      </c>
      <c r="F5" s="3063"/>
      <c r="G5" s="3064" t="s">
        <v>2334</v>
      </c>
      <c r="H5" s="3065"/>
      <c r="I5" s="3064" t="s">
        <v>2335</v>
      </c>
      <c r="J5" s="3065"/>
      <c r="K5" s="594"/>
      <c r="L5" s="1235"/>
      <c r="M5" s="1236"/>
      <c r="N5" s="1236"/>
      <c r="O5" s="1236"/>
      <c r="P5" s="3051"/>
      <c r="Q5" s="3052"/>
      <c r="R5" s="3057"/>
      <c r="S5" s="3058"/>
      <c r="T5" s="3057"/>
      <c r="U5" s="3058"/>
      <c r="V5" s="3061"/>
      <c r="W5" s="3061"/>
      <c r="X5" s="1883"/>
      <c r="Y5" s="3057"/>
      <c r="Z5" s="3058"/>
      <c r="AA5" s="3043"/>
      <c r="AB5" s="3043"/>
      <c r="AC5" s="3043"/>
    </row>
    <row r="6" spans="1:29" ht="15.75" thickBot="1">
      <c r="A6" s="385"/>
      <c r="B6" s="386"/>
      <c r="C6" s="3066" t="s">
        <v>2336</v>
      </c>
      <c r="D6" s="3067"/>
      <c r="E6" s="3068" t="s">
        <v>2336</v>
      </c>
      <c r="F6" s="3069"/>
      <c r="G6" s="3066" t="s">
        <v>2336</v>
      </c>
      <c r="H6" s="3067"/>
      <c r="I6" s="3066" t="s">
        <v>2336</v>
      </c>
      <c r="J6" s="3067"/>
      <c r="K6" s="594" t="s">
        <v>2337</v>
      </c>
      <c r="L6" s="1235"/>
      <c r="M6" s="1236"/>
      <c r="N6" s="1236"/>
      <c r="O6" s="1236"/>
      <c r="P6" s="3053"/>
      <c r="Q6" s="3054"/>
      <c r="R6" s="3057"/>
      <c r="S6" s="3058"/>
      <c r="T6" s="3059"/>
      <c r="U6" s="3060"/>
      <c r="V6" s="3061"/>
      <c r="W6" s="3061"/>
      <c r="X6" s="1883"/>
      <c r="Y6" s="3059"/>
      <c r="Z6" s="3060"/>
      <c r="AA6" s="3044"/>
      <c r="AB6" s="3044"/>
      <c r="AC6" s="3044"/>
    </row>
    <row r="7" spans="1:29" s="35" customFormat="1" ht="15.75" thickBot="1">
      <c r="A7" s="387" t="s">
        <v>2338</v>
      </c>
      <c r="B7" s="388"/>
      <c r="C7" s="389">
        <f>'数据-取费表'!B2</f>
        <v>43999</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77" t="s">
        <v>2339</v>
      </c>
      <c r="Q7" s="3079"/>
      <c r="R7" s="748" t="s">
        <v>25</v>
      </c>
      <c r="S7" s="749">
        <f t="shared" ref="S7:S15" si="0">F7</f>
        <v>0</v>
      </c>
      <c r="T7" s="748" t="s">
        <v>25</v>
      </c>
      <c r="U7" s="749">
        <f t="shared" ref="U7:U15" si="1">H7</f>
        <v>0</v>
      </c>
      <c r="V7" s="748" t="s">
        <v>25</v>
      </c>
      <c r="W7" s="749">
        <f t="shared" ref="W7:W15" si="2">J7</f>
        <v>0</v>
      </c>
      <c r="X7" s="750"/>
      <c r="Y7" s="3077" t="s">
        <v>2339</v>
      </c>
      <c r="Z7" s="3078"/>
      <c r="AA7" s="751" t="e">
        <f>D7/F7</f>
        <v>#DIV/0!</v>
      </c>
      <c r="AB7" s="751" t="e">
        <f>D7/H7</f>
        <v>#DIV/0!</v>
      </c>
      <c r="AC7" s="751" t="e">
        <f>D7/J7</f>
        <v>#DIV/0!</v>
      </c>
    </row>
    <row r="8" spans="1:29" s="35" customFormat="1" ht="15.75" thickBot="1">
      <c r="A8" s="387" t="s">
        <v>2340</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77" t="s">
        <v>2342</v>
      </c>
      <c r="Q8" s="3078"/>
      <c r="R8" s="748" t="s">
        <v>25</v>
      </c>
      <c r="S8" s="749">
        <f t="shared" si="0"/>
        <v>100</v>
      </c>
      <c r="T8" s="748" t="s">
        <v>25</v>
      </c>
      <c r="U8" s="749">
        <f t="shared" si="1"/>
        <v>100</v>
      </c>
      <c r="V8" s="748" t="s">
        <v>25</v>
      </c>
      <c r="W8" s="749">
        <f t="shared" si="2"/>
        <v>100</v>
      </c>
      <c r="X8" s="750"/>
      <c r="Y8" s="3077" t="s">
        <v>2342</v>
      </c>
      <c r="Z8" s="3078"/>
      <c r="AA8" s="751">
        <f t="shared" ref="AA8:AA40" si="3">D8/F8</f>
        <v>1</v>
      </c>
      <c r="AB8" s="751">
        <f t="shared" ref="AB8:AB40" si="4">D8/H8</f>
        <v>1</v>
      </c>
      <c r="AC8" s="751">
        <f t="shared" ref="AC8:AC40" si="5">D8/J8</f>
        <v>1</v>
      </c>
    </row>
    <row r="9" spans="1:29" s="35" customFormat="1">
      <c r="A9" s="395" t="s">
        <v>2343</v>
      </c>
      <c r="B9" s="28" t="s">
        <v>2344</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81" t="s">
        <v>2345</v>
      </c>
      <c r="Q9" s="1870"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29" s="407" customFormat="1" ht="27">
      <c r="A10" s="401"/>
      <c r="B10" s="402" t="s">
        <v>2347</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81"/>
      <c r="Q10" s="1870"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408"/>
      <c r="B11" s="402" t="s">
        <v>2348</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81"/>
      <c r="Q11" s="1870" t="str">
        <f t="shared" si="6"/>
        <v>容积率</v>
      </c>
      <c r="R11" s="748" t="s">
        <v>25</v>
      </c>
      <c r="S11" s="749" t="e">
        <f t="shared" si="0"/>
        <v>#N/A</v>
      </c>
      <c r="T11" s="748" t="s">
        <v>25</v>
      </c>
      <c r="U11" s="749" t="e">
        <f t="shared" si="1"/>
        <v>#N/A</v>
      </c>
      <c r="V11" s="748" t="s">
        <v>25</v>
      </c>
      <c r="W11" s="749" t="e">
        <f t="shared" si="2"/>
        <v>#N/A</v>
      </c>
      <c r="X11" s="750"/>
      <c r="Y11" s="2891"/>
      <c r="Z11" s="23" t="str">
        <f t="shared" si="7"/>
        <v>容积率</v>
      </c>
      <c r="AA11" s="751" t="e">
        <f t="shared" si="3"/>
        <v>#N/A</v>
      </c>
      <c r="AB11" s="751" t="e">
        <f t="shared" si="4"/>
        <v>#N/A</v>
      </c>
      <c r="AC11" s="751" t="e">
        <f t="shared" si="5"/>
        <v>#N/A</v>
      </c>
    </row>
    <row r="12" spans="1:29" s="35" customFormat="1" ht="15">
      <c r="A12" s="411"/>
      <c r="B12" s="2383">
        <v>111</v>
      </c>
      <c r="C12" s="412"/>
      <c r="D12" s="413">
        <v>100</v>
      </c>
      <c r="E12" s="414"/>
      <c r="F12" s="52">
        <f>SUMIF(64:64,E12,65:65)-SUMIF(64:64,C12,65:65)+100</f>
        <v>100</v>
      </c>
      <c r="G12" s="2461"/>
      <c r="H12" s="52">
        <f>SUMIF(64:64,G12,65:65)-SUMIF(64:64,C12,65:65)+100</f>
        <v>100</v>
      </c>
      <c r="I12" s="450"/>
      <c r="J12" s="52">
        <f>SUMIF(64:64,I12,65:65)-SUMIF(64:64,C12,65:65)+100</f>
        <v>100</v>
      </c>
      <c r="K12" s="597"/>
      <c r="L12" s="1237"/>
      <c r="M12" s="1238"/>
      <c r="N12" s="1238"/>
      <c r="O12" s="1239"/>
      <c r="P12" s="3081"/>
      <c r="Q12" s="1870">
        <f t="shared" si="6"/>
        <v>111</v>
      </c>
      <c r="R12" s="748" t="s">
        <v>25</v>
      </c>
      <c r="S12" s="749">
        <f t="shared" si="0"/>
        <v>100</v>
      </c>
      <c r="T12" s="748" t="s">
        <v>25</v>
      </c>
      <c r="U12" s="749">
        <f t="shared" si="1"/>
        <v>100</v>
      </c>
      <c r="V12" s="748" t="s">
        <v>25</v>
      </c>
      <c r="W12" s="749">
        <f t="shared" si="2"/>
        <v>100</v>
      </c>
      <c r="X12" s="750"/>
      <c r="Y12" s="2891"/>
      <c r="Z12" s="23">
        <f t="shared" si="7"/>
        <v>111</v>
      </c>
      <c r="AA12" s="751">
        <f>D12/F12</f>
        <v>1</v>
      </c>
      <c r="AB12" s="751">
        <f>D12/H12</f>
        <v>1</v>
      </c>
      <c r="AC12" s="751">
        <f>D12/J12</f>
        <v>1</v>
      </c>
    </row>
    <row r="13" spans="1:29" ht="15">
      <c r="A13" s="408"/>
      <c r="B13" s="2383">
        <v>111</v>
      </c>
      <c r="C13" s="414"/>
      <c r="D13" s="415">
        <v>100</v>
      </c>
      <c r="E13" s="414"/>
      <c r="F13" s="52">
        <f>SUMIF(66:66,E13,67:67)-SUMIF(66:66,C13,67:67)+100</f>
        <v>100</v>
      </c>
      <c r="G13" s="2461"/>
      <c r="H13" s="415">
        <f>SUMIF(66:66,G13,67:67)-SUMIF(66:66,C13,67:67)+100</f>
        <v>100</v>
      </c>
      <c r="I13" s="450"/>
      <c r="J13" s="415">
        <f>SUMIF(66:66,I13,67:67)-SUMIF(66:66,C13,67:67)+100</f>
        <v>100</v>
      </c>
      <c r="K13" s="597"/>
      <c r="L13" s="1245"/>
      <c r="M13" s="1236"/>
      <c r="N13" s="1236"/>
      <c r="O13" s="1244"/>
      <c r="P13" s="3081"/>
      <c r="Q13" s="1870">
        <f t="shared" si="6"/>
        <v>111</v>
      </c>
      <c r="R13" s="748" t="s">
        <v>25</v>
      </c>
      <c r="S13" s="749">
        <f t="shared" si="0"/>
        <v>100</v>
      </c>
      <c r="T13" s="748" t="s">
        <v>25</v>
      </c>
      <c r="U13" s="749">
        <f t="shared" si="1"/>
        <v>100</v>
      </c>
      <c r="V13" s="748" t="s">
        <v>25</v>
      </c>
      <c r="W13" s="749">
        <f t="shared" si="2"/>
        <v>100</v>
      </c>
      <c r="X13" s="750"/>
      <c r="Y13" s="2891"/>
      <c r="Z13" s="23">
        <f t="shared" si="7"/>
        <v>111</v>
      </c>
      <c r="AA13" s="751">
        <f t="shared" si="3"/>
        <v>1</v>
      </c>
      <c r="AB13" s="751">
        <f t="shared" si="4"/>
        <v>1</v>
      </c>
      <c r="AC13" s="751">
        <f t="shared" si="5"/>
        <v>1</v>
      </c>
    </row>
    <row r="14" spans="1:29" ht="15.75" thickBot="1">
      <c r="A14" s="416"/>
      <c r="B14" s="2385">
        <v>111</v>
      </c>
      <c r="C14" s="2386"/>
      <c r="D14" s="417">
        <v>100</v>
      </c>
      <c r="E14" s="2386"/>
      <c r="F14" s="417">
        <f>SUMIF(68:68,E14,69:69)-SUMIF(68:68,C14,69:69)+100</f>
        <v>100</v>
      </c>
      <c r="G14" s="2461"/>
      <c r="H14" s="417">
        <f>SUMIF(68:68,G14,69:69)-SUMIF(68:68,C14,69:69)+100</f>
        <v>100</v>
      </c>
      <c r="I14" s="450"/>
      <c r="J14" s="417">
        <f>SUMIF(68:68,I14,69:69)-SUMIF(68:68,C14,69:69)+100</f>
        <v>100</v>
      </c>
      <c r="K14" s="597"/>
      <c r="L14" s="1245"/>
      <c r="M14" s="1236"/>
      <c r="N14" s="1236"/>
      <c r="O14" s="1244"/>
      <c r="P14" s="3081"/>
      <c r="Q14" s="1870">
        <f t="shared" si="6"/>
        <v>111</v>
      </c>
      <c r="R14" s="748" t="s">
        <v>25</v>
      </c>
      <c r="S14" s="749">
        <f t="shared" si="0"/>
        <v>100</v>
      </c>
      <c r="T14" s="748" t="s">
        <v>25</v>
      </c>
      <c r="U14" s="749">
        <f t="shared" si="1"/>
        <v>100</v>
      </c>
      <c r="V14" s="748" t="s">
        <v>25</v>
      </c>
      <c r="W14" s="749">
        <f t="shared" si="2"/>
        <v>100</v>
      </c>
      <c r="X14" s="750"/>
      <c r="Y14" s="2891"/>
      <c r="Z14" s="23">
        <f t="shared" si="7"/>
        <v>111</v>
      </c>
      <c r="AA14" s="751">
        <f t="shared" si="3"/>
        <v>1</v>
      </c>
      <c r="AB14" s="751">
        <f t="shared" si="4"/>
        <v>1</v>
      </c>
      <c r="AC14" s="751">
        <f t="shared" si="5"/>
        <v>1</v>
      </c>
    </row>
    <row r="15" spans="1:29" ht="57">
      <c r="A15" s="419" t="s">
        <v>2349</v>
      </c>
      <c r="B15" s="26" t="s">
        <v>2480</v>
      </c>
      <c r="C15" s="246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70" t="s">
        <v>2350</v>
      </c>
      <c r="Q15" s="1882" t="str">
        <f t="shared" si="6"/>
        <v>产业集聚程度</v>
      </c>
      <c r="R15" s="752" t="s">
        <v>25</v>
      </c>
      <c r="S15" s="753">
        <f t="shared" si="0"/>
        <v>100</v>
      </c>
      <c r="T15" s="752" t="s">
        <v>25</v>
      </c>
      <c r="U15" s="753">
        <f t="shared" si="1"/>
        <v>100</v>
      </c>
      <c r="V15" s="752" t="s">
        <v>25</v>
      </c>
      <c r="W15" s="753">
        <f t="shared" si="2"/>
        <v>100</v>
      </c>
      <c r="X15" s="1883"/>
      <c r="Y15" s="3070" t="s">
        <v>2350</v>
      </c>
      <c r="Z15" s="1885" t="str">
        <f t="shared" si="7"/>
        <v>产业集聚程度</v>
      </c>
      <c r="AA15" s="1886">
        <f t="shared" si="3"/>
        <v>1</v>
      </c>
      <c r="AB15" s="1886">
        <f t="shared" si="4"/>
        <v>1</v>
      </c>
      <c r="AC15" s="1886">
        <f t="shared" si="5"/>
        <v>1</v>
      </c>
    </row>
    <row r="16" spans="1:29" ht="15">
      <c r="A16" s="408"/>
      <c r="B16" s="425"/>
      <c r="C16" s="426"/>
      <c r="D16" s="427"/>
      <c r="E16" s="426"/>
      <c r="F16" s="429"/>
      <c r="G16" s="426"/>
      <c r="H16" s="430"/>
      <c r="I16" s="426"/>
      <c r="J16" s="427"/>
      <c r="K16" s="599"/>
      <c r="L16" s="1245"/>
      <c r="M16" s="1236"/>
      <c r="N16" s="1236"/>
      <c r="O16" s="1244"/>
      <c r="P16" s="3071"/>
      <c r="Q16" s="1882"/>
      <c r="R16" s="752"/>
      <c r="S16" s="753"/>
      <c r="T16" s="752"/>
      <c r="U16" s="753"/>
      <c r="V16" s="752"/>
      <c r="W16" s="753"/>
      <c r="X16" s="1883"/>
      <c r="Y16" s="3071"/>
      <c r="Z16" s="1885"/>
      <c r="AA16" s="1886">
        <v>1</v>
      </c>
      <c r="AB16" s="1886">
        <v>1</v>
      </c>
      <c r="AC16" s="1886">
        <v>1</v>
      </c>
    </row>
    <row r="17" spans="1:29" ht="85.5">
      <c r="A17" s="408"/>
      <c r="B17" s="431" t="s">
        <v>1740</v>
      </c>
      <c r="C17" s="239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71"/>
      <c r="Q17" s="1882" t="str">
        <f>B17</f>
        <v>交通便捷度</v>
      </c>
      <c r="R17" s="752" t="s">
        <v>25</v>
      </c>
      <c r="S17" s="753">
        <f>F17</f>
        <v>100</v>
      </c>
      <c r="T17" s="752" t="s">
        <v>25</v>
      </c>
      <c r="U17" s="753">
        <f>H17</f>
        <v>100</v>
      </c>
      <c r="V17" s="752" t="s">
        <v>25</v>
      </c>
      <c r="W17" s="753">
        <f>J17</f>
        <v>100</v>
      </c>
      <c r="X17" s="1883"/>
      <c r="Y17" s="3071"/>
      <c r="Z17" s="1885" t="str">
        <f>Q17</f>
        <v>交通便捷度</v>
      </c>
      <c r="AA17" s="1886">
        <f t="shared" si="3"/>
        <v>1</v>
      </c>
      <c r="AB17" s="1886">
        <f t="shared" si="4"/>
        <v>1</v>
      </c>
      <c r="AC17" s="1886">
        <f t="shared" si="5"/>
        <v>1</v>
      </c>
    </row>
    <row r="18" spans="1:29" ht="15">
      <c r="A18" s="408"/>
      <c r="B18" s="436"/>
      <c r="C18" s="437"/>
      <c r="D18" s="430"/>
      <c r="E18" s="1460"/>
      <c r="F18" s="433"/>
      <c r="G18" s="2391"/>
      <c r="H18" s="427"/>
      <c r="I18" s="1460"/>
      <c r="J18" s="427"/>
      <c r="K18" s="599"/>
      <c r="L18" s="1245"/>
      <c r="M18" s="1236"/>
      <c r="N18" s="1236"/>
      <c r="O18" s="1244"/>
      <c r="P18" s="3071"/>
      <c r="Q18" s="1882"/>
      <c r="R18" s="752"/>
      <c r="S18" s="753"/>
      <c r="T18" s="752"/>
      <c r="U18" s="753"/>
      <c r="V18" s="752"/>
      <c r="W18" s="753"/>
      <c r="X18" s="1883"/>
      <c r="Y18" s="3071"/>
      <c r="Z18" s="1885"/>
      <c r="AA18" s="1886">
        <v>1</v>
      </c>
      <c r="AB18" s="1886">
        <v>1</v>
      </c>
      <c r="AC18" s="1886">
        <v>1</v>
      </c>
    </row>
    <row r="19" spans="1:29" ht="42.75">
      <c r="A19" s="408"/>
      <c r="B19" s="615" t="s">
        <v>2464</v>
      </c>
      <c r="C19" s="239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71"/>
      <c r="Q19" s="1882" t="str">
        <f>B19</f>
        <v>公共配套设施</v>
      </c>
      <c r="R19" s="752" t="s">
        <v>25</v>
      </c>
      <c r="S19" s="753">
        <f>F19</f>
        <v>100</v>
      </c>
      <c r="T19" s="752" t="s">
        <v>25</v>
      </c>
      <c r="U19" s="753">
        <f>H19</f>
        <v>100</v>
      </c>
      <c r="V19" s="752" t="s">
        <v>25</v>
      </c>
      <c r="W19" s="753">
        <f>J19</f>
        <v>100</v>
      </c>
      <c r="X19" s="1883"/>
      <c r="Y19" s="3071"/>
      <c r="Z19" s="1885" t="str">
        <f>Q19</f>
        <v>公共配套设施</v>
      </c>
      <c r="AA19" s="1886">
        <f t="shared" si="3"/>
        <v>1</v>
      </c>
      <c r="AB19" s="1886">
        <f t="shared" si="4"/>
        <v>1</v>
      </c>
      <c r="AC19" s="1886">
        <f t="shared" si="5"/>
        <v>1</v>
      </c>
    </row>
    <row r="20" spans="1:29" ht="15">
      <c r="A20" s="408"/>
      <c r="B20" s="616"/>
      <c r="C20" s="426"/>
      <c r="D20" s="427"/>
      <c r="E20" s="428"/>
      <c r="F20" s="429"/>
      <c r="G20" s="2388"/>
      <c r="H20" s="427"/>
      <c r="I20" s="428"/>
      <c r="J20" s="427"/>
      <c r="K20" s="599"/>
      <c r="L20" s="1245"/>
      <c r="M20" s="1236"/>
      <c r="N20" s="1236"/>
      <c r="O20" s="1244"/>
      <c r="P20" s="3071"/>
      <c r="Q20" s="1882"/>
      <c r="R20" s="752"/>
      <c r="S20" s="753"/>
      <c r="T20" s="752"/>
      <c r="U20" s="753"/>
      <c r="V20" s="752"/>
      <c r="W20" s="753"/>
      <c r="X20" s="1883"/>
      <c r="Y20" s="3071"/>
      <c r="Z20" s="1885"/>
      <c r="AA20" s="1886">
        <v>1</v>
      </c>
      <c r="AB20" s="1886">
        <v>1</v>
      </c>
      <c r="AC20" s="1886">
        <v>1</v>
      </c>
    </row>
    <row r="21" spans="1:29" ht="28.5">
      <c r="A21" s="408"/>
      <c r="B21" s="617" t="s">
        <v>2465</v>
      </c>
      <c r="C21" s="239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71"/>
      <c r="Q21" s="1882" t="str">
        <f>B21</f>
        <v>基础设施水平</v>
      </c>
      <c r="R21" s="752" t="s">
        <v>25</v>
      </c>
      <c r="S21" s="753">
        <f>F21</f>
        <v>100</v>
      </c>
      <c r="T21" s="752" t="s">
        <v>25</v>
      </c>
      <c r="U21" s="753">
        <f>H21</f>
        <v>100</v>
      </c>
      <c r="V21" s="752" t="s">
        <v>25</v>
      </c>
      <c r="W21" s="753">
        <f>J21</f>
        <v>100</v>
      </c>
      <c r="X21" s="1883"/>
      <c r="Y21" s="3071"/>
      <c r="Z21" s="1885" t="str">
        <f>Q21</f>
        <v>基础设施水平</v>
      </c>
      <c r="AA21" s="1886">
        <f t="shared" ref="AA21" si="8">D21/F21</f>
        <v>1</v>
      </c>
      <c r="AB21" s="1886">
        <f t="shared" ref="AB21" si="9">D21/H21</f>
        <v>1</v>
      </c>
      <c r="AC21" s="1886">
        <f t="shared" ref="AC21" si="10">D21/J21</f>
        <v>1</v>
      </c>
    </row>
    <row r="22" spans="1:29" ht="15">
      <c r="A22" s="408"/>
      <c r="B22" s="2392"/>
      <c r="C22" s="437"/>
      <c r="D22" s="427"/>
      <c r="E22" s="426"/>
      <c r="F22" s="429"/>
      <c r="G22" s="426"/>
      <c r="H22" s="427"/>
      <c r="I22" s="426"/>
      <c r="J22" s="427"/>
      <c r="K22" s="1461"/>
      <c r="L22" s="1245"/>
      <c r="M22" s="1236"/>
      <c r="N22" s="1236"/>
      <c r="O22" s="1244"/>
      <c r="P22" s="3071"/>
      <c r="Q22" s="1882"/>
      <c r="R22" s="752"/>
      <c r="S22" s="753"/>
      <c r="T22" s="752"/>
      <c r="U22" s="753"/>
      <c r="V22" s="752"/>
      <c r="W22" s="753"/>
      <c r="X22" s="1883"/>
      <c r="Y22" s="3071"/>
      <c r="Z22" s="1885"/>
      <c r="AA22" s="1886">
        <v>1</v>
      </c>
      <c r="AB22" s="1886">
        <v>1</v>
      </c>
      <c r="AC22" s="1886">
        <v>1</v>
      </c>
    </row>
    <row r="23" spans="1:29" ht="71.25">
      <c r="A23" s="408"/>
      <c r="B23" s="431" t="s">
        <v>2466</v>
      </c>
      <c r="C23" s="239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71"/>
      <c r="Q23" s="1882" t="str">
        <f>B23</f>
        <v>环境质量</v>
      </c>
      <c r="R23" s="752" t="s">
        <v>25</v>
      </c>
      <c r="S23" s="753">
        <f>F23</f>
        <v>100</v>
      </c>
      <c r="T23" s="752" t="s">
        <v>25</v>
      </c>
      <c r="U23" s="753">
        <f>H23</f>
        <v>100</v>
      </c>
      <c r="V23" s="752" t="s">
        <v>25</v>
      </c>
      <c r="W23" s="753">
        <f>J23</f>
        <v>100</v>
      </c>
      <c r="X23" s="1883"/>
      <c r="Y23" s="3071"/>
      <c r="Z23" s="1885" t="str">
        <f>Q23</f>
        <v>环境质量</v>
      </c>
      <c r="AA23" s="1886">
        <f t="shared" si="3"/>
        <v>1</v>
      </c>
      <c r="AB23" s="1886">
        <f t="shared" si="4"/>
        <v>1</v>
      </c>
      <c r="AC23" s="1886">
        <f t="shared" si="5"/>
        <v>1</v>
      </c>
    </row>
    <row r="24" spans="1:29" ht="15">
      <c r="A24" s="408"/>
      <c r="B24" s="2392"/>
      <c r="C24" s="426"/>
      <c r="D24" s="427"/>
      <c r="E24" s="428"/>
      <c r="F24" s="429"/>
      <c r="G24" s="2388"/>
      <c r="H24" s="427"/>
      <c r="I24" s="428"/>
      <c r="J24" s="427"/>
      <c r="K24" s="599"/>
      <c r="L24" s="1245"/>
      <c r="M24" s="1236"/>
      <c r="N24" s="1236"/>
      <c r="O24" s="1244"/>
      <c r="P24" s="3071"/>
      <c r="Q24" s="1882"/>
      <c r="R24" s="752"/>
      <c r="S24" s="753"/>
      <c r="T24" s="752"/>
      <c r="U24" s="753"/>
      <c r="V24" s="752"/>
      <c r="W24" s="753"/>
      <c r="X24" s="1883"/>
      <c r="Y24" s="3071"/>
      <c r="Z24" s="1885"/>
      <c r="AA24" s="1886">
        <v>1</v>
      </c>
      <c r="AB24" s="1886">
        <v>1</v>
      </c>
      <c r="AC24" s="1886">
        <v>1</v>
      </c>
    </row>
    <row r="25" spans="1:29" ht="15">
      <c r="A25" s="383"/>
      <c r="B25" s="2396">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71"/>
      <c r="Q25" s="1882">
        <f>B25</f>
        <v>111</v>
      </c>
      <c r="R25" s="752" t="s">
        <v>25</v>
      </c>
      <c r="S25" s="753">
        <f>F25</f>
        <v>100</v>
      </c>
      <c r="T25" s="752" t="s">
        <v>25</v>
      </c>
      <c r="U25" s="753">
        <f>H25</f>
        <v>100</v>
      </c>
      <c r="V25" s="752" t="s">
        <v>25</v>
      </c>
      <c r="W25" s="753">
        <f>J25</f>
        <v>100</v>
      </c>
      <c r="X25" s="1883"/>
      <c r="Y25" s="3071"/>
      <c r="Z25" s="1885">
        <f>Q25</f>
        <v>111</v>
      </c>
      <c r="AA25" s="1886">
        <f t="shared" si="3"/>
        <v>1</v>
      </c>
      <c r="AB25" s="1886">
        <f t="shared" si="4"/>
        <v>1</v>
      </c>
      <c r="AC25" s="1886">
        <f t="shared" si="5"/>
        <v>1</v>
      </c>
    </row>
    <row r="26" spans="1:29" ht="15">
      <c r="A26" s="408"/>
      <c r="B26" s="2396">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71"/>
      <c r="Q26" s="1882">
        <f t="shared" ref="Q26:Q40" si="11">B26</f>
        <v>111</v>
      </c>
      <c r="R26" s="752" t="s">
        <v>25</v>
      </c>
      <c r="S26" s="753">
        <f>F26</f>
        <v>100</v>
      </c>
      <c r="T26" s="752" t="s">
        <v>25</v>
      </c>
      <c r="U26" s="753">
        <f>H26</f>
        <v>100</v>
      </c>
      <c r="V26" s="752" t="s">
        <v>25</v>
      </c>
      <c r="W26" s="753">
        <f>J26</f>
        <v>100</v>
      </c>
      <c r="X26" s="1883"/>
      <c r="Y26" s="3071"/>
      <c r="Z26" s="1885">
        <f>Q26</f>
        <v>111</v>
      </c>
      <c r="AA26" s="1886">
        <f t="shared" si="3"/>
        <v>1</v>
      </c>
      <c r="AB26" s="1886">
        <f t="shared" si="4"/>
        <v>1</v>
      </c>
      <c r="AC26" s="1886">
        <f t="shared" si="5"/>
        <v>1</v>
      </c>
    </row>
    <row r="27" spans="1:29" s="35" customFormat="1" ht="15">
      <c r="A27" s="411"/>
      <c r="B27" s="2396">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71"/>
      <c r="Q27" s="1870">
        <f t="shared" si="11"/>
        <v>111</v>
      </c>
      <c r="R27" s="748" t="s">
        <v>25</v>
      </c>
      <c r="S27" s="749">
        <f>F27</f>
        <v>100</v>
      </c>
      <c r="T27" s="748" t="s">
        <v>25</v>
      </c>
      <c r="U27" s="749">
        <f>H27</f>
        <v>100</v>
      </c>
      <c r="V27" s="748" t="s">
        <v>25</v>
      </c>
      <c r="W27" s="749">
        <f>J27</f>
        <v>100</v>
      </c>
      <c r="X27" s="750"/>
      <c r="Y27" s="3071"/>
      <c r="Z27" s="23">
        <f>Q27</f>
        <v>111</v>
      </c>
      <c r="AA27" s="1886">
        <f>D27/F27</f>
        <v>1</v>
      </c>
      <c r="AB27" s="1886">
        <f>D27/H27</f>
        <v>1</v>
      </c>
      <c r="AC27" s="1886">
        <f>D27/J27</f>
        <v>1</v>
      </c>
    </row>
    <row r="28" spans="1:29" ht="15.75" thickBot="1">
      <c r="A28" s="416"/>
      <c r="B28" s="2396">
        <v>111</v>
      </c>
      <c r="C28" s="2386"/>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71"/>
      <c r="Q28" s="1882">
        <f t="shared" si="11"/>
        <v>111</v>
      </c>
      <c r="R28" s="752" t="s">
        <v>25</v>
      </c>
      <c r="S28" s="753">
        <f t="shared" ref="S28:S40" si="12">F28</f>
        <v>100</v>
      </c>
      <c r="T28" s="752" t="s">
        <v>25</v>
      </c>
      <c r="U28" s="753">
        <f t="shared" ref="U28:U40" si="13">H28</f>
        <v>100</v>
      </c>
      <c r="V28" s="752" t="s">
        <v>25</v>
      </c>
      <c r="W28" s="753">
        <f t="shared" ref="W28:W40" si="14">J28</f>
        <v>100</v>
      </c>
      <c r="X28" s="1883"/>
      <c r="Y28" s="3071"/>
      <c r="Z28" s="1885">
        <f t="shared" ref="Z28:Z40" si="15">Q28</f>
        <v>111</v>
      </c>
      <c r="AA28" s="1886">
        <f t="shared" si="3"/>
        <v>1</v>
      </c>
      <c r="AB28" s="1886">
        <f t="shared" si="4"/>
        <v>1</v>
      </c>
      <c r="AC28" s="1886">
        <f t="shared" si="5"/>
        <v>1</v>
      </c>
    </row>
    <row r="29" spans="1:29" ht="28.5">
      <c r="A29" s="447" t="s">
        <v>2353</v>
      </c>
      <c r="B29" s="28" t="s">
        <v>2469</v>
      </c>
      <c r="C29" s="2456" t="s">
        <v>2481</v>
      </c>
      <c r="D29" s="448">
        <v>100</v>
      </c>
      <c r="E29" s="2456"/>
      <c r="F29" s="442">
        <f>SUMIF(88:88,E29,89:89)-SUMIF(88:88,C29,89:89)+100</f>
        <v>100</v>
      </c>
      <c r="G29" s="2456"/>
      <c r="H29" s="415">
        <f>SUMIF(88:88,G29,89:89)-SUMIF(88:88,C29,89:89)+100</f>
        <v>100</v>
      </c>
      <c r="I29" s="2456"/>
      <c r="J29" s="448">
        <f>SUMIF(88:88,I29,89:89)-SUMIF(88:88,C29,89:89)+100</f>
        <v>100</v>
      </c>
      <c r="K29" s="596"/>
      <c r="L29" s="1245"/>
      <c r="M29" s="1236"/>
      <c r="N29" s="1236"/>
      <c r="O29" s="1244"/>
      <c r="P29" s="3098" t="s">
        <v>2355</v>
      </c>
      <c r="Q29" s="1882" t="str">
        <f t="shared" si="11"/>
        <v>建筑类型</v>
      </c>
      <c r="R29" s="752" t="s">
        <v>25</v>
      </c>
      <c r="S29" s="753">
        <f t="shared" si="12"/>
        <v>100</v>
      </c>
      <c r="T29" s="752" t="s">
        <v>25</v>
      </c>
      <c r="U29" s="753">
        <f t="shared" si="13"/>
        <v>100</v>
      </c>
      <c r="V29" s="752" t="s">
        <v>25</v>
      </c>
      <c r="W29" s="753">
        <f t="shared" si="14"/>
        <v>100</v>
      </c>
      <c r="X29" s="1883"/>
      <c r="Y29" s="3075" t="s">
        <v>2355</v>
      </c>
      <c r="Z29" s="1885" t="str">
        <f t="shared" si="15"/>
        <v>建筑类型</v>
      </c>
      <c r="AA29" s="1886">
        <f t="shared" si="3"/>
        <v>1</v>
      </c>
      <c r="AB29" s="1886">
        <f t="shared" si="4"/>
        <v>1</v>
      </c>
      <c r="AC29" s="1886">
        <f t="shared" si="5"/>
        <v>1</v>
      </c>
    </row>
    <row r="30" spans="1:29" s="452" customFormat="1" ht="15">
      <c r="A30" s="449"/>
      <c r="B30" s="402" t="s">
        <v>2356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75"/>
      <c r="Q30" s="754" t="str">
        <f t="shared" si="11"/>
        <v>项目建筑规模</v>
      </c>
      <c r="R30" s="755" t="s">
        <v>25</v>
      </c>
      <c r="S30" s="756" t="e">
        <f t="shared" si="12"/>
        <v>#N/A</v>
      </c>
      <c r="T30" s="755" t="s">
        <v>25</v>
      </c>
      <c r="U30" s="756" t="e">
        <f t="shared" si="13"/>
        <v>#N/A</v>
      </c>
      <c r="V30" s="755" t="s">
        <v>25</v>
      </c>
      <c r="W30" s="756" t="e">
        <f t="shared" si="14"/>
        <v>#N/A</v>
      </c>
      <c r="X30" s="757"/>
      <c r="Y30" s="3075"/>
      <c r="Z30" s="758" t="str">
        <f t="shared" si="15"/>
        <v>项目建筑规模</v>
      </c>
      <c r="AA30" s="1886" t="e">
        <f t="shared" si="3"/>
        <v>#N/A</v>
      </c>
      <c r="AB30" s="1886" t="e">
        <f t="shared" si="4"/>
        <v>#N/A</v>
      </c>
      <c r="AC30" s="1886" t="e">
        <f t="shared" si="5"/>
        <v>#N/A</v>
      </c>
    </row>
    <row r="31" spans="1:29" ht="15">
      <c r="A31" s="453"/>
      <c r="B31" s="402" t="s">
        <v>2357</v>
      </c>
      <c r="C31" s="441" t="s">
        <v>2482</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75"/>
      <c r="Q31" s="1882" t="str">
        <f t="shared" si="11"/>
        <v>建筑结构</v>
      </c>
      <c r="R31" s="752" t="s">
        <v>25</v>
      </c>
      <c r="S31" s="753">
        <f t="shared" si="12"/>
        <v>100</v>
      </c>
      <c r="T31" s="752" t="s">
        <v>25</v>
      </c>
      <c r="U31" s="753">
        <f t="shared" si="13"/>
        <v>100</v>
      </c>
      <c r="V31" s="752" t="s">
        <v>25</v>
      </c>
      <c r="W31" s="753">
        <f t="shared" si="14"/>
        <v>100</v>
      </c>
      <c r="X31" s="1883"/>
      <c r="Y31" s="3075"/>
      <c r="Z31" s="1885" t="str">
        <f t="shared" si="15"/>
        <v>建筑结构</v>
      </c>
      <c r="AA31" s="1886">
        <f t="shared" si="3"/>
        <v>1</v>
      </c>
      <c r="AB31" s="1886">
        <f t="shared" si="4"/>
        <v>1</v>
      </c>
      <c r="AC31" s="1886">
        <f t="shared" si="5"/>
        <v>1</v>
      </c>
    </row>
    <row r="32" spans="1:29" ht="15">
      <c r="A32" s="453"/>
      <c r="B32" s="402" t="s">
        <v>2442</v>
      </c>
      <c r="C32" s="441" t="s">
        <v>2483</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75"/>
      <c r="Q32" s="1882" t="str">
        <f t="shared" si="11"/>
        <v>公共部分装修</v>
      </c>
      <c r="R32" s="752" t="s">
        <v>25</v>
      </c>
      <c r="S32" s="753">
        <f t="shared" si="12"/>
        <v>100</v>
      </c>
      <c r="T32" s="752" t="s">
        <v>25</v>
      </c>
      <c r="U32" s="753">
        <f t="shared" si="13"/>
        <v>100</v>
      </c>
      <c r="V32" s="752" t="s">
        <v>25</v>
      </c>
      <c r="W32" s="753">
        <f t="shared" si="14"/>
        <v>100</v>
      </c>
      <c r="X32" s="1883"/>
      <c r="Y32" s="3075"/>
      <c r="Z32" s="1885" t="str">
        <f t="shared" si="15"/>
        <v>公共部分装修</v>
      </c>
      <c r="AA32" s="1886">
        <f t="shared" si="3"/>
        <v>1</v>
      </c>
      <c r="AB32" s="1886">
        <f t="shared" si="4"/>
        <v>1</v>
      </c>
      <c r="AC32" s="1886">
        <f t="shared" si="5"/>
        <v>1</v>
      </c>
    </row>
    <row r="33" spans="1:29" ht="15">
      <c r="A33" s="453"/>
      <c r="B33" s="402" t="s">
        <v>2443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75"/>
      <c r="Q33" s="1882" t="str">
        <f t="shared" si="11"/>
        <v>成新度</v>
      </c>
      <c r="R33" s="752" t="s">
        <v>25</v>
      </c>
      <c r="S33" s="753" t="e">
        <f t="shared" si="12"/>
        <v>#N/A</v>
      </c>
      <c r="T33" s="752" t="s">
        <v>25</v>
      </c>
      <c r="U33" s="753" t="e">
        <f t="shared" si="13"/>
        <v>#N/A</v>
      </c>
      <c r="V33" s="752" t="s">
        <v>25</v>
      </c>
      <c r="W33" s="753" t="e">
        <f t="shared" si="14"/>
        <v>#N/A</v>
      </c>
      <c r="X33" s="1883"/>
      <c r="Y33" s="3075"/>
      <c r="Z33" s="1885" t="str">
        <f t="shared" si="15"/>
        <v>成新度</v>
      </c>
      <c r="AA33" s="1886" t="e">
        <f t="shared" si="3"/>
        <v>#N/A</v>
      </c>
      <c r="AB33" s="1886" t="e">
        <f t="shared" si="4"/>
        <v>#N/A</v>
      </c>
      <c r="AC33" s="1886" t="e">
        <f t="shared" si="5"/>
        <v>#N/A</v>
      </c>
    </row>
    <row r="34" spans="1:29" s="35" customFormat="1" ht="15">
      <c r="A34" s="454"/>
      <c r="B34" s="402" t="s">
        <v>2471</v>
      </c>
      <c r="C34" s="441" t="s">
        <v>2484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75"/>
      <c r="Q34" s="1870" t="str">
        <f t="shared" si="11"/>
        <v>物业管理</v>
      </c>
      <c r="R34" s="748" t="s">
        <v>25</v>
      </c>
      <c r="S34" s="749">
        <f t="shared" si="12"/>
        <v>100</v>
      </c>
      <c r="T34" s="748" t="s">
        <v>25</v>
      </c>
      <c r="U34" s="749">
        <f t="shared" si="13"/>
        <v>100</v>
      </c>
      <c r="V34" s="748" t="s">
        <v>25</v>
      </c>
      <c r="W34" s="749">
        <f t="shared" si="14"/>
        <v>100</v>
      </c>
      <c r="X34" s="750"/>
      <c r="Y34" s="3075"/>
      <c r="Z34" s="23" t="str">
        <f t="shared" si="15"/>
        <v>物业管理</v>
      </c>
      <c r="AA34" s="751">
        <f t="shared" si="3"/>
        <v>1</v>
      </c>
      <c r="AB34" s="751">
        <f t="shared" si="4"/>
        <v>1</v>
      </c>
      <c r="AC34" s="751">
        <f t="shared" si="5"/>
        <v>1</v>
      </c>
    </row>
    <row r="35" spans="1:29" ht="15">
      <c r="A35" s="453"/>
      <c r="B35" s="402" t="s">
        <v>2444</v>
      </c>
      <c r="C35" s="441" t="s">
        <v>2485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75" t="s">
        <v>2355</v>
      </c>
      <c r="Q35" s="1882" t="str">
        <f t="shared" si="11"/>
        <v>市政基础设施</v>
      </c>
      <c r="R35" s="752" t="s">
        <v>25</v>
      </c>
      <c r="S35" s="753">
        <f t="shared" si="12"/>
        <v>100</v>
      </c>
      <c r="T35" s="752" t="s">
        <v>25</v>
      </c>
      <c r="U35" s="753">
        <f t="shared" si="13"/>
        <v>100</v>
      </c>
      <c r="V35" s="752" t="s">
        <v>25</v>
      </c>
      <c r="W35" s="753">
        <f t="shared" si="14"/>
        <v>100</v>
      </c>
      <c r="X35" s="1883"/>
      <c r="Y35" s="3075" t="s">
        <v>2355</v>
      </c>
      <c r="Z35" s="1885" t="str">
        <f t="shared" si="15"/>
        <v>市政基础设施</v>
      </c>
      <c r="AA35" s="1886">
        <f t="shared" si="3"/>
        <v>1</v>
      </c>
      <c r="AB35" s="1886">
        <f t="shared" si="4"/>
        <v>1</v>
      </c>
      <c r="AC35" s="1886">
        <f t="shared" si="5"/>
        <v>1</v>
      </c>
    </row>
    <row r="36" spans="1:29" ht="15">
      <c r="A36" s="453"/>
      <c r="B36" s="402" t="s">
        <v>2449</v>
      </c>
      <c r="C36" s="441" t="s">
        <v>2483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75"/>
      <c r="Q36" s="1882" t="str">
        <f t="shared" si="11"/>
        <v>内部装修</v>
      </c>
      <c r="R36" s="752" t="s">
        <v>25</v>
      </c>
      <c r="S36" s="753">
        <f t="shared" si="12"/>
        <v>100</v>
      </c>
      <c r="T36" s="752" t="s">
        <v>25</v>
      </c>
      <c r="U36" s="753">
        <f t="shared" si="13"/>
        <v>100</v>
      </c>
      <c r="V36" s="752" t="s">
        <v>25</v>
      </c>
      <c r="W36" s="753">
        <f t="shared" si="14"/>
        <v>100</v>
      </c>
      <c r="X36" s="1883"/>
      <c r="Y36" s="3075"/>
      <c r="Z36" s="1885" t="str">
        <f t="shared" si="15"/>
        <v>内部装修</v>
      </c>
      <c r="AA36" s="1886">
        <f t="shared" si="3"/>
        <v>1</v>
      </c>
      <c r="AB36" s="1886">
        <f t="shared" si="4"/>
        <v>1</v>
      </c>
      <c r="AC36" s="1886">
        <f t="shared" si="5"/>
        <v>1</v>
      </c>
    </row>
    <row r="37" spans="1:29" ht="15">
      <c r="A37" s="453"/>
      <c r="B37" s="402" t="s">
        <v>2486</v>
      </c>
      <c r="C37" s="600" t="s">
        <v>2487</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75"/>
      <c r="Q37" s="1882" t="str">
        <f t="shared" si="11"/>
        <v>内部装修状况</v>
      </c>
      <c r="R37" s="752" t="s">
        <v>25</v>
      </c>
      <c r="S37" s="753">
        <f t="shared" si="12"/>
        <v>0</v>
      </c>
      <c r="T37" s="752" t="s">
        <v>25</v>
      </c>
      <c r="U37" s="753">
        <f t="shared" si="13"/>
        <v>0</v>
      </c>
      <c r="V37" s="752" t="s">
        <v>25</v>
      </c>
      <c r="W37" s="753">
        <f t="shared" si="14"/>
        <v>0</v>
      </c>
      <c r="X37" s="1883"/>
      <c r="Y37" s="3075"/>
      <c r="Z37" s="1885" t="str">
        <f t="shared" si="15"/>
        <v>内部装修状况</v>
      </c>
      <c r="AA37" s="1886" t="e">
        <f t="shared" si="3"/>
        <v>#DIV/0!</v>
      </c>
      <c r="AB37" s="1886" t="e">
        <f t="shared" si="4"/>
        <v>#DIV/0!</v>
      </c>
      <c r="AC37" s="1886" t="e">
        <f t="shared" si="5"/>
        <v>#DIV/0!</v>
      </c>
    </row>
    <row r="38" spans="1:29" s="452" customFormat="1" ht="15">
      <c r="A38" s="449"/>
      <c r="B38" s="239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75"/>
      <c r="Q38" s="754">
        <f t="shared" si="11"/>
        <v>111</v>
      </c>
      <c r="R38" s="755" t="s">
        <v>25</v>
      </c>
      <c r="S38" s="756">
        <f t="shared" si="12"/>
        <v>100</v>
      </c>
      <c r="T38" s="755" t="s">
        <v>25</v>
      </c>
      <c r="U38" s="756">
        <f t="shared" si="13"/>
        <v>100</v>
      </c>
      <c r="V38" s="755" t="s">
        <v>25</v>
      </c>
      <c r="W38" s="756">
        <f t="shared" si="14"/>
        <v>100</v>
      </c>
      <c r="X38" s="757"/>
      <c r="Y38" s="3075"/>
      <c r="Z38" s="758">
        <f t="shared" si="15"/>
        <v>111</v>
      </c>
      <c r="AA38" s="1886">
        <f t="shared" si="3"/>
        <v>1</v>
      </c>
      <c r="AB38" s="1886">
        <f t="shared" si="4"/>
        <v>1</v>
      </c>
      <c r="AC38" s="1886">
        <f t="shared" si="5"/>
        <v>1</v>
      </c>
    </row>
    <row r="39" spans="1:29" ht="15">
      <c r="A39" s="453"/>
      <c r="B39" s="239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75"/>
      <c r="Q39" s="1882">
        <f t="shared" si="11"/>
        <v>111</v>
      </c>
      <c r="R39" s="752" t="s">
        <v>25</v>
      </c>
      <c r="S39" s="753">
        <f t="shared" si="12"/>
        <v>100</v>
      </c>
      <c r="T39" s="752" t="s">
        <v>25</v>
      </c>
      <c r="U39" s="753">
        <f t="shared" si="13"/>
        <v>100</v>
      </c>
      <c r="V39" s="752" t="s">
        <v>25</v>
      </c>
      <c r="W39" s="753">
        <f t="shared" si="14"/>
        <v>100</v>
      </c>
      <c r="X39" s="1883"/>
      <c r="Y39" s="3075"/>
      <c r="Z39" s="1885">
        <f t="shared" si="15"/>
        <v>111</v>
      </c>
      <c r="AA39" s="1886">
        <f t="shared" si="3"/>
        <v>1</v>
      </c>
      <c r="AB39" s="1886">
        <f t="shared" si="4"/>
        <v>1</v>
      </c>
      <c r="AC39" s="1886">
        <f t="shared" si="5"/>
        <v>1</v>
      </c>
    </row>
    <row r="40" spans="1:29" ht="15.75" thickBot="1">
      <c r="A40" s="459"/>
      <c r="B40" s="2385">
        <v>111</v>
      </c>
      <c r="C40" s="238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76"/>
      <c r="Q40" s="1882">
        <f t="shared" si="11"/>
        <v>111</v>
      </c>
      <c r="R40" s="752" t="s">
        <v>25</v>
      </c>
      <c r="S40" s="753">
        <f t="shared" si="12"/>
        <v>100</v>
      </c>
      <c r="T40" s="752" t="s">
        <v>25</v>
      </c>
      <c r="U40" s="753">
        <f t="shared" si="13"/>
        <v>100</v>
      </c>
      <c r="V40" s="752" t="s">
        <v>25</v>
      </c>
      <c r="W40" s="753">
        <f t="shared" si="14"/>
        <v>100</v>
      </c>
      <c r="X40" s="1883"/>
      <c r="Y40" s="3076"/>
      <c r="Z40" s="1885">
        <f t="shared" si="15"/>
        <v>111</v>
      </c>
      <c r="AA40" s="1886">
        <f t="shared" si="3"/>
        <v>1</v>
      </c>
      <c r="AB40" s="1886">
        <f t="shared" si="4"/>
        <v>1</v>
      </c>
      <c r="AC40" s="1886">
        <f t="shared" si="5"/>
        <v>1</v>
      </c>
    </row>
    <row r="41" spans="1:29" ht="15">
      <c r="A41" s="460" t="s">
        <v>2367</v>
      </c>
      <c r="B41" s="461"/>
      <c r="C41" s="1494" t="s">
        <v>1</v>
      </c>
      <c r="D41" s="1495"/>
      <c r="E41" s="1496"/>
      <c r="F41" s="1497"/>
      <c r="G41" s="1498"/>
      <c r="H41" s="1499"/>
      <c r="I41" s="1496"/>
      <c r="J41" s="1499"/>
      <c r="K41" s="761"/>
      <c r="L41" s="1248"/>
      <c r="M41" s="1249"/>
      <c r="N41" s="1236"/>
      <c r="O41" s="1249"/>
      <c r="P41" s="3081" t="str">
        <f>A41</f>
        <v>成交单价（元/平方米）</v>
      </c>
      <c r="Q41" s="3081"/>
      <c r="R41" s="3082">
        <f>E41</f>
        <v>0</v>
      </c>
      <c r="S41" s="3082"/>
      <c r="T41" s="3082">
        <f>G41</f>
        <v>0</v>
      </c>
      <c r="U41" s="3082"/>
      <c r="V41" s="3082">
        <f>I41</f>
        <v>0</v>
      </c>
      <c r="W41" s="3082"/>
      <c r="X41" s="737"/>
      <c r="Y41" s="759"/>
      <c r="Z41" s="737"/>
      <c r="AA41" s="737"/>
      <c r="AB41" s="737"/>
      <c r="AC41" s="737"/>
    </row>
    <row r="42" spans="1:29" ht="15.75" thickBot="1">
      <c r="A42" s="467" t="s">
        <v>2450</v>
      </c>
      <c r="B42" s="468"/>
      <c r="C42" s="1500" t="e">
        <f>R43</f>
        <v>#DIV/0!</v>
      </c>
      <c r="D42" s="1501"/>
      <c r="E42" s="1502" t="e">
        <f>R42</f>
        <v>#DIV/0!</v>
      </c>
      <c r="F42" s="1502"/>
      <c r="G42" s="1500" t="e">
        <f>T42</f>
        <v>#DIV/0!</v>
      </c>
      <c r="H42" s="1501"/>
      <c r="I42" s="1502" t="e">
        <f>V42</f>
        <v>#DIV/0!</v>
      </c>
      <c r="J42" s="1501"/>
      <c r="K42" s="762"/>
      <c r="L42" s="1248"/>
      <c r="M42" s="1249"/>
      <c r="N42" s="1236"/>
      <c r="O42" s="1249"/>
      <c r="P42" s="3081" t="str">
        <f>A42</f>
        <v>比较价值（元/平方米）</v>
      </c>
      <c r="Q42" s="3081"/>
      <c r="R42" s="3082" t="e">
        <f>IF(E1="售价",ROUND(PRODUCT(R41,AA7:AA40),0),ROUND(PRODUCT(R41,AA7:AA40),1))</f>
        <v>#DIV/0!</v>
      </c>
      <c r="S42" s="3082"/>
      <c r="T42" s="3082" t="e">
        <f>IF(E1="售价",ROUND(PRODUCT(T41,AB7:AB40),0),ROUND(PRODUCT(T41,AB7:AB40),1))</f>
        <v>#DIV/0!</v>
      </c>
      <c r="U42" s="3082"/>
      <c r="V42" s="3082" t="e">
        <f>IF(E1="售价",ROUND(PRODUCT(V41,AC7:AC40),0),ROUND(PRODUCT(V41,AC7:AC40),1))</f>
        <v>#DIV/0!</v>
      </c>
      <c r="W42" s="3082"/>
      <c r="X42" s="737"/>
      <c r="Y42" s="737"/>
      <c r="Z42" s="737"/>
      <c r="AA42" s="737"/>
      <c r="AB42" s="737"/>
      <c r="AC42" s="737"/>
    </row>
    <row r="43" spans="1:29" ht="15.75" thickBot="1">
      <c r="A43" s="473" t="s">
        <v>2473</v>
      </c>
      <c r="B43" s="474"/>
      <c r="C43" s="1504" t="e">
        <f>R43</f>
        <v>#DIV/0!</v>
      </c>
      <c r="D43" s="1504"/>
      <c r="E43" s="1504"/>
      <c r="F43" s="1504"/>
      <c r="G43" s="1504"/>
      <c r="H43" s="1504"/>
      <c r="I43" s="1504"/>
      <c r="J43" s="1504"/>
      <c r="K43" s="763"/>
      <c r="L43" s="1248"/>
      <c r="M43" s="1249"/>
      <c r="N43" s="1249"/>
      <c r="O43" s="1249"/>
      <c r="P43" s="3087" t="str">
        <f>A43</f>
        <v>估价对象XX用房的比较价值（楼面单价，元/平方米）</v>
      </c>
      <c r="Q43" s="3088"/>
      <c r="R43" s="3089" t="e">
        <f>IF(E1="售价",ROUND(AVERAGE(R42:V42),0),ROUND(AVERAGE(R42:V42),1))</f>
        <v>#DIV/0!</v>
      </c>
      <c r="S43" s="3089"/>
      <c r="T43" s="3089"/>
      <c r="U43" s="3089"/>
      <c r="V43" s="3089"/>
      <c r="W43" s="3089"/>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2452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2453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2454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2455</v>
      </c>
      <c r="B51" s="737"/>
      <c r="C51" s="742"/>
      <c r="D51" s="742"/>
      <c r="E51" s="742"/>
      <c r="F51" s="743"/>
      <c r="G51" s="743"/>
      <c r="H51" s="742"/>
      <c r="I51" s="742"/>
      <c r="J51" s="742"/>
      <c r="K51" s="744"/>
      <c r="L51" s="745"/>
      <c r="M51" s="742"/>
      <c r="N51" s="742"/>
      <c r="O51" s="742"/>
      <c r="P51" s="484"/>
      <c r="Q51" s="485"/>
    </row>
    <row r="52" spans="1:17" s="489" customFormat="1" ht="15">
      <c r="A52" s="486" t="s">
        <v>2338</v>
      </c>
      <c r="B52" s="487"/>
      <c r="C52" s="1670" t="str">
        <f>YEAR(C7)&amp;"-"&amp;MONTH(C7)</f>
        <v>2020-6</v>
      </c>
      <c r="D52" s="1671">
        <f>EDATE(C52,-1)</f>
        <v>43952</v>
      </c>
      <c r="E52" s="1672">
        <f t="shared" ref="E52:O52" si="16">EDATE(D52,-1)</f>
        <v>43922</v>
      </c>
      <c r="F52" s="1672">
        <f t="shared" si="16"/>
        <v>43891</v>
      </c>
      <c r="G52" s="1672">
        <f t="shared" si="16"/>
        <v>43862</v>
      </c>
      <c r="H52" s="1672">
        <f t="shared" si="16"/>
        <v>43831</v>
      </c>
      <c r="I52" s="1672">
        <f t="shared" si="16"/>
        <v>43800</v>
      </c>
      <c r="J52" s="1672">
        <f t="shared" si="16"/>
        <v>43770</v>
      </c>
      <c r="K52" s="1672">
        <f t="shared" si="16"/>
        <v>43739</v>
      </c>
      <c r="L52" s="1672">
        <f t="shared" si="16"/>
        <v>43709</v>
      </c>
      <c r="M52" s="1672">
        <f t="shared" si="16"/>
        <v>43678</v>
      </c>
      <c r="N52" s="1672">
        <f t="shared" si="16"/>
        <v>43647</v>
      </c>
      <c r="O52" s="1672">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2375</v>
      </c>
      <c r="B54" s="497"/>
      <c r="C54" s="498"/>
      <c r="D54" s="499"/>
      <c r="E54" s="499"/>
      <c r="F54" s="499"/>
      <c r="G54" s="499"/>
      <c r="H54" s="499"/>
      <c r="I54" s="499"/>
      <c r="J54" s="499"/>
      <c r="K54" s="499"/>
      <c r="L54" s="499"/>
      <c r="M54" s="500"/>
      <c r="N54" s="499"/>
      <c r="O54" s="501"/>
      <c r="P54" s="485"/>
      <c r="Q54" s="485"/>
    </row>
    <row r="55" spans="1:17" s="35" customFormat="1" ht="15">
      <c r="A55" s="502" t="s">
        <v>2340</v>
      </c>
      <c r="B55" s="491"/>
      <c r="C55" s="503" t="s">
        <v>2341</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2378</v>
      </c>
      <c r="B57" s="509" t="s">
        <v>2344</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2347</v>
      </c>
      <c r="C59" s="522" t="s">
        <v>2379</v>
      </c>
      <c r="D59" s="522" t="s">
        <v>2380</v>
      </c>
      <c r="E59" s="522" t="s">
        <v>2381</v>
      </c>
      <c r="F59" s="522" t="s">
        <v>2382</v>
      </c>
      <c r="G59" s="522" t="s">
        <v>2383</v>
      </c>
      <c r="H59" s="522" t="s">
        <v>2384</v>
      </c>
      <c r="I59" s="522" t="s">
        <v>2385</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2348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2349</v>
      </c>
      <c r="B70" s="509" t="s">
        <v>2488</v>
      </c>
      <c r="C70" s="557" t="s">
        <v>2387</v>
      </c>
      <c r="D70" s="557" t="s">
        <v>2388</v>
      </c>
      <c r="E70" s="557" t="s">
        <v>2389</v>
      </c>
      <c r="F70" s="557" t="s">
        <v>2390</v>
      </c>
      <c r="G70" s="557" t="s">
        <v>2391</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2392</v>
      </c>
      <c r="C72" s="562" t="s">
        <v>2387</v>
      </c>
      <c r="D72" s="562" t="s">
        <v>2388</v>
      </c>
      <c r="E72" s="562" t="s">
        <v>2389</v>
      </c>
      <c r="F72" s="562" t="s">
        <v>2390</v>
      </c>
      <c r="G72" s="562" t="s">
        <v>2391</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2393</v>
      </c>
      <c r="C74" s="562" t="s">
        <v>2387</v>
      </c>
      <c r="D74" s="562" t="s">
        <v>2388</v>
      </c>
      <c r="E74" s="562" t="s">
        <v>2389</v>
      </c>
      <c r="F74" s="562" t="s">
        <v>2390</v>
      </c>
      <c r="G74" s="562" t="s">
        <v>2391</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2465</v>
      </c>
      <c r="C76" s="522" t="s">
        <v>2394</v>
      </c>
      <c r="D76" s="522" t="s">
        <v>2395</v>
      </c>
      <c r="E76" s="522" t="s">
        <v>2396</v>
      </c>
      <c r="F76" s="522" t="s">
        <v>2397</v>
      </c>
      <c r="G76" s="522" t="s">
        <v>2398</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2475</v>
      </c>
      <c r="C78" s="562" t="s">
        <v>2387</v>
      </c>
      <c r="D78" s="562" t="s">
        <v>2388</v>
      </c>
      <c r="E78" s="562" t="s">
        <v>2389</v>
      </c>
      <c r="F78" s="562" t="s">
        <v>2390</v>
      </c>
      <c r="G78" s="562" t="s">
        <v>2391</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5"/>
      <c r="B87" s="553"/>
      <c r="C87" s="554"/>
      <c r="D87" s="554"/>
      <c r="E87" s="554"/>
      <c r="F87" s="554"/>
      <c r="G87" s="575"/>
      <c r="H87" s="575"/>
      <c r="I87" s="575"/>
      <c r="J87" s="575"/>
      <c r="K87" s="575"/>
      <c r="L87" s="575"/>
      <c r="M87" s="576"/>
      <c r="N87" s="1260"/>
      <c r="O87" s="1260"/>
      <c r="P87" s="22"/>
      <c r="Q87" s="485"/>
    </row>
    <row r="88" spans="1:17">
      <c r="A88" s="508" t="s">
        <v>2353</v>
      </c>
      <c r="B88" s="509" t="s">
        <v>2402</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2403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2404</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2406</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2407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2408</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2409</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2411</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2489</v>
      </c>
      <c r="C106" s="562" t="s">
        <v>2387</v>
      </c>
      <c r="D106" s="562" t="s">
        <v>2388</v>
      </c>
      <c r="E106" s="562" t="s">
        <v>2389</v>
      </c>
      <c r="F106" s="562" t="s">
        <v>2390</v>
      </c>
      <c r="G106" s="562" t="s">
        <v>2391</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5"/>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B39" activeCellId="2" sqref="I3 B39 B3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2490</v>
      </c>
      <c r="B1" s="2463"/>
      <c r="C1" s="1721"/>
      <c r="D1" s="1722"/>
      <c r="E1" s="2366"/>
      <c r="F1" s="1723" t="s">
        <v>2323</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1998</v>
      </c>
      <c r="B2" s="1717" t="e">
        <f ca="1">IF(D2="——",IF(B37="元/平方米",IF(C2="元",ROUND(C39*D3,0),ROUND(C39*D3/10000,0)),IF(C2="元",ROUND(F3*C39,0),ROUND(F3*C39/10000,0))),IF(B37="元/平方米",IF(C2="元",ROUND(C39*D3,0),ROUND(C39*D3/10000,0)),IF(C2="元",ROUND(F3*C39,0),ROUND(F3*C39/10000,0)))-E2)</f>
        <v>#DIV/0!</v>
      </c>
      <c r="C2" s="163" t="str">
        <f>'数据-取费表'!B3</f>
        <v>万元</v>
      </c>
      <c r="D2" s="2368"/>
      <c r="E2" s="1206" t="e">
        <f ca="1">SUMIF(INDIRECT("'"&amp;G2&amp;"'"&amp;"!A:A"),"承租人权益价值",INDIRECT("'"&amp;G2&amp;"'"&amp;"!c:c"))</f>
        <v>#REF!</v>
      </c>
      <c r="F2" s="2369" t="str">
        <f>C2</f>
        <v>万元</v>
      </c>
      <c r="G2" s="2370"/>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1999</v>
      </c>
      <c r="B3" s="593" t="e">
        <f>IF(AND(D2="——",B37="元/平方米"),C39,ROUND(F3*C39/D3,0))</f>
        <v>#DIV/0!</v>
      </c>
      <c r="C3" s="379" t="s">
        <v>2324</v>
      </c>
      <c r="D3" s="378">
        <f>IF(C1="仅计算典型户型",'数据-取费表'!E5,'数据-取费表'!B5)</f>
        <v>0</v>
      </c>
      <c r="E3" s="1086" t="s">
        <v>2491</v>
      </c>
      <c r="F3" s="379">
        <f>'数据-取费表'!B41</f>
        <v>1</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2325</v>
      </c>
      <c r="B4" s="381"/>
      <c r="C4" s="3045" t="s">
        <v>2326</v>
      </c>
      <c r="D4" s="3046"/>
      <c r="E4" s="3047" t="s">
        <v>2327</v>
      </c>
      <c r="F4" s="3048"/>
      <c r="G4" s="3045" t="s">
        <v>2328</v>
      </c>
      <c r="H4" s="3046"/>
      <c r="I4" s="3045" t="s">
        <v>2329</v>
      </c>
      <c r="J4" s="3046"/>
      <c r="K4" s="594" t="s">
        <v>2330</v>
      </c>
      <c r="L4" s="1506"/>
      <c r="M4" s="425"/>
      <c r="N4" s="425"/>
      <c r="O4" s="425"/>
      <c r="P4" s="3049" t="s">
        <v>2331</v>
      </c>
      <c r="Q4" s="3050"/>
      <c r="R4" s="3055" t="s">
        <v>2327</v>
      </c>
      <c r="S4" s="3056"/>
      <c r="T4" s="3055" t="s">
        <v>2328</v>
      </c>
      <c r="U4" s="3056"/>
      <c r="V4" s="3061" t="s">
        <v>2329</v>
      </c>
      <c r="W4" s="3061"/>
      <c r="X4" s="1883"/>
      <c r="Y4" s="3055" t="s">
        <v>2331</v>
      </c>
      <c r="Z4" s="3056"/>
      <c r="AA4" s="3042" t="s">
        <v>2327</v>
      </c>
      <c r="AB4" s="3043" t="s">
        <v>2328</v>
      </c>
      <c r="AC4" s="3042" t="s">
        <v>2329</v>
      </c>
    </row>
    <row r="5" spans="1:29" ht="15">
      <c r="A5" s="383"/>
      <c r="B5" s="384"/>
      <c r="C5" s="3064" t="s">
        <v>2332</v>
      </c>
      <c r="D5" s="3065"/>
      <c r="E5" s="3090" t="s">
        <v>2333</v>
      </c>
      <c r="F5" s="3063"/>
      <c r="G5" s="3064" t="s">
        <v>2334</v>
      </c>
      <c r="H5" s="3065"/>
      <c r="I5" s="3064" t="s">
        <v>2335</v>
      </c>
      <c r="J5" s="3065"/>
      <c r="K5" s="594"/>
      <c r="L5" s="1506"/>
      <c r="M5" s="425"/>
      <c r="N5" s="425"/>
      <c r="O5" s="425"/>
      <c r="P5" s="3051"/>
      <c r="Q5" s="3052"/>
      <c r="R5" s="3057"/>
      <c r="S5" s="3058"/>
      <c r="T5" s="3057"/>
      <c r="U5" s="3058"/>
      <c r="V5" s="3061"/>
      <c r="W5" s="3061"/>
      <c r="X5" s="1883"/>
      <c r="Y5" s="3057"/>
      <c r="Z5" s="3058"/>
      <c r="AA5" s="3043"/>
      <c r="AB5" s="3043"/>
      <c r="AC5" s="3043"/>
    </row>
    <row r="6" spans="1:29" ht="15.75" thickBot="1">
      <c r="A6" s="385"/>
      <c r="B6" s="386"/>
      <c r="C6" s="3066" t="s">
        <v>2336</v>
      </c>
      <c r="D6" s="3067"/>
      <c r="E6" s="3068" t="s">
        <v>2336</v>
      </c>
      <c r="F6" s="3069"/>
      <c r="G6" s="3066" t="s">
        <v>2336</v>
      </c>
      <c r="H6" s="3067"/>
      <c r="I6" s="3066" t="s">
        <v>2336</v>
      </c>
      <c r="J6" s="3067"/>
      <c r="K6" s="594" t="s">
        <v>2337</v>
      </c>
      <c r="L6" s="1506"/>
      <c r="M6" s="425"/>
      <c r="N6" s="425"/>
      <c r="O6" s="425"/>
      <c r="P6" s="3053"/>
      <c r="Q6" s="3054"/>
      <c r="R6" s="3057"/>
      <c r="S6" s="3058"/>
      <c r="T6" s="3059"/>
      <c r="U6" s="3060"/>
      <c r="V6" s="3061"/>
      <c r="W6" s="3061"/>
      <c r="X6" s="1883"/>
      <c r="Y6" s="3059"/>
      <c r="Z6" s="3060"/>
      <c r="AA6" s="3044"/>
      <c r="AB6" s="3044"/>
      <c r="AC6" s="3044"/>
    </row>
    <row r="7" spans="1:29" s="35" customFormat="1" ht="15.75" thickBot="1">
      <c r="A7" s="387" t="s">
        <v>2338</v>
      </c>
      <c r="B7" s="388"/>
      <c r="C7" s="389">
        <f>'数据-取费表'!B2</f>
        <v>43999</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77" t="s">
        <v>2339</v>
      </c>
      <c r="Q7" s="3079"/>
      <c r="R7" s="748" t="s">
        <v>25</v>
      </c>
      <c r="S7" s="749">
        <f t="shared" ref="S7:S14" si="0">F7</f>
        <v>0</v>
      </c>
      <c r="T7" s="748" t="s">
        <v>25</v>
      </c>
      <c r="U7" s="749">
        <f t="shared" ref="U7:U14" si="1">H7</f>
        <v>0</v>
      </c>
      <c r="V7" s="748" t="s">
        <v>25</v>
      </c>
      <c r="W7" s="749">
        <f t="shared" ref="W7:W14" si="2">J7</f>
        <v>0</v>
      </c>
      <c r="X7" s="750"/>
      <c r="Y7" s="3077" t="s">
        <v>2339</v>
      </c>
      <c r="Z7" s="3078"/>
      <c r="AA7" s="751" t="e">
        <f>D7/F7</f>
        <v>#DIV/0!</v>
      </c>
      <c r="AB7" s="751" t="e">
        <f>D7/H7</f>
        <v>#DIV/0!</v>
      </c>
      <c r="AC7" s="751" t="e">
        <f>D7/J7</f>
        <v>#DIV/0!</v>
      </c>
    </row>
    <row r="8" spans="1:29" s="35" customFormat="1" ht="15.75" thickBot="1">
      <c r="A8" s="387" t="s">
        <v>2340</v>
      </c>
      <c r="B8" s="388"/>
      <c r="C8" s="394" t="s">
        <v>2341</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77" t="s">
        <v>2342</v>
      </c>
      <c r="Q8" s="3078"/>
      <c r="R8" s="748" t="s">
        <v>25</v>
      </c>
      <c r="S8" s="749">
        <f t="shared" si="0"/>
        <v>0</v>
      </c>
      <c r="T8" s="748" t="s">
        <v>25</v>
      </c>
      <c r="U8" s="749">
        <f t="shared" si="1"/>
        <v>0</v>
      </c>
      <c r="V8" s="748" t="s">
        <v>25</v>
      </c>
      <c r="W8" s="749">
        <f t="shared" si="2"/>
        <v>0</v>
      </c>
      <c r="X8" s="750"/>
      <c r="Y8" s="3077" t="s">
        <v>2342</v>
      </c>
      <c r="Z8" s="3078"/>
      <c r="AA8" s="751" t="e">
        <f t="shared" ref="AA8:AA36" si="3">D8/F8</f>
        <v>#DIV/0!</v>
      </c>
      <c r="AB8" s="751" t="e">
        <f t="shared" ref="AB8:AB36" si="4">D8/H8</f>
        <v>#DIV/0!</v>
      </c>
      <c r="AC8" s="751" t="e">
        <f t="shared" ref="AC8:AC36" si="5">D8/J8</f>
        <v>#DIV/0!</v>
      </c>
    </row>
    <row r="9" spans="1:29" s="35" customFormat="1">
      <c r="A9" s="25" t="s">
        <v>2343</v>
      </c>
      <c r="B9" s="624" t="s">
        <v>2344</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81" t="s">
        <v>2345</v>
      </c>
      <c r="Q9" s="1870" t="str">
        <f t="shared" ref="Q9:Q14" si="6">B9</f>
        <v>用途</v>
      </c>
      <c r="R9" s="748" t="s">
        <v>25</v>
      </c>
      <c r="S9" s="749">
        <f t="shared" si="0"/>
        <v>100</v>
      </c>
      <c r="T9" s="748" t="s">
        <v>25</v>
      </c>
      <c r="U9" s="749">
        <f t="shared" si="1"/>
        <v>100</v>
      </c>
      <c r="V9" s="748" t="s">
        <v>25</v>
      </c>
      <c r="W9" s="749">
        <f t="shared" si="2"/>
        <v>100</v>
      </c>
      <c r="X9" s="750"/>
      <c r="Y9" s="2891" t="s">
        <v>2346</v>
      </c>
      <c r="Z9" s="23" t="str">
        <f t="shared" ref="Z9:Z14" si="7">Q9</f>
        <v>用途</v>
      </c>
      <c r="AA9" s="751">
        <f t="shared" si="3"/>
        <v>1</v>
      </c>
      <c r="AB9" s="751">
        <f t="shared" si="4"/>
        <v>1</v>
      </c>
      <c r="AC9" s="751">
        <f t="shared" si="5"/>
        <v>1</v>
      </c>
    </row>
    <row r="10" spans="1:29" s="407" customFormat="1" ht="27">
      <c r="A10" s="625"/>
      <c r="B10" s="626" t="s">
        <v>2347</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81"/>
      <c r="Q10" s="1870"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84"/>
      <c r="P11" s="3081"/>
      <c r="Q11" s="1870">
        <f t="shared" si="6"/>
        <v>111</v>
      </c>
      <c r="R11" s="748" t="s">
        <v>25</v>
      </c>
      <c r="S11" s="749">
        <f t="shared" si="0"/>
        <v>100</v>
      </c>
      <c r="T11" s="748" t="s">
        <v>25</v>
      </c>
      <c r="U11" s="749">
        <f t="shared" si="1"/>
        <v>100</v>
      </c>
      <c r="V11" s="748" t="s">
        <v>25</v>
      </c>
      <c r="W11" s="749">
        <f t="shared" si="2"/>
        <v>100</v>
      </c>
      <c r="X11" s="750"/>
      <c r="Y11" s="289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81"/>
      <c r="Q12" s="1870">
        <f t="shared" si="6"/>
        <v>111</v>
      </c>
      <c r="R12" s="748" t="s">
        <v>25</v>
      </c>
      <c r="S12" s="749">
        <f t="shared" si="0"/>
        <v>100</v>
      </c>
      <c r="T12" s="748" t="s">
        <v>25</v>
      </c>
      <c r="U12" s="749">
        <f t="shared" si="1"/>
        <v>100</v>
      </c>
      <c r="V12" s="748" t="s">
        <v>25</v>
      </c>
      <c r="W12" s="749">
        <f t="shared" si="2"/>
        <v>100</v>
      </c>
      <c r="X12" s="750"/>
      <c r="Y12" s="289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84"/>
      <c r="P13" s="3081"/>
      <c r="Q13" s="1870">
        <f t="shared" si="6"/>
        <v>111</v>
      </c>
      <c r="R13" s="748" t="s">
        <v>25</v>
      </c>
      <c r="S13" s="749">
        <f t="shared" si="0"/>
        <v>100</v>
      </c>
      <c r="T13" s="748" t="s">
        <v>25</v>
      </c>
      <c r="U13" s="749">
        <f t="shared" si="1"/>
        <v>100</v>
      </c>
      <c r="V13" s="748" t="s">
        <v>25</v>
      </c>
      <c r="W13" s="749">
        <f t="shared" si="2"/>
        <v>100</v>
      </c>
      <c r="X13" s="750"/>
      <c r="Y13" s="2891"/>
      <c r="Z13" s="23">
        <f t="shared" si="7"/>
        <v>111</v>
      </c>
      <c r="AA13" s="751">
        <f t="shared" si="3"/>
        <v>1</v>
      </c>
      <c r="AB13" s="751">
        <f t="shared" si="4"/>
        <v>1</v>
      </c>
      <c r="AC13" s="751">
        <f t="shared" si="5"/>
        <v>1</v>
      </c>
    </row>
    <row r="14" spans="1:29" ht="85.5">
      <c r="A14" s="380" t="s">
        <v>2349</v>
      </c>
      <c r="B14" s="613" t="s">
        <v>2492</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84"/>
      <c r="P14" s="3070" t="s">
        <v>2350</v>
      </c>
      <c r="Q14" s="1882" t="str">
        <f t="shared" si="6"/>
        <v>交通便捷度</v>
      </c>
      <c r="R14" s="752" t="s">
        <v>25</v>
      </c>
      <c r="S14" s="753">
        <f t="shared" si="0"/>
        <v>100</v>
      </c>
      <c r="T14" s="752" t="s">
        <v>25</v>
      </c>
      <c r="U14" s="753">
        <f t="shared" si="1"/>
        <v>100</v>
      </c>
      <c r="V14" s="752" t="s">
        <v>25</v>
      </c>
      <c r="W14" s="753">
        <f t="shared" si="2"/>
        <v>100</v>
      </c>
      <c r="X14" s="1883"/>
      <c r="Y14" s="3070" t="s">
        <v>2350</v>
      </c>
      <c r="Z14" s="1885" t="str">
        <f t="shared" si="7"/>
        <v>交通便捷度</v>
      </c>
      <c r="AA14" s="1886">
        <f t="shared" si="3"/>
        <v>1</v>
      </c>
      <c r="AB14" s="1886">
        <f t="shared" si="4"/>
        <v>1</v>
      </c>
      <c r="AC14" s="1886">
        <f t="shared" si="5"/>
        <v>1</v>
      </c>
    </row>
    <row r="15" spans="1:29" ht="15">
      <c r="A15" s="383"/>
      <c r="B15" s="631"/>
      <c r="C15" s="1473"/>
      <c r="D15" s="1467"/>
      <c r="E15" s="426"/>
      <c r="F15" s="427"/>
      <c r="G15" s="1464"/>
      <c r="H15" s="430"/>
      <c r="I15" s="426"/>
      <c r="J15" s="427"/>
      <c r="K15" s="599"/>
      <c r="L15" s="1514"/>
      <c r="M15" s="425"/>
      <c r="N15" s="425"/>
      <c r="O15" s="1884"/>
      <c r="P15" s="3071"/>
      <c r="Q15" s="1882"/>
      <c r="R15" s="752"/>
      <c r="S15" s="753"/>
      <c r="T15" s="752"/>
      <c r="U15" s="753"/>
      <c r="V15" s="752"/>
      <c r="W15" s="753"/>
      <c r="X15" s="1883"/>
      <c r="Y15" s="3071"/>
      <c r="Z15" s="1885"/>
      <c r="AA15" s="1886">
        <v>1</v>
      </c>
      <c r="AB15" s="1886">
        <v>1</v>
      </c>
      <c r="AC15" s="1886">
        <v>1</v>
      </c>
    </row>
    <row r="16" spans="1:29" ht="42.75">
      <c r="A16" s="383"/>
      <c r="B16" s="615" t="s">
        <v>2464</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84"/>
      <c r="P16" s="3071"/>
      <c r="Q16" s="1882" t="str">
        <f>B16</f>
        <v>公共配套设施</v>
      </c>
      <c r="R16" s="752" t="s">
        <v>25</v>
      </c>
      <c r="S16" s="753">
        <f>F16</f>
        <v>100</v>
      </c>
      <c r="T16" s="752" t="s">
        <v>25</v>
      </c>
      <c r="U16" s="753">
        <f>H16</f>
        <v>100</v>
      </c>
      <c r="V16" s="752" t="s">
        <v>25</v>
      </c>
      <c r="W16" s="753">
        <f>J16</f>
        <v>100</v>
      </c>
      <c r="X16" s="1883"/>
      <c r="Y16" s="3071"/>
      <c r="Z16" s="1885" t="str">
        <f>Q16</f>
        <v>公共配套设施</v>
      </c>
      <c r="AA16" s="1886">
        <f t="shared" si="3"/>
        <v>1</v>
      </c>
      <c r="AB16" s="1886">
        <f t="shared" si="4"/>
        <v>1</v>
      </c>
      <c r="AC16" s="1886">
        <f t="shared" si="5"/>
        <v>1</v>
      </c>
    </row>
    <row r="17" spans="1:29" ht="15">
      <c r="A17" s="383"/>
      <c r="B17" s="616"/>
      <c r="C17" s="1462"/>
      <c r="D17" s="1468"/>
      <c r="E17" s="428"/>
      <c r="F17" s="430"/>
      <c r="G17" s="428"/>
      <c r="H17" s="427"/>
      <c r="I17" s="428"/>
      <c r="J17" s="427"/>
      <c r="K17" s="599"/>
      <c r="L17" s="1514"/>
      <c r="M17" s="425"/>
      <c r="N17" s="425"/>
      <c r="O17" s="1884"/>
      <c r="P17" s="3071"/>
      <c r="Q17" s="1882"/>
      <c r="R17" s="752"/>
      <c r="S17" s="753"/>
      <c r="T17" s="752"/>
      <c r="U17" s="753"/>
      <c r="V17" s="752"/>
      <c r="W17" s="753"/>
      <c r="X17" s="1883"/>
      <c r="Y17" s="3071"/>
      <c r="Z17" s="1885"/>
      <c r="AA17" s="1886">
        <v>1</v>
      </c>
      <c r="AB17" s="1886">
        <v>1</v>
      </c>
      <c r="AC17" s="1886">
        <v>1</v>
      </c>
    </row>
    <row r="18" spans="1:29" ht="28.5">
      <c r="A18" s="383"/>
      <c r="B18" s="617" t="s">
        <v>2465</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84"/>
      <c r="P18" s="3071"/>
      <c r="Q18" s="1882" t="str">
        <f>B18</f>
        <v>基础设施水平</v>
      </c>
      <c r="R18" s="752" t="s">
        <v>25</v>
      </c>
      <c r="S18" s="753">
        <f>F18</f>
        <v>100</v>
      </c>
      <c r="T18" s="752" t="s">
        <v>25</v>
      </c>
      <c r="U18" s="753">
        <f>H18</f>
        <v>100</v>
      </c>
      <c r="V18" s="752" t="s">
        <v>25</v>
      </c>
      <c r="W18" s="753">
        <f>J18</f>
        <v>100</v>
      </c>
      <c r="X18" s="1883"/>
      <c r="Y18" s="3071"/>
      <c r="Z18" s="1885" t="str">
        <f>Q18</f>
        <v>基础设施水平</v>
      </c>
      <c r="AA18" s="1886">
        <f t="shared" ref="AA18" si="8">D18/F18</f>
        <v>1</v>
      </c>
      <c r="AB18" s="1886">
        <f t="shared" ref="AB18" si="9">D18/H18</f>
        <v>1</v>
      </c>
      <c r="AC18" s="1886">
        <f t="shared" ref="AC18" si="10">D18/J18</f>
        <v>1</v>
      </c>
    </row>
    <row r="19" spans="1:29" ht="15">
      <c r="A19" s="383"/>
      <c r="B19" s="617"/>
      <c r="C19" s="1463"/>
      <c r="D19" s="1468"/>
      <c r="E19" s="1460"/>
      <c r="F19" s="430"/>
      <c r="G19" s="1460"/>
      <c r="H19" s="427"/>
      <c r="I19" s="428"/>
      <c r="J19" s="427"/>
      <c r="K19" s="1461"/>
      <c r="L19" s="1514"/>
      <c r="M19" s="425"/>
      <c r="N19" s="425"/>
      <c r="O19" s="1884"/>
      <c r="P19" s="3071"/>
      <c r="Q19" s="1882"/>
      <c r="R19" s="752"/>
      <c r="S19" s="753"/>
      <c r="T19" s="752"/>
      <c r="U19" s="753"/>
      <c r="V19" s="752"/>
      <c r="W19" s="753"/>
      <c r="X19" s="1883"/>
      <c r="Y19" s="3071"/>
      <c r="Z19" s="1885"/>
      <c r="AA19" s="1886">
        <v>1</v>
      </c>
      <c r="AB19" s="1886">
        <v>1</v>
      </c>
      <c r="AC19" s="1886">
        <v>1</v>
      </c>
    </row>
    <row r="20" spans="1:29" ht="57">
      <c r="A20" s="383"/>
      <c r="B20" s="615" t="s">
        <v>2493</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84"/>
      <c r="P20" s="3071"/>
      <c r="Q20" s="1882" t="str">
        <f>B20</f>
        <v>自然及人文环境</v>
      </c>
      <c r="R20" s="752" t="s">
        <v>25</v>
      </c>
      <c r="S20" s="753">
        <f>F20</f>
        <v>100</v>
      </c>
      <c r="T20" s="752" t="s">
        <v>25</v>
      </c>
      <c r="U20" s="753">
        <f>H20</f>
        <v>100</v>
      </c>
      <c r="V20" s="752" t="s">
        <v>25</v>
      </c>
      <c r="W20" s="753">
        <f>J20</f>
        <v>100</v>
      </c>
      <c r="X20" s="1883"/>
      <c r="Y20" s="3071"/>
      <c r="Z20" s="1885" t="str">
        <f>Q20</f>
        <v>自然及人文环境</v>
      </c>
      <c r="AA20" s="1886">
        <f t="shared" si="3"/>
        <v>1</v>
      </c>
      <c r="AB20" s="1886">
        <f t="shared" si="4"/>
        <v>1</v>
      </c>
      <c r="AC20" s="1886">
        <f t="shared" si="5"/>
        <v>1</v>
      </c>
    </row>
    <row r="21" spans="1:29" ht="15">
      <c r="A21" s="383"/>
      <c r="B21" s="616"/>
      <c r="C21" s="1473"/>
      <c r="D21" s="1467"/>
      <c r="E21" s="426"/>
      <c r="F21" s="427"/>
      <c r="G21" s="1464"/>
      <c r="H21" s="427"/>
      <c r="I21" s="426"/>
      <c r="J21" s="427"/>
      <c r="K21" s="599"/>
      <c r="L21" s="1514"/>
      <c r="M21" s="425"/>
      <c r="N21" s="425"/>
      <c r="O21" s="1884"/>
      <c r="P21" s="3071"/>
      <c r="Q21" s="1882"/>
      <c r="R21" s="752"/>
      <c r="S21" s="753"/>
      <c r="T21" s="752"/>
      <c r="U21" s="753"/>
      <c r="V21" s="752"/>
      <c r="W21" s="753"/>
      <c r="X21" s="1883"/>
      <c r="Y21" s="3071"/>
      <c r="Z21" s="1885"/>
      <c r="AA21" s="1886">
        <v>1</v>
      </c>
      <c r="AB21" s="1886">
        <v>1</v>
      </c>
      <c r="AC21" s="1886">
        <v>1</v>
      </c>
    </row>
    <row r="22" spans="1:29" ht="15">
      <c r="A22" s="383"/>
      <c r="B22" s="615" t="s">
        <v>2494</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84"/>
      <c r="P22" s="3071"/>
      <c r="Q22" s="1882" t="str">
        <f>B22</f>
        <v>楼层</v>
      </c>
      <c r="R22" s="752" t="s">
        <v>25</v>
      </c>
      <c r="S22" s="753">
        <f>F22</f>
        <v>100</v>
      </c>
      <c r="T22" s="752" t="s">
        <v>25</v>
      </c>
      <c r="U22" s="753">
        <f>H22</f>
        <v>100</v>
      </c>
      <c r="V22" s="752" t="s">
        <v>25</v>
      </c>
      <c r="W22" s="753">
        <f>J22</f>
        <v>100</v>
      </c>
      <c r="X22" s="1883"/>
      <c r="Y22" s="3071"/>
      <c r="Z22" s="1885" t="str">
        <f>Q22</f>
        <v>楼层</v>
      </c>
      <c r="AA22" s="1886">
        <f t="shared" si="3"/>
        <v>1</v>
      </c>
      <c r="AB22" s="1886">
        <f t="shared" si="4"/>
        <v>1</v>
      </c>
      <c r="AC22" s="1886">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84"/>
      <c r="P23" s="3071"/>
      <c r="Q23" s="1882">
        <f>B23</f>
        <v>111</v>
      </c>
      <c r="R23" s="752" t="s">
        <v>25</v>
      </c>
      <c r="S23" s="753">
        <f>F23</f>
        <v>100</v>
      </c>
      <c r="T23" s="752" t="s">
        <v>25</v>
      </c>
      <c r="U23" s="753">
        <f>H23</f>
        <v>100</v>
      </c>
      <c r="V23" s="752" t="s">
        <v>25</v>
      </c>
      <c r="W23" s="753">
        <f>J23</f>
        <v>100</v>
      </c>
      <c r="X23" s="1883"/>
      <c r="Y23" s="3071"/>
      <c r="Z23" s="1885">
        <f>Q23</f>
        <v>111</v>
      </c>
      <c r="AA23" s="1886">
        <f t="shared" si="3"/>
        <v>1</v>
      </c>
      <c r="AB23" s="1886">
        <f t="shared" si="4"/>
        <v>1</v>
      </c>
      <c r="AC23" s="1886">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84"/>
      <c r="P24" s="3071"/>
      <c r="Q24" s="1882">
        <f t="shared" ref="Q24:Q36" si="11">B24</f>
        <v>111</v>
      </c>
      <c r="R24" s="752" t="s">
        <v>25</v>
      </c>
      <c r="S24" s="753">
        <f>F24</f>
        <v>100</v>
      </c>
      <c r="T24" s="752" t="s">
        <v>25</v>
      </c>
      <c r="U24" s="753">
        <f>H24</f>
        <v>100</v>
      </c>
      <c r="V24" s="752" t="s">
        <v>25</v>
      </c>
      <c r="W24" s="753">
        <f>J24</f>
        <v>100</v>
      </c>
      <c r="X24" s="1883"/>
      <c r="Y24" s="3071"/>
      <c r="Z24" s="1885">
        <f>Q24</f>
        <v>111</v>
      </c>
      <c r="AA24" s="1886">
        <f t="shared" si="3"/>
        <v>1</v>
      </c>
      <c r="AB24" s="1886">
        <f t="shared" si="4"/>
        <v>1</v>
      </c>
      <c r="AC24" s="1886">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71"/>
      <c r="Q25" s="1870">
        <f t="shared" si="11"/>
        <v>111</v>
      </c>
      <c r="R25" s="748" t="s">
        <v>25</v>
      </c>
      <c r="S25" s="749">
        <f>F25</f>
        <v>100</v>
      </c>
      <c r="T25" s="748" t="s">
        <v>25</v>
      </c>
      <c r="U25" s="749">
        <f>H25</f>
        <v>100</v>
      </c>
      <c r="V25" s="748" t="s">
        <v>25</v>
      </c>
      <c r="W25" s="749">
        <f>J25</f>
        <v>100</v>
      </c>
      <c r="X25" s="750"/>
      <c r="Y25" s="3071"/>
      <c r="Z25" s="23">
        <f>Q25</f>
        <v>111</v>
      </c>
      <c r="AA25" s="1886">
        <f>D25/F25</f>
        <v>1</v>
      </c>
      <c r="AB25" s="1886">
        <f>D25/H25</f>
        <v>1</v>
      </c>
      <c r="AC25" s="1886">
        <f>D25/J25</f>
        <v>1</v>
      </c>
    </row>
    <row r="26" spans="1:29" ht="28.5">
      <c r="A26" s="635" t="s">
        <v>2353</v>
      </c>
      <c r="B26" s="27" t="s">
        <v>2495</v>
      </c>
      <c r="C26" s="2464"/>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84"/>
      <c r="P26" s="3098" t="s">
        <v>2355</v>
      </c>
      <c r="Q26" s="1882" t="str">
        <f t="shared" si="11"/>
        <v>配套类型</v>
      </c>
      <c r="R26" s="752" t="s">
        <v>25</v>
      </c>
      <c r="S26" s="753">
        <f t="shared" ref="S26:S36" si="12">F26</f>
        <v>100</v>
      </c>
      <c r="T26" s="752" t="s">
        <v>25</v>
      </c>
      <c r="U26" s="753">
        <f t="shared" ref="U26:U36" si="13">H26</f>
        <v>100</v>
      </c>
      <c r="V26" s="752" t="s">
        <v>25</v>
      </c>
      <c r="W26" s="753">
        <f t="shared" ref="W26:W36" si="14">J26</f>
        <v>100</v>
      </c>
      <c r="X26" s="1883"/>
      <c r="Y26" s="3075" t="s">
        <v>2355</v>
      </c>
      <c r="Z26" s="1885" t="str">
        <f t="shared" ref="Z26:Z36" si="15">Q26</f>
        <v>配套类型</v>
      </c>
      <c r="AA26" s="1886">
        <f t="shared" si="3"/>
        <v>1</v>
      </c>
      <c r="AB26" s="1886">
        <f t="shared" si="4"/>
        <v>1</v>
      </c>
      <c r="AC26" s="1886">
        <f t="shared" si="5"/>
        <v>1</v>
      </c>
    </row>
    <row r="27" spans="1:29" s="452" customFormat="1" ht="15">
      <c r="A27" s="636"/>
      <c r="B27" s="637" t="s">
        <v>2496</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75"/>
      <c r="Q27" s="754" t="str">
        <f t="shared" si="11"/>
        <v>项目停车位配比</v>
      </c>
      <c r="R27" s="755" t="s">
        <v>25</v>
      </c>
      <c r="S27" s="756">
        <f t="shared" si="12"/>
        <v>100</v>
      </c>
      <c r="T27" s="755" t="s">
        <v>25</v>
      </c>
      <c r="U27" s="756">
        <f t="shared" si="13"/>
        <v>100</v>
      </c>
      <c r="V27" s="755" t="s">
        <v>25</v>
      </c>
      <c r="W27" s="756">
        <f t="shared" si="14"/>
        <v>100</v>
      </c>
      <c r="X27" s="757"/>
      <c r="Y27" s="3075"/>
      <c r="Z27" s="758" t="str">
        <f t="shared" si="15"/>
        <v>项目停车位配比</v>
      </c>
      <c r="AA27" s="1886">
        <f t="shared" si="3"/>
        <v>1</v>
      </c>
      <c r="AB27" s="1886">
        <f t="shared" si="4"/>
        <v>1</v>
      </c>
      <c r="AC27" s="1886">
        <f t="shared" si="5"/>
        <v>1</v>
      </c>
    </row>
    <row r="28" spans="1:29" ht="15">
      <c r="A28" s="639"/>
      <c r="B28" s="637" t="s">
        <v>2497</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84"/>
      <c r="P28" s="3075"/>
      <c r="Q28" s="1882" t="str">
        <f t="shared" si="11"/>
        <v>公共部分装修</v>
      </c>
      <c r="R28" s="752" t="s">
        <v>25</v>
      </c>
      <c r="S28" s="753">
        <f t="shared" si="12"/>
        <v>100</v>
      </c>
      <c r="T28" s="752" t="s">
        <v>25</v>
      </c>
      <c r="U28" s="753">
        <f t="shared" si="13"/>
        <v>100</v>
      </c>
      <c r="V28" s="752" t="s">
        <v>25</v>
      </c>
      <c r="W28" s="753">
        <f t="shared" si="14"/>
        <v>100</v>
      </c>
      <c r="X28" s="1883"/>
      <c r="Y28" s="3075"/>
      <c r="Z28" s="1885" t="str">
        <f t="shared" si="15"/>
        <v>公共部分装修</v>
      </c>
      <c r="AA28" s="1886">
        <f t="shared" si="3"/>
        <v>1</v>
      </c>
      <c r="AB28" s="1886">
        <f t="shared" si="4"/>
        <v>1</v>
      </c>
      <c r="AC28" s="1886">
        <f t="shared" si="5"/>
        <v>1</v>
      </c>
    </row>
    <row r="29" spans="1:29" ht="15">
      <c r="A29" s="639"/>
      <c r="B29" s="637" t="s">
        <v>2498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84"/>
      <c r="P29" s="3075"/>
      <c r="Q29" s="1882" t="str">
        <f t="shared" si="11"/>
        <v>成新率</v>
      </c>
      <c r="R29" s="752" t="s">
        <v>25</v>
      </c>
      <c r="S29" s="753" t="e">
        <f t="shared" si="12"/>
        <v>#N/A</v>
      </c>
      <c r="T29" s="752" t="s">
        <v>25</v>
      </c>
      <c r="U29" s="753" t="e">
        <f t="shared" si="13"/>
        <v>#N/A</v>
      </c>
      <c r="V29" s="752" t="s">
        <v>25</v>
      </c>
      <c r="W29" s="753" t="e">
        <f t="shared" si="14"/>
        <v>#N/A</v>
      </c>
      <c r="X29" s="1883"/>
      <c r="Y29" s="3075"/>
      <c r="Z29" s="1885" t="str">
        <f t="shared" si="15"/>
        <v>成新率</v>
      </c>
      <c r="AA29" s="1886" t="e">
        <f t="shared" si="3"/>
        <v>#N/A</v>
      </c>
      <c r="AB29" s="1886" t="e">
        <f t="shared" si="4"/>
        <v>#N/A</v>
      </c>
      <c r="AC29" s="1886" t="e">
        <f t="shared" si="5"/>
        <v>#N/A</v>
      </c>
    </row>
    <row r="30" spans="1:29" ht="15">
      <c r="A30" s="639"/>
      <c r="B30" s="637" t="s">
        <v>2499</v>
      </c>
      <c r="C30" s="640"/>
      <c r="D30" s="415">
        <v>100</v>
      </c>
      <c r="E30" s="640"/>
      <c r="F30" s="442">
        <f>SUMIF(88:88,E30,89:89)-SUMIF(88:88,C30,89:89)+100</f>
        <v>100</v>
      </c>
      <c r="G30" s="640"/>
      <c r="H30" s="415">
        <f>SUMIF(88:88,G30,89:89)-SUMIF(88:88,C30,89:89)+100</f>
        <v>100</v>
      </c>
      <c r="I30" s="640"/>
      <c r="J30" s="415">
        <f>SUMIF(88:88,I30,89:89)-SUMIF(88:88,C30,89:89)+100</f>
        <v>100</v>
      </c>
      <c r="K30" s="596"/>
      <c r="L30" s="1514"/>
      <c r="M30" s="425"/>
      <c r="N30" s="425"/>
      <c r="O30" s="1884"/>
      <c r="P30" s="3075"/>
      <c r="Q30" s="1882" t="str">
        <f t="shared" si="11"/>
        <v>物业等级</v>
      </c>
      <c r="R30" s="752" t="s">
        <v>25</v>
      </c>
      <c r="S30" s="753">
        <f t="shared" si="12"/>
        <v>100</v>
      </c>
      <c r="T30" s="752" t="s">
        <v>25</v>
      </c>
      <c r="U30" s="753">
        <f t="shared" si="13"/>
        <v>100</v>
      </c>
      <c r="V30" s="752" t="s">
        <v>25</v>
      </c>
      <c r="W30" s="753">
        <f t="shared" si="14"/>
        <v>100</v>
      </c>
      <c r="X30" s="1883"/>
      <c r="Y30" s="3075"/>
      <c r="Z30" s="1885" t="str">
        <f t="shared" si="15"/>
        <v>物业等级</v>
      </c>
      <c r="AA30" s="1886">
        <f t="shared" si="3"/>
        <v>1</v>
      </c>
      <c r="AB30" s="1886">
        <f t="shared" si="4"/>
        <v>1</v>
      </c>
      <c r="AC30" s="1886">
        <f t="shared" si="5"/>
        <v>1</v>
      </c>
    </row>
    <row r="31" spans="1:29" s="35" customFormat="1" ht="15">
      <c r="A31" s="641"/>
      <c r="B31" s="637" t="s">
        <v>2500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75"/>
      <c r="Q31" s="1870" t="str">
        <f t="shared" si="11"/>
        <v>停车位面积</v>
      </c>
      <c r="R31" s="748" t="s">
        <v>25</v>
      </c>
      <c r="S31" s="749" t="e">
        <f t="shared" si="12"/>
        <v>#N/A</v>
      </c>
      <c r="T31" s="748" t="s">
        <v>25</v>
      </c>
      <c r="U31" s="749" t="e">
        <f t="shared" si="13"/>
        <v>#N/A</v>
      </c>
      <c r="V31" s="748" t="s">
        <v>25</v>
      </c>
      <c r="W31" s="749" t="e">
        <f t="shared" si="14"/>
        <v>#N/A</v>
      </c>
      <c r="X31" s="750"/>
      <c r="Y31" s="3075"/>
      <c r="Z31" s="23" t="str">
        <f t="shared" si="15"/>
        <v>停车位面积</v>
      </c>
      <c r="AA31" s="751" t="e">
        <f t="shared" si="3"/>
        <v>#N/A</v>
      </c>
      <c r="AB31" s="751" t="e">
        <f t="shared" si="4"/>
        <v>#N/A</v>
      </c>
      <c r="AC31" s="751" t="e">
        <f t="shared" si="5"/>
        <v>#N/A</v>
      </c>
    </row>
    <row r="32" spans="1:29" ht="15">
      <c r="A32" s="639"/>
      <c r="B32" s="637" t="s">
        <v>2501</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84"/>
      <c r="P32" s="3075" t="s">
        <v>2355</v>
      </c>
      <c r="Q32" s="1882" t="str">
        <f t="shared" si="11"/>
        <v>车位类型</v>
      </c>
      <c r="R32" s="752" t="s">
        <v>25</v>
      </c>
      <c r="S32" s="753">
        <f t="shared" si="12"/>
        <v>100</v>
      </c>
      <c r="T32" s="752" t="s">
        <v>25</v>
      </c>
      <c r="U32" s="753">
        <f t="shared" si="13"/>
        <v>100</v>
      </c>
      <c r="V32" s="752" t="s">
        <v>25</v>
      </c>
      <c r="W32" s="753">
        <f t="shared" si="14"/>
        <v>100</v>
      </c>
      <c r="X32" s="1883"/>
      <c r="Y32" s="3075" t="s">
        <v>2355</v>
      </c>
      <c r="Z32" s="1885" t="str">
        <f t="shared" si="15"/>
        <v>车位类型</v>
      </c>
      <c r="AA32" s="1886">
        <f t="shared" si="3"/>
        <v>1</v>
      </c>
      <c r="AB32" s="1886">
        <f t="shared" si="4"/>
        <v>1</v>
      </c>
      <c r="AC32" s="1886">
        <f t="shared" si="5"/>
        <v>1</v>
      </c>
    </row>
    <row r="33" spans="1:29" ht="15">
      <c r="A33" s="639"/>
      <c r="B33" s="637" t="s">
        <v>2502</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84"/>
      <c r="P33" s="3075"/>
      <c r="Q33" s="1882" t="str">
        <f t="shared" si="11"/>
        <v>是否直接入户</v>
      </c>
      <c r="R33" s="752" t="s">
        <v>25</v>
      </c>
      <c r="S33" s="753">
        <f t="shared" si="12"/>
        <v>100</v>
      </c>
      <c r="T33" s="752" t="s">
        <v>25</v>
      </c>
      <c r="U33" s="753">
        <f t="shared" si="13"/>
        <v>100</v>
      </c>
      <c r="V33" s="752" t="s">
        <v>25</v>
      </c>
      <c r="W33" s="753">
        <f t="shared" si="14"/>
        <v>100</v>
      </c>
      <c r="X33" s="1883"/>
      <c r="Y33" s="3075"/>
      <c r="Z33" s="1885" t="str">
        <f t="shared" si="15"/>
        <v>是否直接入户</v>
      </c>
      <c r="AA33" s="1886">
        <f t="shared" si="3"/>
        <v>1</v>
      </c>
      <c r="AB33" s="1886">
        <f t="shared" si="4"/>
        <v>1</v>
      </c>
      <c r="AC33" s="188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84"/>
      <c r="P34" s="3075"/>
      <c r="Q34" s="1882">
        <f t="shared" si="11"/>
        <v>111</v>
      </c>
      <c r="R34" s="752" t="s">
        <v>25</v>
      </c>
      <c r="S34" s="753">
        <f t="shared" si="12"/>
        <v>100</v>
      </c>
      <c r="T34" s="752" t="s">
        <v>25</v>
      </c>
      <c r="U34" s="753">
        <f t="shared" si="13"/>
        <v>100</v>
      </c>
      <c r="V34" s="752" t="s">
        <v>25</v>
      </c>
      <c r="W34" s="753">
        <f t="shared" si="14"/>
        <v>100</v>
      </c>
      <c r="X34" s="1883"/>
      <c r="Y34" s="3075"/>
      <c r="Z34" s="1885">
        <f t="shared" si="15"/>
        <v>111</v>
      </c>
      <c r="AA34" s="1886">
        <f t="shared" si="3"/>
        <v>1</v>
      </c>
      <c r="AB34" s="1886">
        <f t="shared" si="4"/>
        <v>1</v>
      </c>
      <c r="AC34" s="188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75"/>
      <c r="Q35" s="754">
        <f t="shared" si="11"/>
        <v>111</v>
      </c>
      <c r="R35" s="755" t="s">
        <v>25</v>
      </c>
      <c r="S35" s="756">
        <f t="shared" si="12"/>
        <v>100</v>
      </c>
      <c r="T35" s="755" t="s">
        <v>25</v>
      </c>
      <c r="U35" s="756">
        <f t="shared" si="13"/>
        <v>100</v>
      </c>
      <c r="V35" s="755" t="s">
        <v>25</v>
      </c>
      <c r="W35" s="756">
        <f t="shared" si="14"/>
        <v>100</v>
      </c>
      <c r="X35" s="757"/>
      <c r="Y35" s="3075"/>
      <c r="Z35" s="758">
        <f t="shared" si="15"/>
        <v>111</v>
      </c>
      <c r="AA35" s="1886">
        <f t="shared" si="3"/>
        <v>1</v>
      </c>
      <c r="AB35" s="1886">
        <f t="shared" si="4"/>
        <v>1</v>
      </c>
      <c r="AC35" s="188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84"/>
      <c r="P36" s="3075"/>
      <c r="Q36" s="1882">
        <f t="shared" si="11"/>
        <v>111</v>
      </c>
      <c r="R36" s="752" t="s">
        <v>25</v>
      </c>
      <c r="S36" s="753">
        <f t="shared" si="12"/>
        <v>100</v>
      </c>
      <c r="T36" s="752" t="s">
        <v>25</v>
      </c>
      <c r="U36" s="753">
        <f t="shared" si="13"/>
        <v>100</v>
      </c>
      <c r="V36" s="752" t="s">
        <v>25</v>
      </c>
      <c r="W36" s="753">
        <f t="shared" si="14"/>
        <v>100</v>
      </c>
      <c r="X36" s="1883"/>
      <c r="Y36" s="3075"/>
      <c r="Z36" s="1885">
        <f t="shared" si="15"/>
        <v>111</v>
      </c>
      <c r="AA36" s="1886">
        <f t="shared" si="3"/>
        <v>1</v>
      </c>
      <c r="AB36" s="1886">
        <f t="shared" si="4"/>
        <v>1</v>
      </c>
      <c r="AC36" s="1886">
        <f t="shared" si="5"/>
        <v>1</v>
      </c>
    </row>
    <row r="37" spans="1:29" ht="15">
      <c r="A37" s="460" t="s">
        <v>2503</v>
      </c>
      <c r="B37" s="1087" t="s">
        <v>2504</v>
      </c>
      <c r="C37" s="1494" t="s">
        <v>1</v>
      </c>
      <c r="D37" s="1495"/>
      <c r="E37" s="1496"/>
      <c r="F37" s="1497"/>
      <c r="G37" s="1498"/>
      <c r="H37" s="1499"/>
      <c r="I37" s="1496"/>
      <c r="J37" s="1499"/>
      <c r="K37" s="603"/>
      <c r="L37" s="1517"/>
      <c r="M37" s="737"/>
      <c r="N37" s="425"/>
      <c r="O37" s="737"/>
      <c r="P37" s="3081" t="str">
        <f>A37</f>
        <v>成交单价</v>
      </c>
      <c r="Q37" s="3081"/>
      <c r="R37" s="3082">
        <f>E37</f>
        <v>0</v>
      </c>
      <c r="S37" s="3082"/>
      <c r="T37" s="3082">
        <f>G37</f>
        <v>0</v>
      </c>
      <c r="U37" s="3082"/>
      <c r="V37" s="3082">
        <f>I37</f>
        <v>0</v>
      </c>
      <c r="W37" s="3082"/>
      <c r="X37" s="737"/>
      <c r="Y37" s="759"/>
      <c r="Z37" s="737"/>
      <c r="AA37" s="737"/>
      <c r="AB37" s="737"/>
      <c r="AC37" s="737"/>
    </row>
    <row r="38" spans="1:29" ht="15.75" thickBot="1">
      <c r="A38" s="467" t="s">
        <v>2505</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81" t="str">
        <f>A38</f>
        <v>比较价值</v>
      </c>
      <c r="Q38" s="3081"/>
      <c r="R38" s="3082" t="e">
        <f>IF(E1="售价",ROUND(PRODUCT(R37,AA7:AA36),0),ROUND(PRODUCT(R37,AA7:AA36),1))</f>
        <v>#DIV/0!</v>
      </c>
      <c r="S38" s="3082"/>
      <c r="T38" s="3082" t="e">
        <f>IF(E1="售价",ROUND(PRODUCT(T37,AB7:AB36),0),ROUND(PRODUCT(T37,AB7:AB36),1))</f>
        <v>#DIV/0!</v>
      </c>
      <c r="U38" s="3082"/>
      <c r="V38" s="3082" t="e">
        <f>IF(E1="售价",ROUND(PRODUCT(V37,AC7:AC36),0),ROUND(PRODUCT(V37,AC7:AC36),1))</f>
        <v>#DIV/0!</v>
      </c>
      <c r="W38" s="3082"/>
      <c r="X38" s="737"/>
      <c r="Y38" s="737"/>
      <c r="Z38" s="737"/>
      <c r="AA38" s="737"/>
      <c r="AB38" s="737"/>
      <c r="AC38" s="737"/>
    </row>
    <row r="39" spans="1:29" ht="15.75" thickBot="1">
      <c r="A39" s="473" t="s">
        <v>2506</v>
      </c>
      <c r="B39" s="474"/>
      <c r="C39" s="1504" t="e">
        <f>R39</f>
        <v>#DIV/0!</v>
      </c>
      <c r="D39" s="1504"/>
      <c r="E39" s="1504"/>
      <c r="F39" s="1504"/>
      <c r="G39" s="1504"/>
      <c r="H39" s="1504"/>
      <c r="I39" s="1504"/>
      <c r="J39" s="1504"/>
      <c r="K39" s="605"/>
      <c r="L39" s="1517"/>
      <c r="M39" s="737"/>
      <c r="N39" s="737"/>
      <c r="O39" s="737"/>
      <c r="P39" s="3087" t="str">
        <f>A39</f>
        <v>估价对象XX用房的比较价值（楼面单价，元/平方米）</v>
      </c>
      <c r="Q39" s="3088"/>
      <c r="R39" s="3089" t="e">
        <f>IF(E1="售价",ROUND(AVERAGE(R38:V38),0),ROUND(AVERAGE(R38:V38),1))</f>
        <v>#DIV/0!</v>
      </c>
      <c r="S39" s="3089"/>
      <c r="T39" s="3089"/>
      <c r="U39" s="3089"/>
      <c r="V39" s="3089"/>
      <c r="W39" s="3089"/>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2507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2508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2509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2510</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2511</v>
      </c>
      <c r="B48" s="487"/>
      <c r="C48" s="1670" t="str">
        <f>YEAR(C7)&amp;"-"&amp;MONTH(C7)</f>
        <v>2020-6</v>
      </c>
      <c r="D48" s="1671">
        <f>EDATE(C48,-1)</f>
        <v>43952</v>
      </c>
      <c r="E48" s="1671">
        <f t="shared" ref="E48:O48" si="16">EDATE(D48,-1)</f>
        <v>43922</v>
      </c>
      <c r="F48" s="1671">
        <f t="shared" si="16"/>
        <v>43891</v>
      </c>
      <c r="G48" s="1671">
        <f t="shared" si="16"/>
        <v>43862</v>
      </c>
      <c r="H48" s="1671">
        <f t="shared" si="16"/>
        <v>43831</v>
      </c>
      <c r="I48" s="1671">
        <f t="shared" si="16"/>
        <v>43800</v>
      </c>
      <c r="J48" s="1671">
        <f t="shared" si="16"/>
        <v>43770</v>
      </c>
      <c r="K48" s="1671">
        <f t="shared" si="16"/>
        <v>43739</v>
      </c>
      <c r="L48" s="1671">
        <f t="shared" si="16"/>
        <v>43709</v>
      </c>
      <c r="M48" s="1671">
        <f t="shared" si="16"/>
        <v>43678</v>
      </c>
      <c r="N48" s="1671">
        <f t="shared" si="16"/>
        <v>43647</v>
      </c>
      <c r="O48" s="1671">
        <f t="shared" si="16"/>
        <v>43617</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2375</v>
      </c>
      <c r="B50" s="497"/>
      <c r="C50" s="498"/>
      <c r="D50" s="499"/>
      <c r="E50" s="499"/>
      <c r="F50" s="499"/>
      <c r="G50" s="499"/>
      <c r="H50" s="499"/>
      <c r="I50" s="499"/>
      <c r="J50" s="499"/>
      <c r="K50" s="499"/>
      <c r="L50" s="499"/>
      <c r="M50" s="500"/>
      <c r="N50" s="499"/>
      <c r="O50" s="501"/>
      <c r="P50" s="485"/>
      <c r="Q50" s="485"/>
    </row>
    <row r="51" spans="1:17" s="35" customFormat="1" ht="15">
      <c r="A51" s="502" t="s">
        <v>2340</v>
      </c>
      <c r="B51" s="491"/>
      <c r="C51" s="503" t="s">
        <v>2341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2378</v>
      </c>
      <c r="B53" s="509" t="s">
        <v>2344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2347</v>
      </c>
      <c r="C55" s="522" t="s">
        <v>2379</v>
      </c>
      <c r="D55" s="522" t="s">
        <v>2380</v>
      </c>
      <c r="E55" s="522" t="s">
        <v>2381</v>
      </c>
      <c r="F55" s="522" t="s">
        <v>2382</v>
      </c>
      <c r="G55" s="522" t="s">
        <v>2383</v>
      </c>
      <c r="H55" s="522" t="s">
        <v>2384</v>
      </c>
      <c r="I55" s="522" t="s">
        <v>2385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2349</v>
      </c>
      <c r="B63" s="509" t="s">
        <v>2392</v>
      </c>
      <c r="C63" s="557" t="s">
        <v>2387</v>
      </c>
      <c r="D63" s="557" t="s">
        <v>2388</v>
      </c>
      <c r="E63" s="557" t="s">
        <v>2389</v>
      </c>
      <c r="F63" s="557" t="s">
        <v>2390</v>
      </c>
      <c r="G63" s="557" t="s">
        <v>2391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2393</v>
      </c>
      <c r="C65" s="562" t="s">
        <v>2387</v>
      </c>
      <c r="D65" s="562" t="s">
        <v>2388</v>
      </c>
      <c r="E65" s="562" t="s">
        <v>2389</v>
      </c>
      <c r="F65" s="562" t="s">
        <v>2390</v>
      </c>
      <c r="G65" s="562" t="s">
        <v>2391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2465</v>
      </c>
      <c r="C67" s="522" t="s">
        <v>2394</v>
      </c>
      <c r="D67" s="522" t="s">
        <v>2395</v>
      </c>
      <c r="E67" s="522" t="s">
        <v>2396</v>
      </c>
      <c r="F67" s="522" t="s">
        <v>2397</v>
      </c>
      <c r="G67" s="522" t="s">
        <v>2398</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2399</v>
      </c>
      <c r="C69" s="562" t="s">
        <v>2387</v>
      </c>
      <c r="D69" s="562" t="s">
        <v>2388</v>
      </c>
      <c r="E69" s="562" t="s">
        <v>2389</v>
      </c>
      <c r="F69" s="562" t="s">
        <v>2390</v>
      </c>
      <c r="G69" s="562" t="s">
        <v>2391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2353</v>
      </c>
      <c r="B79" s="509" t="s">
        <v>2513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9" activeCellId="2" sqref="I3 B39 B3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2490</v>
      </c>
      <c r="B1" s="2463"/>
      <c r="C1" s="1721"/>
      <c r="D1" s="1731"/>
      <c r="E1" s="2366"/>
      <c r="F1" s="1732" t="s">
        <v>2323</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1998</v>
      </c>
      <c r="B2" s="1717" t="e">
        <f ca="1">IF(D2="——",IF(C2="元",ROUND(C37*D3,0),ROUND(C37*D3/10000,0)),IF(C2="元",ROUND(C37*D3,0),ROUND(C37*D3/10000,0))-E2)</f>
        <v>#DIV/0!</v>
      </c>
      <c r="C2" s="163" t="str">
        <f>'数据-取费表'!B3</f>
        <v>万元</v>
      </c>
      <c r="D2" s="2368"/>
      <c r="E2" s="1730" t="e">
        <f ca="1">SUMIF(INDIRECT("'"&amp;G2&amp;"'"&amp;"!A:A"),"承租人权益价值",INDIRECT("'"&amp;G2&amp;"'"&amp;"!c:c"))</f>
        <v>#REF!</v>
      </c>
      <c r="F2" s="2369" t="str">
        <f>C2</f>
        <v>万元</v>
      </c>
      <c r="G2" s="2370"/>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1999</v>
      </c>
      <c r="B3" s="593" t="e">
        <f ca="1">ROUND(IF(D2="——",C37,IF(C2="万元",B2*10000/D3,B2/D3)),0)</f>
        <v>#DIV/0!</v>
      </c>
      <c r="C3" s="379" t="s">
        <v>2324</v>
      </c>
      <c r="D3" s="378">
        <f>IF(C1="仅计算典型户型",'数据-取费表'!E5,'数据-取费表'!B5)</f>
        <v>0</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2325</v>
      </c>
      <c r="B4" s="381"/>
      <c r="C4" s="3045" t="s">
        <v>2326</v>
      </c>
      <c r="D4" s="3046"/>
      <c r="E4" s="3047" t="s">
        <v>2327</v>
      </c>
      <c r="F4" s="3048"/>
      <c r="G4" s="3045" t="s">
        <v>2328</v>
      </c>
      <c r="H4" s="3046"/>
      <c r="I4" s="3045" t="s">
        <v>2329</v>
      </c>
      <c r="J4" s="3046"/>
      <c r="K4" s="594" t="s">
        <v>2330</v>
      </c>
      <c r="L4" s="1235"/>
      <c r="M4" s="1236"/>
      <c r="N4" s="1236"/>
      <c r="O4" s="1236"/>
      <c r="P4" s="3049" t="s">
        <v>2331</v>
      </c>
      <c r="Q4" s="3050"/>
      <c r="R4" s="3055" t="s">
        <v>2327</v>
      </c>
      <c r="S4" s="3056"/>
      <c r="T4" s="3055" t="s">
        <v>2328</v>
      </c>
      <c r="U4" s="3056"/>
      <c r="V4" s="3061" t="s">
        <v>2329</v>
      </c>
      <c r="W4" s="3061"/>
      <c r="X4" s="1883"/>
      <c r="Y4" s="3055" t="s">
        <v>2331</v>
      </c>
      <c r="Z4" s="3056"/>
      <c r="AA4" s="3042" t="s">
        <v>2327</v>
      </c>
      <c r="AB4" s="3043" t="s">
        <v>2328</v>
      </c>
      <c r="AC4" s="3042" t="s">
        <v>2329</v>
      </c>
    </row>
    <row r="5" spans="1:29" ht="15">
      <c r="A5" s="383"/>
      <c r="B5" s="384"/>
      <c r="C5" s="3064" t="s">
        <v>2332</v>
      </c>
      <c r="D5" s="3065"/>
      <c r="E5" s="3090" t="s">
        <v>2333</v>
      </c>
      <c r="F5" s="3063"/>
      <c r="G5" s="3064" t="s">
        <v>2334</v>
      </c>
      <c r="H5" s="3065"/>
      <c r="I5" s="3064" t="s">
        <v>2335</v>
      </c>
      <c r="J5" s="3065"/>
      <c r="K5" s="594"/>
      <c r="L5" s="1235"/>
      <c r="M5" s="1236"/>
      <c r="N5" s="1236"/>
      <c r="O5" s="1236"/>
      <c r="P5" s="3051"/>
      <c r="Q5" s="3052"/>
      <c r="R5" s="3057"/>
      <c r="S5" s="3058"/>
      <c r="T5" s="3057"/>
      <c r="U5" s="3058"/>
      <c r="V5" s="3061"/>
      <c r="W5" s="3061"/>
      <c r="X5" s="1883"/>
      <c r="Y5" s="3057"/>
      <c r="Z5" s="3058"/>
      <c r="AA5" s="3043"/>
      <c r="AB5" s="3043"/>
      <c r="AC5" s="3043"/>
    </row>
    <row r="6" spans="1:29" ht="15.75" thickBot="1">
      <c r="A6" s="385"/>
      <c r="B6" s="386"/>
      <c r="C6" s="3066" t="s">
        <v>2336</v>
      </c>
      <c r="D6" s="3067"/>
      <c r="E6" s="3068" t="s">
        <v>2336</v>
      </c>
      <c r="F6" s="3069"/>
      <c r="G6" s="3066" t="s">
        <v>2336</v>
      </c>
      <c r="H6" s="3067"/>
      <c r="I6" s="3066" t="s">
        <v>2336</v>
      </c>
      <c r="J6" s="3067"/>
      <c r="K6" s="594" t="s">
        <v>2337</v>
      </c>
      <c r="L6" s="1235"/>
      <c r="M6" s="1236"/>
      <c r="N6" s="1236"/>
      <c r="O6" s="1236"/>
      <c r="P6" s="3053"/>
      <c r="Q6" s="3054"/>
      <c r="R6" s="3057"/>
      <c r="S6" s="3058"/>
      <c r="T6" s="3059"/>
      <c r="U6" s="3060"/>
      <c r="V6" s="3061"/>
      <c r="W6" s="3061"/>
      <c r="X6" s="1883"/>
      <c r="Y6" s="3059"/>
      <c r="Z6" s="3060"/>
      <c r="AA6" s="3044"/>
      <c r="AB6" s="3044"/>
      <c r="AC6" s="3044"/>
    </row>
    <row r="7" spans="1:29" s="35" customFormat="1" ht="15.75" thickBot="1">
      <c r="A7" s="387" t="s">
        <v>2338</v>
      </c>
      <c r="B7" s="388"/>
      <c r="C7" s="389">
        <f>'数据-取费表'!B2</f>
        <v>43999</v>
      </c>
      <c r="D7" s="390">
        <v>100</v>
      </c>
      <c r="E7" s="2449"/>
      <c r="F7" s="390">
        <f>SUMIF(46:46,YEAR(E7)&amp;"-"&amp;MONTH(E7),47:47)</f>
        <v>0</v>
      </c>
      <c r="G7" s="391"/>
      <c r="H7" s="390">
        <f>SUMIF(46:46,YEAR(G7)&amp;"-"&amp;MONTH(G7),47:47)</f>
        <v>0</v>
      </c>
      <c r="I7" s="391"/>
      <c r="J7" s="390">
        <f>SUMIF(46:46,YEAR(I7)&amp;"-"&amp;MONTH(I7),47:47)</f>
        <v>0</v>
      </c>
      <c r="K7" s="595"/>
      <c r="L7" s="1237"/>
      <c r="M7" s="1238"/>
      <c r="N7" s="1238"/>
      <c r="O7" s="1238"/>
      <c r="P7" s="3077" t="s">
        <v>2339</v>
      </c>
      <c r="Q7" s="3079"/>
      <c r="R7" s="748" t="s">
        <v>25</v>
      </c>
      <c r="S7" s="749">
        <f t="shared" ref="S7:S14" si="0">F7</f>
        <v>0</v>
      </c>
      <c r="T7" s="748" t="s">
        <v>25</v>
      </c>
      <c r="U7" s="749">
        <f t="shared" ref="U7:U14" si="1">H7</f>
        <v>0</v>
      </c>
      <c r="V7" s="748" t="s">
        <v>25</v>
      </c>
      <c r="W7" s="749">
        <f t="shared" ref="W7:W14" si="2">J7</f>
        <v>0</v>
      </c>
      <c r="X7" s="750"/>
      <c r="Y7" s="3077" t="s">
        <v>2339</v>
      </c>
      <c r="Z7" s="3078"/>
      <c r="AA7" s="751" t="e">
        <f>D7/F7</f>
        <v>#DIV/0!</v>
      </c>
      <c r="AB7" s="751" t="e">
        <f>D7/H7</f>
        <v>#DIV/0!</v>
      </c>
      <c r="AC7" s="751" t="e">
        <f>D7/J7</f>
        <v>#DIV/0!</v>
      </c>
    </row>
    <row r="8" spans="1:29" s="35" customFormat="1" ht="15.75" thickBot="1">
      <c r="A8" s="387" t="s">
        <v>2340</v>
      </c>
      <c r="B8" s="388"/>
      <c r="C8" s="394" t="s">
        <v>2341</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77" t="s">
        <v>2342</v>
      </c>
      <c r="Q8" s="3078"/>
      <c r="R8" s="748" t="s">
        <v>25</v>
      </c>
      <c r="S8" s="749">
        <f t="shared" si="0"/>
        <v>0</v>
      </c>
      <c r="T8" s="748" t="s">
        <v>25</v>
      </c>
      <c r="U8" s="749">
        <f t="shared" si="1"/>
        <v>0</v>
      </c>
      <c r="V8" s="748" t="s">
        <v>25</v>
      </c>
      <c r="W8" s="749">
        <f t="shared" si="2"/>
        <v>0</v>
      </c>
      <c r="X8" s="750"/>
      <c r="Y8" s="3077" t="s">
        <v>2342</v>
      </c>
      <c r="Z8" s="3078"/>
      <c r="AA8" s="751" t="e">
        <f t="shared" ref="AA8:AA34" si="3">D8/F8</f>
        <v>#DIV/0!</v>
      </c>
      <c r="AB8" s="751" t="e">
        <f t="shared" ref="AB8:AB34" si="4">D8/H8</f>
        <v>#DIV/0!</v>
      </c>
      <c r="AC8" s="751" t="e">
        <f t="shared" ref="AC8:AC34" si="5">D8/J8</f>
        <v>#DIV/0!</v>
      </c>
    </row>
    <row r="9" spans="1:29" s="35" customFormat="1">
      <c r="A9" s="395" t="s">
        <v>2343</v>
      </c>
      <c r="B9" s="28" t="s">
        <v>2344</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81" t="s">
        <v>2345</v>
      </c>
      <c r="Q9" s="1870" t="str">
        <f t="shared" ref="Q9:Q14" si="6">B9</f>
        <v>用途</v>
      </c>
      <c r="R9" s="748" t="s">
        <v>25</v>
      </c>
      <c r="S9" s="749">
        <f t="shared" si="0"/>
        <v>100</v>
      </c>
      <c r="T9" s="748" t="s">
        <v>25</v>
      </c>
      <c r="U9" s="749">
        <f t="shared" si="1"/>
        <v>100</v>
      </c>
      <c r="V9" s="748" t="s">
        <v>25</v>
      </c>
      <c r="W9" s="749">
        <f t="shared" si="2"/>
        <v>100</v>
      </c>
      <c r="X9" s="750"/>
      <c r="Y9" s="2891" t="s">
        <v>2346</v>
      </c>
      <c r="Z9" s="23" t="str">
        <f t="shared" ref="Z9:Z14" si="7">Q9</f>
        <v>用途</v>
      </c>
      <c r="AA9" s="751">
        <f t="shared" si="3"/>
        <v>1</v>
      </c>
      <c r="AB9" s="751">
        <f t="shared" si="4"/>
        <v>1</v>
      </c>
      <c r="AC9" s="751">
        <f t="shared" si="5"/>
        <v>1</v>
      </c>
    </row>
    <row r="10" spans="1:29" s="407" customFormat="1" ht="27">
      <c r="A10" s="401"/>
      <c r="B10" s="402" t="s">
        <v>2347</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81"/>
      <c r="Q10" s="1870"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408"/>
      <c r="B11" s="2383">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81"/>
      <c r="Q11" s="1870">
        <f t="shared" si="6"/>
        <v>111</v>
      </c>
      <c r="R11" s="748" t="s">
        <v>25</v>
      </c>
      <c r="S11" s="749">
        <f t="shared" si="0"/>
        <v>100</v>
      </c>
      <c r="T11" s="748" t="s">
        <v>25</v>
      </c>
      <c r="U11" s="749">
        <f t="shared" si="1"/>
        <v>100</v>
      </c>
      <c r="V11" s="748" t="s">
        <v>25</v>
      </c>
      <c r="W11" s="749">
        <f t="shared" si="2"/>
        <v>100</v>
      </c>
      <c r="X11" s="750"/>
      <c r="Y11" s="2891"/>
      <c r="Z11" s="23">
        <f t="shared" si="7"/>
        <v>111</v>
      </c>
      <c r="AA11" s="751">
        <f t="shared" si="3"/>
        <v>1</v>
      </c>
      <c r="AB11" s="751">
        <f t="shared" si="4"/>
        <v>1</v>
      </c>
      <c r="AC11" s="751">
        <f t="shared" si="5"/>
        <v>1</v>
      </c>
    </row>
    <row r="12" spans="1:29" s="35" customFormat="1" ht="15">
      <c r="A12" s="411"/>
      <c r="B12" s="2383">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81"/>
      <c r="Q12" s="1870">
        <f t="shared" si="6"/>
        <v>111</v>
      </c>
      <c r="R12" s="748" t="s">
        <v>25</v>
      </c>
      <c r="S12" s="749">
        <f t="shared" si="0"/>
        <v>100</v>
      </c>
      <c r="T12" s="748" t="s">
        <v>25</v>
      </c>
      <c r="U12" s="749">
        <f t="shared" si="1"/>
        <v>100</v>
      </c>
      <c r="V12" s="748" t="s">
        <v>25</v>
      </c>
      <c r="W12" s="749">
        <f t="shared" si="2"/>
        <v>100</v>
      </c>
      <c r="X12" s="750"/>
      <c r="Y12" s="2891"/>
      <c r="Z12" s="23">
        <f t="shared" si="7"/>
        <v>111</v>
      </c>
      <c r="AA12" s="751">
        <f>D12/F12</f>
        <v>1</v>
      </c>
      <c r="AB12" s="751">
        <f>D12/H12</f>
        <v>1</v>
      </c>
      <c r="AC12" s="751">
        <f>D12/J12</f>
        <v>1</v>
      </c>
    </row>
    <row r="13" spans="1:29" ht="15.75" thickBot="1">
      <c r="A13" s="408"/>
      <c r="B13" s="2383">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81"/>
      <c r="Q13" s="1870">
        <f t="shared" si="6"/>
        <v>111</v>
      </c>
      <c r="R13" s="748" t="s">
        <v>25</v>
      </c>
      <c r="S13" s="749">
        <f t="shared" si="0"/>
        <v>100</v>
      </c>
      <c r="T13" s="748" t="s">
        <v>25</v>
      </c>
      <c r="U13" s="749">
        <f t="shared" si="1"/>
        <v>100</v>
      </c>
      <c r="V13" s="748" t="s">
        <v>25</v>
      </c>
      <c r="W13" s="749">
        <f t="shared" si="2"/>
        <v>100</v>
      </c>
      <c r="X13" s="750"/>
      <c r="Y13" s="2891"/>
      <c r="Z13" s="23">
        <f t="shared" si="7"/>
        <v>111</v>
      </c>
      <c r="AA13" s="751">
        <f t="shared" si="3"/>
        <v>1</v>
      </c>
      <c r="AB13" s="751">
        <f t="shared" si="4"/>
        <v>1</v>
      </c>
      <c r="AC13" s="751">
        <f t="shared" si="5"/>
        <v>1</v>
      </c>
    </row>
    <row r="14" spans="1:29" ht="85.5">
      <c r="A14" s="419" t="s">
        <v>2349</v>
      </c>
      <c r="B14" s="26" t="s">
        <v>2492</v>
      </c>
      <c r="C14" s="2462"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70" t="s">
        <v>2350</v>
      </c>
      <c r="Q14" s="1882" t="str">
        <f t="shared" si="6"/>
        <v>交通便捷度</v>
      </c>
      <c r="R14" s="752" t="s">
        <v>25</v>
      </c>
      <c r="S14" s="753">
        <f t="shared" si="0"/>
        <v>100</v>
      </c>
      <c r="T14" s="752" t="s">
        <v>25</v>
      </c>
      <c r="U14" s="753">
        <f t="shared" si="1"/>
        <v>100</v>
      </c>
      <c r="V14" s="752" t="s">
        <v>25</v>
      </c>
      <c r="W14" s="753">
        <f t="shared" si="2"/>
        <v>100</v>
      </c>
      <c r="X14" s="1883"/>
      <c r="Y14" s="3070" t="s">
        <v>2350</v>
      </c>
      <c r="Z14" s="1885" t="str">
        <f t="shared" si="7"/>
        <v>交通便捷度</v>
      </c>
      <c r="AA14" s="1886">
        <f t="shared" si="3"/>
        <v>1</v>
      </c>
      <c r="AB14" s="1886">
        <f t="shared" si="4"/>
        <v>1</v>
      </c>
      <c r="AC14" s="1886">
        <f t="shared" si="5"/>
        <v>1</v>
      </c>
    </row>
    <row r="15" spans="1:29" ht="15">
      <c r="A15" s="408"/>
      <c r="B15" s="425"/>
      <c r="C15" s="426"/>
      <c r="D15" s="427"/>
      <c r="E15" s="426"/>
      <c r="F15" s="429"/>
      <c r="G15" s="426"/>
      <c r="H15" s="430"/>
      <c r="I15" s="426"/>
      <c r="J15" s="427"/>
      <c r="K15" s="599"/>
      <c r="L15" s="1245"/>
      <c r="M15" s="1236"/>
      <c r="N15" s="1236"/>
      <c r="O15" s="1244"/>
      <c r="P15" s="3071"/>
      <c r="Q15" s="1882"/>
      <c r="R15" s="752"/>
      <c r="S15" s="753"/>
      <c r="T15" s="752"/>
      <c r="U15" s="753"/>
      <c r="V15" s="752"/>
      <c r="W15" s="753"/>
      <c r="X15" s="1883"/>
      <c r="Y15" s="3071"/>
      <c r="Z15" s="1885"/>
      <c r="AA15" s="1886">
        <v>1</v>
      </c>
      <c r="AB15" s="1886">
        <v>1</v>
      </c>
      <c r="AC15" s="1886">
        <v>1</v>
      </c>
    </row>
    <row r="16" spans="1:29" ht="42.75">
      <c r="A16" s="408"/>
      <c r="B16" s="615" t="s">
        <v>2464</v>
      </c>
      <c r="C16" s="2390"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71"/>
      <c r="Q16" s="1882" t="str">
        <f>B16</f>
        <v>公共配套设施</v>
      </c>
      <c r="R16" s="752" t="s">
        <v>25</v>
      </c>
      <c r="S16" s="753">
        <f>F16</f>
        <v>100</v>
      </c>
      <c r="T16" s="752" t="s">
        <v>25</v>
      </c>
      <c r="U16" s="753">
        <f>H16</f>
        <v>100</v>
      </c>
      <c r="V16" s="752" t="s">
        <v>25</v>
      </c>
      <c r="W16" s="753">
        <f>J16</f>
        <v>100</v>
      </c>
      <c r="X16" s="1883"/>
      <c r="Y16" s="3071"/>
      <c r="Z16" s="1885" t="str">
        <f>Q16</f>
        <v>公共配套设施</v>
      </c>
      <c r="AA16" s="1886">
        <f t="shared" si="3"/>
        <v>1</v>
      </c>
      <c r="AB16" s="1886">
        <f t="shared" si="4"/>
        <v>1</v>
      </c>
      <c r="AC16" s="1886">
        <f t="shared" si="5"/>
        <v>1</v>
      </c>
    </row>
    <row r="17" spans="1:29" ht="15">
      <c r="A17" s="408"/>
      <c r="B17" s="616"/>
      <c r="C17" s="437"/>
      <c r="D17" s="427"/>
      <c r="E17" s="426"/>
      <c r="F17" s="429"/>
      <c r="G17" s="426"/>
      <c r="H17" s="427"/>
      <c r="I17" s="426"/>
      <c r="J17" s="427"/>
      <c r="K17" s="599"/>
      <c r="L17" s="1245"/>
      <c r="M17" s="1236"/>
      <c r="N17" s="1236"/>
      <c r="O17" s="1244"/>
      <c r="P17" s="3071"/>
      <c r="Q17" s="1882"/>
      <c r="R17" s="752"/>
      <c r="S17" s="753"/>
      <c r="T17" s="752"/>
      <c r="U17" s="753"/>
      <c r="V17" s="752"/>
      <c r="W17" s="753"/>
      <c r="X17" s="1883"/>
      <c r="Y17" s="3071"/>
      <c r="Z17" s="1885"/>
      <c r="AA17" s="1886">
        <v>1</v>
      </c>
      <c r="AB17" s="1886">
        <v>1</v>
      </c>
      <c r="AC17" s="1886">
        <v>1</v>
      </c>
    </row>
    <row r="18" spans="1:29" ht="28.5">
      <c r="A18" s="408"/>
      <c r="B18" s="617" t="s">
        <v>2465</v>
      </c>
      <c r="C18" s="2390"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71"/>
      <c r="Q18" s="1882" t="str">
        <f>B18</f>
        <v>基础设施水平</v>
      </c>
      <c r="R18" s="752" t="s">
        <v>25</v>
      </c>
      <c r="S18" s="753">
        <f>F18</f>
        <v>100</v>
      </c>
      <c r="T18" s="752" t="s">
        <v>25</v>
      </c>
      <c r="U18" s="753">
        <f>H18</f>
        <v>100</v>
      </c>
      <c r="V18" s="752" t="s">
        <v>25</v>
      </c>
      <c r="W18" s="753">
        <f>J18</f>
        <v>100</v>
      </c>
      <c r="X18" s="1883"/>
      <c r="Y18" s="3071"/>
      <c r="Z18" s="1885" t="str">
        <f>Q18</f>
        <v>基础设施水平</v>
      </c>
      <c r="AA18" s="1886">
        <f t="shared" ref="AA18" si="8">D18/F18</f>
        <v>1</v>
      </c>
      <c r="AB18" s="1886">
        <f t="shared" ref="AB18" si="9">D18/H18</f>
        <v>1</v>
      </c>
      <c r="AC18" s="1886">
        <f t="shared" ref="AC18" si="10">D18/J18</f>
        <v>1</v>
      </c>
    </row>
    <row r="19" spans="1:29" ht="15">
      <c r="A19" s="408"/>
      <c r="B19" s="617"/>
      <c r="C19" s="437"/>
      <c r="D19" s="427"/>
      <c r="E19" s="437"/>
      <c r="F19" s="433"/>
      <c r="G19" s="437"/>
      <c r="H19" s="427"/>
      <c r="I19" s="426"/>
      <c r="J19" s="427"/>
      <c r="K19" s="1461"/>
      <c r="L19" s="1245"/>
      <c r="M19" s="1236"/>
      <c r="N19" s="1236"/>
      <c r="O19" s="1244"/>
      <c r="P19" s="3071"/>
      <c r="Q19" s="1882"/>
      <c r="R19" s="752"/>
      <c r="S19" s="753"/>
      <c r="T19" s="752"/>
      <c r="U19" s="753"/>
      <c r="V19" s="752"/>
      <c r="W19" s="753"/>
      <c r="X19" s="1883"/>
      <c r="Y19" s="3071"/>
      <c r="Z19" s="1885"/>
      <c r="AA19" s="1886">
        <v>1</v>
      </c>
      <c r="AB19" s="1886">
        <v>1</v>
      </c>
      <c r="AC19" s="1886">
        <v>1</v>
      </c>
    </row>
    <row r="20" spans="1:29" ht="57">
      <c r="A20" s="408"/>
      <c r="B20" s="431" t="s">
        <v>2493</v>
      </c>
      <c r="C20" s="2390"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71"/>
      <c r="Q20" s="1882" t="str">
        <f>B20</f>
        <v>自然及人文环境</v>
      </c>
      <c r="R20" s="752" t="s">
        <v>25</v>
      </c>
      <c r="S20" s="753">
        <f>F20</f>
        <v>100</v>
      </c>
      <c r="T20" s="752" t="s">
        <v>25</v>
      </c>
      <c r="U20" s="753">
        <f>H20</f>
        <v>100</v>
      </c>
      <c r="V20" s="752" t="s">
        <v>25</v>
      </c>
      <c r="W20" s="753">
        <f>J20</f>
        <v>100</v>
      </c>
      <c r="X20" s="1883"/>
      <c r="Y20" s="3071"/>
      <c r="Z20" s="1885" t="str">
        <f>Q20</f>
        <v>自然及人文环境</v>
      </c>
      <c r="AA20" s="1886">
        <f t="shared" si="3"/>
        <v>1</v>
      </c>
      <c r="AB20" s="1886">
        <f t="shared" si="4"/>
        <v>1</v>
      </c>
      <c r="AC20" s="1886">
        <f t="shared" si="5"/>
        <v>1</v>
      </c>
    </row>
    <row r="21" spans="1:29" ht="15">
      <c r="A21" s="408"/>
      <c r="B21" s="436"/>
      <c r="C21" s="426"/>
      <c r="D21" s="427"/>
      <c r="E21" s="426"/>
      <c r="F21" s="429"/>
      <c r="G21" s="426"/>
      <c r="H21" s="427"/>
      <c r="I21" s="426"/>
      <c r="J21" s="427"/>
      <c r="K21" s="599"/>
      <c r="L21" s="1245"/>
      <c r="M21" s="1236"/>
      <c r="N21" s="1236"/>
      <c r="O21" s="1244"/>
      <c r="P21" s="3071"/>
      <c r="Q21" s="1882"/>
      <c r="R21" s="752"/>
      <c r="S21" s="753"/>
      <c r="T21" s="752"/>
      <c r="U21" s="753"/>
      <c r="V21" s="752"/>
      <c r="W21" s="753"/>
      <c r="X21" s="1883"/>
      <c r="Y21" s="3071"/>
      <c r="Z21" s="1885"/>
      <c r="AA21" s="1886">
        <v>1</v>
      </c>
      <c r="AB21" s="1886">
        <v>1</v>
      </c>
      <c r="AC21" s="1886">
        <v>1</v>
      </c>
    </row>
    <row r="22" spans="1:29" ht="15">
      <c r="A22" s="408"/>
      <c r="B22" s="431" t="s">
        <v>2494</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71"/>
      <c r="Q22" s="1882" t="str">
        <f>B22</f>
        <v>楼层</v>
      </c>
      <c r="R22" s="752" t="s">
        <v>25</v>
      </c>
      <c r="S22" s="753">
        <f>F22</f>
        <v>100</v>
      </c>
      <c r="T22" s="752" t="s">
        <v>25</v>
      </c>
      <c r="U22" s="753">
        <f>H22</f>
        <v>100</v>
      </c>
      <c r="V22" s="752" t="s">
        <v>25</v>
      </c>
      <c r="W22" s="753">
        <f>J22</f>
        <v>100</v>
      </c>
      <c r="X22" s="1883"/>
      <c r="Y22" s="3071"/>
      <c r="Z22" s="1885" t="str">
        <f>Q22</f>
        <v>楼层</v>
      </c>
      <c r="AA22" s="1886">
        <f t="shared" si="3"/>
        <v>1</v>
      </c>
      <c r="AB22" s="1886">
        <f t="shared" si="4"/>
        <v>1</v>
      </c>
      <c r="AC22" s="1886">
        <f t="shared" si="5"/>
        <v>1</v>
      </c>
    </row>
    <row r="23" spans="1:29" ht="15">
      <c r="A23" s="383"/>
      <c r="B23" s="2383">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71"/>
      <c r="Q23" s="1882">
        <f>B23</f>
        <v>111</v>
      </c>
      <c r="R23" s="752" t="s">
        <v>25</v>
      </c>
      <c r="S23" s="753">
        <f>F23</f>
        <v>100</v>
      </c>
      <c r="T23" s="752" t="s">
        <v>25</v>
      </c>
      <c r="U23" s="753">
        <f>H23</f>
        <v>100</v>
      </c>
      <c r="V23" s="752" t="s">
        <v>25</v>
      </c>
      <c r="W23" s="753">
        <f>J23</f>
        <v>100</v>
      </c>
      <c r="X23" s="1883"/>
      <c r="Y23" s="3071"/>
      <c r="Z23" s="1885">
        <f>Q23</f>
        <v>111</v>
      </c>
      <c r="AA23" s="1886">
        <f t="shared" si="3"/>
        <v>1</v>
      </c>
      <c r="AB23" s="1886">
        <f t="shared" si="4"/>
        <v>1</v>
      </c>
      <c r="AC23" s="1886">
        <f t="shared" si="5"/>
        <v>1</v>
      </c>
    </row>
    <row r="24" spans="1:29" ht="15">
      <c r="A24" s="408"/>
      <c r="B24" s="2383">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71"/>
      <c r="Q24" s="1882">
        <f t="shared" ref="Q24:Q34" si="11">B24</f>
        <v>111</v>
      </c>
      <c r="R24" s="752" t="s">
        <v>25</v>
      </c>
      <c r="S24" s="753">
        <f>F24</f>
        <v>100</v>
      </c>
      <c r="T24" s="752" t="s">
        <v>25</v>
      </c>
      <c r="U24" s="753">
        <f>H24</f>
        <v>100</v>
      </c>
      <c r="V24" s="752" t="s">
        <v>25</v>
      </c>
      <c r="W24" s="753">
        <f>J24</f>
        <v>100</v>
      </c>
      <c r="X24" s="1883"/>
      <c r="Y24" s="3071"/>
      <c r="Z24" s="1885">
        <f>Q24</f>
        <v>111</v>
      </c>
      <c r="AA24" s="1886">
        <f t="shared" si="3"/>
        <v>1</v>
      </c>
      <c r="AB24" s="1886">
        <f t="shared" si="4"/>
        <v>1</v>
      </c>
      <c r="AC24" s="1886">
        <f t="shared" si="5"/>
        <v>1</v>
      </c>
    </row>
    <row r="25" spans="1:29" s="35" customFormat="1" ht="15.75" thickBot="1">
      <c r="A25" s="411"/>
      <c r="B25" s="2383">
        <v>111</v>
      </c>
      <c r="C25" s="2465"/>
      <c r="D25" s="648">
        <v>100</v>
      </c>
      <c r="E25" s="2465"/>
      <c r="F25" s="649">
        <f>SUMIF(75:75,E25,76:76)-SUMIF(75:75,C25,76:76)+100</f>
        <v>100</v>
      </c>
      <c r="G25" s="2465"/>
      <c r="H25" s="648">
        <f>SUMIF(75:75,G25,76:76)-SUMIF(75:75,C25,76:76)+100</f>
        <v>100</v>
      </c>
      <c r="I25" s="2465"/>
      <c r="J25" s="648">
        <f>SUMIF(75:75,I25,76:76)-SUMIF(75:75,C25,76:76)+100</f>
        <v>100</v>
      </c>
      <c r="K25" s="597"/>
      <c r="L25" s="1237"/>
      <c r="M25" s="1238"/>
      <c r="N25" s="1238"/>
      <c r="O25" s="1239"/>
      <c r="P25" s="3071"/>
      <c r="Q25" s="1870">
        <f t="shared" si="11"/>
        <v>111</v>
      </c>
      <c r="R25" s="748" t="s">
        <v>25</v>
      </c>
      <c r="S25" s="749">
        <f>F25</f>
        <v>100</v>
      </c>
      <c r="T25" s="748" t="s">
        <v>25</v>
      </c>
      <c r="U25" s="749">
        <f>H25</f>
        <v>100</v>
      </c>
      <c r="V25" s="748" t="s">
        <v>25</v>
      </c>
      <c r="W25" s="749">
        <f>J25</f>
        <v>100</v>
      </c>
      <c r="X25" s="750"/>
      <c r="Y25" s="3071"/>
      <c r="Z25" s="23">
        <f>Q25</f>
        <v>111</v>
      </c>
      <c r="AA25" s="1886">
        <f>D25/F25</f>
        <v>1</v>
      </c>
      <c r="AB25" s="1886">
        <f>D25/H25</f>
        <v>1</v>
      </c>
      <c r="AC25" s="1886">
        <f>D25/J25</f>
        <v>1</v>
      </c>
    </row>
    <row r="26" spans="1:29" ht="28.5">
      <c r="A26" s="447" t="s">
        <v>2353</v>
      </c>
      <c r="B26" s="28" t="s">
        <v>2497</v>
      </c>
      <c r="C26" s="2456"/>
      <c r="D26" s="448">
        <v>100</v>
      </c>
      <c r="E26" s="2456"/>
      <c r="F26" s="650">
        <f>SUMIF(77:77,E26,78:78)-SUMIF(77:77,C26,78:78)+100</f>
        <v>100</v>
      </c>
      <c r="G26" s="2456"/>
      <c r="H26" s="448">
        <f>SUMIF(77:77,G26,78:78)-SUMIF(77:77,C26,78:78)+100</f>
        <v>100</v>
      </c>
      <c r="I26" s="2456"/>
      <c r="J26" s="448">
        <f>SUMIF(77:77,I26,78:78)-SUMIF(77:77,C26,78:78)+100</f>
        <v>100</v>
      </c>
      <c r="K26" s="596"/>
      <c r="L26" s="1245"/>
      <c r="M26" s="1236"/>
      <c r="N26" s="1236"/>
      <c r="O26" s="1244"/>
      <c r="P26" s="3098" t="s">
        <v>2355</v>
      </c>
      <c r="Q26" s="1882" t="str">
        <f t="shared" si="11"/>
        <v>公共部分装修</v>
      </c>
      <c r="R26" s="752" t="s">
        <v>25</v>
      </c>
      <c r="S26" s="753">
        <f t="shared" ref="S26:S34" si="12">F26</f>
        <v>100</v>
      </c>
      <c r="T26" s="752" t="s">
        <v>25</v>
      </c>
      <c r="U26" s="753">
        <f t="shared" ref="U26:U34" si="13">H26</f>
        <v>100</v>
      </c>
      <c r="V26" s="752" t="s">
        <v>25</v>
      </c>
      <c r="W26" s="753">
        <f t="shared" ref="W26:W34" si="14">J26</f>
        <v>100</v>
      </c>
      <c r="X26" s="1883"/>
      <c r="Y26" s="3075" t="s">
        <v>2355</v>
      </c>
      <c r="Z26" s="1885" t="str">
        <f t="shared" ref="Z26:Z34" si="15">Q26</f>
        <v>公共部分装修</v>
      </c>
      <c r="AA26" s="1886">
        <f t="shared" si="3"/>
        <v>1</v>
      </c>
      <c r="AB26" s="1886">
        <f t="shared" si="4"/>
        <v>1</v>
      </c>
      <c r="AC26" s="1886">
        <f t="shared" si="5"/>
        <v>1</v>
      </c>
    </row>
    <row r="27" spans="1:29" s="452" customFormat="1" ht="15">
      <c r="A27" s="449"/>
      <c r="B27" s="402" t="s">
        <v>2498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75"/>
      <c r="Q27" s="754" t="str">
        <f t="shared" si="11"/>
        <v>成新率</v>
      </c>
      <c r="R27" s="755" t="s">
        <v>25</v>
      </c>
      <c r="S27" s="756" t="e">
        <f t="shared" si="12"/>
        <v>#N/A</v>
      </c>
      <c r="T27" s="755" t="s">
        <v>25</v>
      </c>
      <c r="U27" s="756" t="e">
        <f t="shared" si="13"/>
        <v>#N/A</v>
      </c>
      <c r="V27" s="755" t="s">
        <v>25</v>
      </c>
      <c r="W27" s="756" t="e">
        <f t="shared" si="14"/>
        <v>#N/A</v>
      </c>
      <c r="X27" s="757"/>
      <c r="Y27" s="3075"/>
      <c r="Z27" s="758" t="str">
        <f t="shared" si="15"/>
        <v>成新率</v>
      </c>
      <c r="AA27" s="1886" t="e">
        <f t="shared" si="3"/>
        <v>#N/A</v>
      </c>
      <c r="AB27" s="1886" t="e">
        <f t="shared" si="4"/>
        <v>#N/A</v>
      </c>
      <c r="AC27" s="1886" t="e">
        <f t="shared" si="5"/>
        <v>#N/A</v>
      </c>
    </row>
    <row r="28" spans="1:29" ht="15">
      <c r="A28" s="453"/>
      <c r="B28" s="402" t="s">
        <v>2499</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75"/>
      <c r="Q28" s="1882" t="str">
        <f t="shared" si="11"/>
        <v>物业等级</v>
      </c>
      <c r="R28" s="752" t="s">
        <v>25</v>
      </c>
      <c r="S28" s="753">
        <f t="shared" si="12"/>
        <v>100</v>
      </c>
      <c r="T28" s="752" t="s">
        <v>25</v>
      </c>
      <c r="U28" s="753">
        <f t="shared" si="13"/>
        <v>100</v>
      </c>
      <c r="V28" s="752" t="s">
        <v>25</v>
      </c>
      <c r="W28" s="753">
        <f t="shared" si="14"/>
        <v>100</v>
      </c>
      <c r="X28" s="1883"/>
      <c r="Y28" s="3075"/>
      <c r="Z28" s="1885" t="str">
        <f t="shared" si="15"/>
        <v>物业等级</v>
      </c>
      <c r="AA28" s="1886">
        <f t="shared" si="3"/>
        <v>1</v>
      </c>
      <c r="AB28" s="1886">
        <f t="shared" si="4"/>
        <v>1</v>
      </c>
      <c r="AC28" s="1886">
        <f t="shared" si="5"/>
        <v>1</v>
      </c>
    </row>
    <row r="29" spans="1:29" ht="15">
      <c r="A29" s="453"/>
      <c r="B29" s="402" t="s">
        <v>2520</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75"/>
      <c r="Q29" s="1882" t="str">
        <f t="shared" si="11"/>
        <v>有无电梯</v>
      </c>
      <c r="R29" s="752" t="s">
        <v>25</v>
      </c>
      <c r="S29" s="753">
        <f t="shared" si="12"/>
        <v>100</v>
      </c>
      <c r="T29" s="752" t="s">
        <v>25</v>
      </c>
      <c r="U29" s="753">
        <f t="shared" si="13"/>
        <v>100</v>
      </c>
      <c r="V29" s="752" t="s">
        <v>25</v>
      </c>
      <c r="W29" s="753">
        <f t="shared" si="14"/>
        <v>100</v>
      </c>
      <c r="X29" s="1883"/>
      <c r="Y29" s="3075"/>
      <c r="Z29" s="1885" t="str">
        <f t="shared" si="15"/>
        <v>有无电梯</v>
      </c>
      <c r="AA29" s="1886">
        <f t="shared" si="3"/>
        <v>1</v>
      </c>
      <c r="AB29" s="1886">
        <f t="shared" si="4"/>
        <v>1</v>
      </c>
      <c r="AC29" s="1886">
        <f t="shared" si="5"/>
        <v>1</v>
      </c>
    </row>
    <row r="30" spans="1:29" ht="15">
      <c r="A30" s="453"/>
      <c r="B30" s="402" t="s">
        <v>2521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75"/>
      <c r="Q30" s="1882" t="str">
        <f t="shared" si="11"/>
        <v>建筑面积</v>
      </c>
      <c r="R30" s="752" t="s">
        <v>25</v>
      </c>
      <c r="S30" s="753" t="e">
        <f t="shared" si="12"/>
        <v>#N/A</v>
      </c>
      <c r="T30" s="752" t="s">
        <v>25</v>
      </c>
      <c r="U30" s="753" t="e">
        <f t="shared" si="13"/>
        <v>#N/A</v>
      </c>
      <c r="V30" s="752" t="s">
        <v>25</v>
      </c>
      <c r="W30" s="753" t="e">
        <f t="shared" si="14"/>
        <v>#N/A</v>
      </c>
      <c r="X30" s="1883"/>
      <c r="Y30" s="3075"/>
      <c r="Z30" s="1885" t="str">
        <f t="shared" si="15"/>
        <v>建筑面积</v>
      </c>
      <c r="AA30" s="1886" t="e">
        <f t="shared" si="3"/>
        <v>#N/A</v>
      </c>
      <c r="AB30" s="1886" t="e">
        <f t="shared" si="4"/>
        <v>#N/A</v>
      </c>
      <c r="AC30" s="1886" t="e">
        <f t="shared" si="5"/>
        <v>#N/A</v>
      </c>
    </row>
    <row r="31" spans="1:29" s="35" customFormat="1" ht="15">
      <c r="A31" s="454"/>
      <c r="B31" s="402" t="s">
        <v>2522</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75"/>
      <c r="Q31" s="1870" t="str">
        <f t="shared" si="11"/>
        <v>是否封闭</v>
      </c>
      <c r="R31" s="748" t="s">
        <v>25</v>
      </c>
      <c r="S31" s="749">
        <f t="shared" si="12"/>
        <v>100</v>
      </c>
      <c r="T31" s="748" t="s">
        <v>25</v>
      </c>
      <c r="U31" s="749">
        <f t="shared" si="13"/>
        <v>100</v>
      </c>
      <c r="V31" s="748" t="s">
        <v>25</v>
      </c>
      <c r="W31" s="749">
        <f t="shared" si="14"/>
        <v>100</v>
      </c>
      <c r="X31" s="750"/>
      <c r="Y31" s="3075"/>
      <c r="Z31" s="23" t="str">
        <f t="shared" si="15"/>
        <v>是否封闭</v>
      </c>
      <c r="AA31" s="751">
        <f t="shared" si="3"/>
        <v>1</v>
      </c>
      <c r="AB31" s="751">
        <f t="shared" si="4"/>
        <v>1</v>
      </c>
      <c r="AC31" s="751">
        <f t="shared" si="5"/>
        <v>1</v>
      </c>
    </row>
    <row r="32" spans="1:29" ht="15">
      <c r="A32" s="453"/>
      <c r="B32" s="2383">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75" t="s">
        <v>2355</v>
      </c>
      <c r="Q32" s="1882">
        <f t="shared" si="11"/>
        <v>111</v>
      </c>
      <c r="R32" s="752" t="s">
        <v>25</v>
      </c>
      <c r="S32" s="753">
        <f t="shared" si="12"/>
        <v>100</v>
      </c>
      <c r="T32" s="752" t="s">
        <v>25</v>
      </c>
      <c r="U32" s="753">
        <f t="shared" si="13"/>
        <v>100</v>
      </c>
      <c r="V32" s="752" t="s">
        <v>25</v>
      </c>
      <c r="W32" s="753">
        <f t="shared" si="14"/>
        <v>100</v>
      </c>
      <c r="X32" s="1883"/>
      <c r="Y32" s="3075" t="s">
        <v>2355</v>
      </c>
      <c r="Z32" s="1885">
        <f t="shared" si="15"/>
        <v>111</v>
      </c>
      <c r="AA32" s="1886">
        <f t="shared" si="3"/>
        <v>1</v>
      </c>
      <c r="AB32" s="1886">
        <f t="shared" si="4"/>
        <v>1</v>
      </c>
      <c r="AC32" s="1886">
        <f t="shared" si="5"/>
        <v>1</v>
      </c>
    </row>
    <row r="33" spans="1:29" ht="15">
      <c r="A33" s="453"/>
      <c r="B33" s="2383">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75"/>
      <c r="Q33" s="1882">
        <f t="shared" si="11"/>
        <v>111</v>
      </c>
      <c r="R33" s="752" t="s">
        <v>25</v>
      </c>
      <c r="S33" s="753">
        <f t="shared" si="12"/>
        <v>100</v>
      </c>
      <c r="T33" s="752" t="s">
        <v>25</v>
      </c>
      <c r="U33" s="753">
        <f t="shared" si="13"/>
        <v>100</v>
      </c>
      <c r="V33" s="752" t="s">
        <v>25</v>
      </c>
      <c r="W33" s="753">
        <f t="shared" si="14"/>
        <v>100</v>
      </c>
      <c r="X33" s="1883"/>
      <c r="Y33" s="3075"/>
      <c r="Z33" s="1885">
        <f t="shared" si="15"/>
        <v>111</v>
      </c>
      <c r="AA33" s="1886">
        <f t="shared" si="3"/>
        <v>1</v>
      </c>
      <c r="AB33" s="1886">
        <f t="shared" si="4"/>
        <v>1</v>
      </c>
      <c r="AC33" s="1886">
        <f t="shared" si="5"/>
        <v>1</v>
      </c>
    </row>
    <row r="34" spans="1:29" ht="15.75" thickBot="1">
      <c r="A34" s="459"/>
      <c r="B34" s="2385">
        <v>111</v>
      </c>
      <c r="C34" s="2386"/>
      <c r="D34" s="417">
        <v>100</v>
      </c>
      <c r="E34" s="2466"/>
      <c r="F34" s="418">
        <f>SUMIF(95:95,E34,96:96)-SUMIF(95:95,C34,96:96)+100</f>
        <v>100</v>
      </c>
      <c r="G34" s="2466"/>
      <c r="H34" s="417">
        <f>SUMIF(95:95,G34,96:96)-SUMIF(95:95,C34,96:96)+100</f>
        <v>100</v>
      </c>
      <c r="I34" s="2466"/>
      <c r="J34" s="417">
        <f>SUMIF(95:95,I34,96:96)-SUMIF(95:95,C34,96:96)+100</f>
        <v>100</v>
      </c>
      <c r="K34" s="597"/>
      <c r="L34" s="1245"/>
      <c r="M34" s="1236"/>
      <c r="N34" s="1236"/>
      <c r="O34" s="1244"/>
      <c r="P34" s="3075"/>
      <c r="Q34" s="1882">
        <f t="shared" si="11"/>
        <v>111</v>
      </c>
      <c r="R34" s="752" t="s">
        <v>25</v>
      </c>
      <c r="S34" s="753">
        <f t="shared" si="12"/>
        <v>100</v>
      </c>
      <c r="T34" s="752" t="s">
        <v>25</v>
      </c>
      <c r="U34" s="753">
        <f t="shared" si="13"/>
        <v>100</v>
      </c>
      <c r="V34" s="752" t="s">
        <v>25</v>
      </c>
      <c r="W34" s="753">
        <f t="shared" si="14"/>
        <v>100</v>
      </c>
      <c r="X34" s="1883"/>
      <c r="Y34" s="3075"/>
      <c r="Z34" s="1885">
        <f t="shared" si="15"/>
        <v>111</v>
      </c>
      <c r="AA34" s="1886">
        <f t="shared" si="3"/>
        <v>1</v>
      </c>
      <c r="AB34" s="1886">
        <f t="shared" si="4"/>
        <v>1</v>
      </c>
      <c r="AC34" s="1886">
        <f t="shared" si="5"/>
        <v>1</v>
      </c>
    </row>
    <row r="35" spans="1:29" ht="15">
      <c r="A35" s="460" t="s">
        <v>2367</v>
      </c>
      <c r="B35" s="461"/>
      <c r="C35" s="1494" t="s">
        <v>1</v>
      </c>
      <c r="D35" s="1495"/>
      <c r="E35" s="1496"/>
      <c r="F35" s="1497"/>
      <c r="G35" s="1498"/>
      <c r="H35" s="1499"/>
      <c r="I35" s="1496"/>
      <c r="J35" s="1499"/>
      <c r="K35" s="761"/>
      <c r="L35" s="1248"/>
      <c r="M35" s="1249"/>
      <c r="N35" s="1236"/>
      <c r="O35" s="1249"/>
      <c r="P35" s="3081" t="str">
        <f>A35</f>
        <v>成交单价（元/平方米）</v>
      </c>
      <c r="Q35" s="3081"/>
      <c r="R35" s="3082">
        <f>E35</f>
        <v>0</v>
      </c>
      <c r="S35" s="3082"/>
      <c r="T35" s="3082">
        <f>G35</f>
        <v>0</v>
      </c>
      <c r="U35" s="3082"/>
      <c r="V35" s="3082">
        <f>I35</f>
        <v>0</v>
      </c>
      <c r="W35" s="3082"/>
      <c r="X35" s="737"/>
      <c r="Y35" s="759"/>
      <c r="Z35" s="737"/>
      <c r="AA35" s="737"/>
      <c r="AB35" s="737"/>
      <c r="AC35" s="737"/>
    </row>
    <row r="36" spans="1:29" ht="15.75" thickBot="1">
      <c r="A36" s="467" t="s">
        <v>2450</v>
      </c>
      <c r="B36" s="468"/>
      <c r="C36" s="1500" t="e">
        <f>R37</f>
        <v>#DIV/0!</v>
      </c>
      <c r="D36" s="1501"/>
      <c r="E36" s="1502" t="e">
        <f>R36</f>
        <v>#DIV/0!</v>
      </c>
      <c r="F36" s="1502"/>
      <c r="G36" s="1500" t="e">
        <f>T36</f>
        <v>#DIV/0!</v>
      </c>
      <c r="H36" s="1501"/>
      <c r="I36" s="1502" t="e">
        <f>V36</f>
        <v>#DIV/0!</v>
      </c>
      <c r="J36" s="1501"/>
      <c r="K36" s="762"/>
      <c r="L36" s="1248"/>
      <c r="M36" s="1249"/>
      <c r="N36" s="1236"/>
      <c r="O36" s="1249"/>
      <c r="P36" s="3081" t="str">
        <f>A36</f>
        <v>比较价值（元/平方米）</v>
      </c>
      <c r="Q36" s="3081"/>
      <c r="R36" s="3082" t="e">
        <f>IF(E1="售价",ROUND(PRODUCT(R35,AA7:AA34),0),ROUND(PRODUCT(R35,AA7:AA34),1))</f>
        <v>#DIV/0!</v>
      </c>
      <c r="S36" s="3082"/>
      <c r="T36" s="3082" t="e">
        <f>IF(E1="售价",ROUND(PRODUCT(T35,AB7:AB34),0),ROUND(PRODUCT(T35,AB7:AB34),1))</f>
        <v>#DIV/0!</v>
      </c>
      <c r="U36" s="3082"/>
      <c r="V36" s="3082" t="e">
        <f>IF(E1="售价",ROUND(PRODUCT(V35,AC7:AC34),0),ROUND(PRODUCT(V35,AC7:AC34),1))</f>
        <v>#DIV/0!</v>
      </c>
      <c r="W36" s="3082"/>
      <c r="X36" s="737"/>
      <c r="Y36" s="737"/>
      <c r="Z36" s="737"/>
      <c r="AA36" s="737"/>
      <c r="AB36" s="737"/>
      <c r="AC36" s="737"/>
    </row>
    <row r="37" spans="1:29" ht="15.75" thickBot="1">
      <c r="A37" s="473" t="s">
        <v>2473</v>
      </c>
      <c r="B37" s="474"/>
      <c r="C37" s="1504" t="e">
        <f>R37</f>
        <v>#DIV/0!</v>
      </c>
      <c r="D37" s="1504"/>
      <c r="E37" s="1504"/>
      <c r="F37" s="1504"/>
      <c r="G37" s="1504"/>
      <c r="H37" s="1504"/>
      <c r="I37" s="1504"/>
      <c r="J37" s="1504"/>
      <c r="K37" s="763"/>
      <c r="L37" s="1248"/>
      <c r="M37" s="1249"/>
      <c r="N37" s="1249"/>
      <c r="O37" s="1249"/>
      <c r="P37" s="3087" t="str">
        <f>A37</f>
        <v>估价对象XX用房的比较价值（楼面单价，元/平方米）</v>
      </c>
      <c r="Q37" s="3088"/>
      <c r="R37" s="3089" t="e">
        <f>IF(E1="售价",ROUND(AVERAGE(R36:V36),0),ROUND(AVERAGE(R36:V36),1))</f>
        <v>#DIV/0!</v>
      </c>
      <c r="S37" s="3089"/>
      <c r="T37" s="3089"/>
      <c r="U37" s="3089"/>
      <c r="V37" s="3089"/>
      <c r="W37" s="3089"/>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2452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2453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2454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2455</v>
      </c>
      <c r="B45" s="737"/>
      <c r="C45" s="742"/>
      <c r="D45" s="742"/>
      <c r="E45" s="742"/>
      <c r="F45" s="743"/>
      <c r="G45" s="743"/>
      <c r="H45" s="742"/>
      <c r="I45" s="742"/>
      <c r="J45" s="742"/>
      <c r="K45" s="744"/>
      <c r="L45" s="745"/>
      <c r="M45" s="742"/>
      <c r="N45" s="742"/>
      <c r="O45" s="742"/>
      <c r="P45" s="484"/>
      <c r="Q45" s="485"/>
    </row>
    <row r="46" spans="1:29" s="489" customFormat="1" ht="15">
      <c r="A46" s="486" t="s">
        <v>2338</v>
      </c>
      <c r="B46" s="487"/>
      <c r="C46" s="1670" t="str">
        <f>YEAR(C7)&amp;"-"&amp;MONTH(C7)</f>
        <v>2020-6</v>
      </c>
      <c r="D46" s="1671">
        <f>EDATE(C46,-1)</f>
        <v>43952</v>
      </c>
      <c r="E46" s="1671">
        <f t="shared" ref="E46:O46" si="16">EDATE(D46,-1)</f>
        <v>43922</v>
      </c>
      <c r="F46" s="1671">
        <f t="shared" si="16"/>
        <v>43891</v>
      </c>
      <c r="G46" s="1671">
        <f t="shared" si="16"/>
        <v>43862</v>
      </c>
      <c r="H46" s="1671">
        <f t="shared" si="16"/>
        <v>43831</v>
      </c>
      <c r="I46" s="1671">
        <f t="shared" si="16"/>
        <v>43800</v>
      </c>
      <c r="J46" s="1671">
        <f t="shared" si="16"/>
        <v>43770</v>
      </c>
      <c r="K46" s="1671">
        <f t="shared" si="16"/>
        <v>43739</v>
      </c>
      <c r="L46" s="1671">
        <f t="shared" si="16"/>
        <v>43709</v>
      </c>
      <c r="M46" s="1671">
        <f t="shared" si="16"/>
        <v>43678</v>
      </c>
      <c r="N46" s="1671">
        <f t="shared" si="16"/>
        <v>43647</v>
      </c>
      <c r="O46" s="1671">
        <f t="shared" si="16"/>
        <v>43617</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2375</v>
      </c>
      <c r="B48" s="497"/>
      <c r="C48" s="498"/>
      <c r="D48" s="499"/>
      <c r="E48" s="499"/>
      <c r="F48" s="499"/>
      <c r="G48" s="499"/>
      <c r="H48" s="499"/>
      <c r="I48" s="499"/>
      <c r="J48" s="499"/>
      <c r="K48" s="499"/>
      <c r="L48" s="499"/>
      <c r="M48" s="500"/>
      <c r="N48" s="499"/>
      <c r="O48" s="501"/>
      <c r="P48" s="485"/>
      <c r="Q48" s="485"/>
    </row>
    <row r="49" spans="1:17" s="35" customFormat="1" ht="15">
      <c r="A49" s="502" t="s">
        <v>2340</v>
      </c>
      <c r="B49" s="491"/>
      <c r="C49" s="503" t="s">
        <v>2341</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2378</v>
      </c>
      <c r="B51" s="509" t="s">
        <v>2344</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2347</v>
      </c>
      <c r="C53" s="522" t="s">
        <v>2379</v>
      </c>
      <c r="D53" s="522" t="s">
        <v>2380</v>
      </c>
      <c r="E53" s="522" t="s">
        <v>2381</v>
      </c>
      <c r="F53" s="522" t="s">
        <v>2382</v>
      </c>
      <c r="G53" s="522" t="s">
        <v>2383</v>
      </c>
      <c r="H53" s="522" t="s">
        <v>2384</v>
      </c>
      <c r="I53" s="522" t="s">
        <v>2385</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2349</v>
      </c>
      <c r="B61" s="509" t="s">
        <v>2392</v>
      </c>
      <c r="C61" s="557" t="s">
        <v>2387</v>
      </c>
      <c r="D61" s="557" t="s">
        <v>2388</v>
      </c>
      <c r="E61" s="557" t="s">
        <v>2389</v>
      </c>
      <c r="F61" s="557" t="s">
        <v>2390</v>
      </c>
      <c r="G61" s="557" t="s">
        <v>2391</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2393</v>
      </c>
      <c r="C63" s="562" t="s">
        <v>2387</v>
      </c>
      <c r="D63" s="562" t="s">
        <v>2388</v>
      </c>
      <c r="E63" s="562" t="s">
        <v>2389</v>
      </c>
      <c r="F63" s="562" t="s">
        <v>2390</v>
      </c>
      <c r="G63" s="562" t="s">
        <v>2391</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2465</v>
      </c>
      <c r="C65" s="522" t="s">
        <v>2394</v>
      </c>
      <c r="D65" s="522" t="s">
        <v>2395</v>
      </c>
      <c r="E65" s="522" t="s">
        <v>2396</v>
      </c>
      <c r="F65" s="522" t="s">
        <v>2397</v>
      </c>
      <c r="G65" s="522" t="s">
        <v>2398</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2399</v>
      </c>
      <c r="C67" s="562" t="s">
        <v>2387</v>
      </c>
      <c r="D67" s="562" t="s">
        <v>2388</v>
      </c>
      <c r="E67" s="562" t="s">
        <v>2389</v>
      </c>
      <c r="F67" s="562" t="s">
        <v>2390</v>
      </c>
      <c r="G67" s="562" t="s">
        <v>2391</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2512</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2353</v>
      </c>
      <c r="B77" s="509" t="s">
        <v>2406</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2515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2516</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2523</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2524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2525</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9" activeCellId="2" sqref="I3 B39 B39"/>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2526</v>
      </c>
      <c r="B1" s="374"/>
      <c r="C1" s="375" t="s">
        <v>2527</v>
      </c>
      <c r="D1" s="733"/>
      <c r="E1" s="733"/>
      <c r="F1" s="732" t="s">
        <v>2323</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1998</v>
      </c>
      <c r="B2" s="654" t="e">
        <f>F66</f>
        <v>#DIV/0!</v>
      </c>
      <c r="C2" s="731" t="s">
        <v>2528</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1999</v>
      </c>
      <c r="B3" s="593" t="e">
        <f>ROUND(B2/'数据-取费表'!B5,0)</f>
        <v>#DIV/0!</v>
      </c>
      <c r="C3" s="731" t="s">
        <v>2529</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2325</v>
      </c>
      <c r="B4" s="381"/>
      <c r="C4" s="3045" t="s">
        <v>2326</v>
      </c>
      <c r="D4" s="3046"/>
      <c r="E4" s="3047" t="s">
        <v>2327</v>
      </c>
      <c r="F4" s="3048"/>
      <c r="G4" s="3045" t="s">
        <v>2328</v>
      </c>
      <c r="H4" s="3046"/>
      <c r="I4" s="3045" t="s">
        <v>2329</v>
      </c>
      <c r="J4" s="3046"/>
      <c r="K4" s="594" t="s">
        <v>2330</v>
      </c>
      <c r="L4" s="1235"/>
      <c r="M4" s="1236"/>
      <c r="N4" s="1236"/>
      <c r="O4" s="1236"/>
      <c r="P4" s="3049" t="s">
        <v>2331</v>
      </c>
      <c r="Q4" s="3050"/>
      <c r="R4" s="3055" t="s">
        <v>2327</v>
      </c>
      <c r="S4" s="3056"/>
      <c r="T4" s="3055" t="s">
        <v>2328</v>
      </c>
      <c r="U4" s="3056"/>
      <c r="V4" s="3061" t="s">
        <v>2329</v>
      </c>
      <c r="W4" s="3061"/>
      <c r="X4" s="1883"/>
      <c r="Y4" s="3055" t="s">
        <v>2331</v>
      </c>
      <c r="Z4" s="3056"/>
      <c r="AA4" s="3042" t="s">
        <v>2327</v>
      </c>
      <c r="AB4" s="3043" t="s">
        <v>2328</v>
      </c>
      <c r="AC4" s="3042" t="s">
        <v>2329</v>
      </c>
    </row>
    <row r="5" spans="1:30" ht="15">
      <c r="A5" s="383"/>
      <c r="B5" s="384"/>
      <c r="C5" s="3064" t="s">
        <v>2332</v>
      </c>
      <c r="D5" s="3065"/>
      <c r="E5" s="3090" t="s">
        <v>2333</v>
      </c>
      <c r="F5" s="3063"/>
      <c r="G5" s="3064" t="s">
        <v>2334</v>
      </c>
      <c r="H5" s="3065"/>
      <c r="I5" s="3064" t="s">
        <v>2335</v>
      </c>
      <c r="J5" s="3065"/>
      <c r="K5" s="594"/>
      <c r="L5" s="1235"/>
      <c r="M5" s="1236"/>
      <c r="N5" s="1236"/>
      <c r="O5" s="1236"/>
      <c r="P5" s="3051"/>
      <c r="Q5" s="3052"/>
      <c r="R5" s="3057"/>
      <c r="S5" s="3058"/>
      <c r="T5" s="3057"/>
      <c r="U5" s="3058"/>
      <c r="V5" s="3061"/>
      <c r="W5" s="3061"/>
      <c r="X5" s="1883"/>
      <c r="Y5" s="3057"/>
      <c r="Z5" s="3058"/>
      <c r="AA5" s="3043"/>
      <c r="AB5" s="3043"/>
      <c r="AC5" s="3043"/>
    </row>
    <row r="6" spans="1:30" ht="15.75" thickBot="1">
      <c r="A6" s="385"/>
      <c r="B6" s="386"/>
      <c r="C6" s="3066" t="s">
        <v>2336</v>
      </c>
      <c r="D6" s="3067"/>
      <c r="E6" s="3068" t="s">
        <v>2336</v>
      </c>
      <c r="F6" s="3069"/>
      <c r="G6" s="3066" t="s">
        <v>2336</v>
      </c>
      <c r="H6" s="3067"/>
      <c r="I6" s="3066" t="s">
        <v>2336</v>
      </c>
      <c r="J6" s="3067"/>
      <c r="K6" s="594" t="s">
        <v>2337</v>
      </c>
      <c r="L6" s="1235"/>
      <c r="M6" s="1236"/>
      <c r="N6" s="1236"/>
      <c r="O6" s="1236"/>
      <c r="P6" s="3053"/>
      <c r="Q6" s="3054"/>
      <c r="R6" s="3057"/>
      <c r="S6" s="3058"/>
      <c r="T6" s="3059"/>
      <c r="U6" s="3060"/>
      <c r="V6" s="3061"/>
      <c r="W6" s="3061"/>
      <c r="X6" s="1883"/>
      <c r="Y6" s="3059"/>
      <c r="Z6" s="3060"/>
      <c r="AA6" s="3044"/>
      <c r="AB6" s="3044"/>
      <c r="AC6" s="3044"/>
    </row>
    <row r="7" spans="1:30" s="35" customFormat="1" ht="15.75" thickBot="1">
      <c r="A7" s="387" t="s">
        <v>2338</v>
      </c>
      <c r="B7" s="388"/>
      <c r="C7" s="389">
        <f>'数据-取费表'!B2</f>
        <v>43999</v>
      </c>
      <c r="D7" s="390">
        <v>100</v>
      </c>
      <c r="E7" s="391"/>
      <c r="F7" s="392">
        <f>SUMIF(70:70,YEAR(E7)&amp;"-"&amp;INT((MONTH(E7)+2)/3),71:71)</f>
        <v>0</v>
      </c>
      <c r="G7" s="2449"/>
      <c r="H7" s="390">
        <f>SUMIF(70:70,YEAR(G7)&amp;"-"&amp;INT((MONTH(G7)+2)/3),71:71)</f>
        <v>0</v>
      </c>
      <c r="I7" s="2449"/>
      <c r="J7" s="390">
        <f>SUMIF(70:70,YEAR(I7)&amp;"-"&amp;INT((MONTH(I7)+2)/3),71:71)</f>
        <v>0</v>
      </c>
      <c r="K7" s="595"/>
      <c r="L7" s="1237"/>
      <c r="M7" s="1238"/>
      <c r="N7" s="1238"/>
      <c r="O7" s="1238"/>
      <c r="P7" s="3077" t="s">
        <v>2339</v>
      </c>
      <c r="Q7" s="3079"/>
      <c r="R7" s="748" t="s">
        <v>25</v>
      </c>
      <c r="S7" s="749">
        <f t="shared" ref="S7:S15" si="0">F7</f>
        <v>0</v>
      </c>
      <c r="T7" s="748" t="s">
        <v>25</v>
      </c>
      <c r="U7" s="749">
        <f t="shared" ref="U7:U15" si="1">H7</f>
        <v>0</v>
      </c>
      <c r="V7" s="748" t="s">
        <v>25</v>
      </c>
      <c r="W7" s="749">
        <f t="shared" ref="W7:W15" si="2">J7</f>
        <v>0</v>
      </c>
      <c r="X7" s="750"/>
      <c r="Y7" s="3077" t="s">
        <v>2339</v>
      </c>
      <c r="Z7" s="3078"/>
      <c r="AA7" s="751" t="e">
        <f>D7/F7</f>
        <v>#DIV/0!</v>
      </c>
      <c r="AB7" s="751" t="e">
        <f>D7/H7</f>
        <v>#DIV/0!</v>
      </c>
      <c r="AC7" s="751" t="e">
        <f>D7/J7</f>
        <v>#DIV/0!</v>
      </c>
    </row>
    <row r="8" spans="1:30" s="35" customFormat="1" ht="15.75" thickBot="1">
      <c r="A8" s="387" t="s">
        <v>2340</v>
      </c>
      <c r="B8" s="388"/>
      <c r="C8" s="394" t="s">
        <v>2530</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77" t="s">
        <v>2342</v>
      </c>
      <c r="Q8" s="3078"/>
      <c r="R8" s="748" t="s">
        <v>25</v>
      </c>
      <c r="S8" s="749">
        <f t="shared" si="0"/>
        <v>0</v>
      </c>
      <c r="T8" s="748" t="s">
        <v>25</v>
      </c>
      <c r="U8" s="749">
        <f t="shared" si="1"/>
        <v>0</v>
      </c>
      <c r="V8" s="748" t="s">
        <v>25</v>
      </c>
      <c r="W8" s="749">
        <f t="shared" si="2"/>
        <v>0</v>
      </c>
      <c r="X8" s="750"/>
      <c r="Y8" s="3077" t="s">
        <v>2342</v>
      </c>
      <c r="Z8" s="3078"/>
      <c r="AA8" s="751" t="e">
        <f t="shared" ref="AA8:AA45" si="3">D8/F8</f>
        <v>#DIV/0!</v>
      </c>
      <c r="AB8" s="751" t="e">
        <f t="shared" ref="AB8:AB45" si="4">D8/H8</f>
        <v>#DIV/0!</v>
      </c>
      <c r="AC8" s="751" t="e">
        <f t="shared" ref="AC8:AC45" si="5">D8/J8</f>
        <v>#DIV/0!</v>
      </c>
    </row>
    <row r="9" spans="1:30" s="35" customFormat="1">
      <c r="A9" s="395" t="s">
        <v>2343</v>
      </c>
      <c r="B9" s="28" t="s">
        <v>2344</v>
      </c>
      <c r="C9" s="2467"/>
      <c r="D9" s="51">
        <v>100</v>
      </c>
      <c r="E9" s="2467"/>
      <c r="F9" s="51">
        <f>SUMIF(75:75,E9,76:76)-SUMIF(75:75,C9,76:76)+100</f>
        <v>100</v>
      </c>
      <c r="G9" s="2467"/>
      <c r="H9" s="51">
        <f>SUMIF(75:75,G9,76:76)-SUMIF(75:75,C9,76:76)+100</f>
        <v>100</v>
      </c>
      <c r="I9" s="2467"/>
      <c r="J9" s="51">
        <f>SUMIF(75:75,I9,76:76)-SUMIF(75:75,C9,76:76)+100</f>
        <v>100</v>
      </c>
      <c r="K9" s="595"/>
      <c r="L9" s="1237"/>
      <c r="M9" s="1238"/>
      <c r="N9" s="1238"/>
      <c r="O9" s="1239"/>
      <c r="P9" s="3081" t="s">
        <v>2345</v>
      </c>
      <c r="Q9" s="1870"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30" s="407" customFormat="1" ht="27">
      <c r="A10" s="401"/>
      <c r="B10" s="402" t="s">
        <v>2347</v>
      </c>
      <c r="C10" s="412"/>
      <c r="D10" s="52">
        <v>100</v>
      </c>
      <c r="E10" s="446"/>
      <c r="F10" s="52">
        <f>ROUND(100/'数据-取费表'!B14,0)</f>
        <v>123</v>
      </c>
      <c r="G10" s="444"/>
      <c r="H10" s="52">
        <f>ROUND(100/'数据-取费表'!B14,0)</f>
        <v>123</v>
      </c>
      <c r="I10" s="444"/>
      <c r="J10" s="52">
        <f>ROUND(100/'数据-取费表'!B14,0)</f>
        <v>123</v>
      </c>
      <c r="K10" s="655"/>
      <c r="L10" s="1240"/>
      <c r="M10" s="1241"/>
      <c r="N10" s="1241"/>
      <c r="O10" s="1242"/>
      <c r="P10" s="3081"/>
      <c r="Q10" s="1870" t="str">
        <f t="shared" si="6"/>
        <v>土地使用年限（年）</v>
      </c>
      <c r="R10" s="748" t="s">
        <v>25</v>
      </c>
      <c r="S10" s="749">
        <f t="shared" si="0"/>
        <v>123</v>
      </c>
      <c r="T10" s="748" t="s">
        <v>25</v>
      </c>
      <c r="U10" s="749">
        <f t="shared" si="1"/>
        <v>123</v>
      </c>
      <c r="V10" s="748" t="s">
        <v>25</v>
      </c>
      <c r="W10" s="749">
        <f t="shared" si="2"/>
        <v>123</v>
      </c>
      <c r="X10" s="750"/>
      <c r="Y10" s="2891"/>
      <c r="Z10" s="23" t="str">
        <f t="shared" si="7"/>
        <v>土地使用年限（年）</v>
      </c>
      <c r="AA10" s="751">
        <f t="shared" si="3"/>
        <v>0.81300813008130079</v>
      </c>
      <c r="AB10" s="751">
        <f t="shared" si="4"/>
        <v>0.81300813008130079</v>
      </c>
      <c r="AC10" s="751">
        <f t="shared" si="5"/>
        <v>0.81300813008130079</v>
      </c>
    </row>
    <row r="11" spans="1:30" ht="15">
      <c r="A11" s="408"/>
      <c r="B11" s="402" t="s">
        <v>2348</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81"/>
      <c r="Q11" s="1870" t="str">
        <f t="shared" si="6"/>
        <v>容积率</v>
      </c>
      <c r="R11" s="748" t="s">
        <v>25</v>
      </c>
      <c r="S11" s="749" t="e">
        <f t="shared" si="0"/>
        <v>#N/A</v>
      </c>
      <c r="T11" s="748" t="s">
        <v>25</v>
      </c>
      <c r="U11" s="749" t="e">
        <f t="shared" si="1"/>
        <v>#N/A</v>
      </c>
      <c r="V11" s="748" t="s">
        <v>25</v>
      </c>
      <c r="W11" s="749" t="e">
        <f t="shared" si="2"/>
        <v>#N/A</v>
      </c>
      <c r="X11" s="750"/>
      <c r="Y11" s="2891"/>
      <c r="Z11" s="23" t="str">
        <f t="shared" si="7"/>
        <v>容积率</v>
      </c>
      <c r="AA11" s="751" t="e">
        <f t="shared" si="3"/>
        <v>#N/A</v>
      </c>
      <c r="AB11" s="751" t="e">
        <f t="shared" si="4"/>
        <v>#N/A</v>
      </c>
      <c r="AC11" s="751" t="e">
        <f t="shared" si="5"/>
        <v>#N/A</v>
      </c>
    </row>
    <row r="12" spans="1:30" s="35" customFormat="1" ht="15">
      <c r="A12" s="411"/>
      <c r="B12" s="2383" t="s">
        <v>2531</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81"/>
      <c r="Q12" s="1870" t="str">
        <f t="shared" si="6"/>
        <v>配建</v>
      </c>
      <c r="R12" s="748" t="s">
        <v>25</v>
      </c>
      <c r="S12" s="749">
        <f t="shared" si="0"/>
        <v>100</v>
      </c>
      <c r="T12" s="748" t="s">
        <v>25</v>
      </c>
      <c r="U12" s="749">
        <f t="shared" si="1"/>
        <v>100</v>
      </c>
      <c r="V12" s="748" t="s">
        <v>25</v>
      </c>
      <c r="W12" s="749">
        <f t="shared" si="2"/>
        <v>100</v>
      </c>
      <c r="X12" s="750"/>
      <c r="Y12" s="2891"/>
      <c r="Z12" s="23" t="str">
        <f t="shared" si="7"/>
        <v>配建</v>
      </c>
      <c r="AA12" s="751">
        <f>D12/F12</f>
        <v>1</v>
      </c>
      <c r="AB12" s="751">
        <f>D12/H12</f>
        <v>1</v>
      </c>
      <c r="AC12" s="751">
        <f>D12/J12</f>
        <v>1</v>
      </c>
    </row>
    <row r="13" spans="1:30" ht="15">
      <c r="A13" s="408"/>
      <c r="B13" s="2383">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81"/>
      <c r="Q13" s="1870">
        <f t="shared" si="6"/>
        <v>111</v>
      </c>
      <c r="R13" s="748" t="s">
        <v>25</v>
      </c>
      <c r="S13" s="749">
        <f t="shared" si="0"/>
        <v>100</v>
      </c>
      <c r="T13" s="748" t="s">
        <v>25</v>
      </c>
      <c r="U13" s="749">
        <f t="shared" si="1"/>
        <v>100</v>
      </c>
      <c r="V13" s="748" t="s">
        <v>25</v>
      </c>
      <c r="W13" s="749">
        <f t="shared" si="2"/>
        <v>100</v>
      </c>
      <c r="X13" s="750"/>
      <c r="Y13" s="2891"/>
      <c r="Z13" s="23">
        <f t="shared" si="7"/>
        <v>111</v>
      </c>
      <c r="AA13" s="751">
        <f>D13/F13</f>
        <v>1</v>
      </c>
      <c r="AB13" s="751">
        <f>D13/H13</f>
        <v>1</v>
      </c>
      <c r="AC13" s="751">
        <f>D13/J13</f>
        <v>1</v>
      </c>
    </row>
    <row r="14" spans="1:30" ht="15.75" thickBot="1">
      <c r="A14" s="416"/>
      <c r="B14" s="2385">
        <v>111</v>
      </c>
      <c r="C14" s="2386"/>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81"/>
      <c r="Q14" s="1870">
        <f t="shared" si="6"/>
        <v>111</v>
      </c>
      <c r="R14" s="748" t="s">
        <v>25</v>
      </c>
      <c r="S14" s="749">
        <f t="shared" si="0"/>
        <v>100</v>
      </c>
      <c r="T14" s="748" t="s">
        <v>25</v>
      </c>
      <c r="U14" s="749">
        <f t="shared" si="1"/>
        <v>100</v>
      </c>
      <c r="V14" s="748" t="s">
        <v>25</v>
      </c>
      <c r="W14" s="749">
        <f t="shared" si="2"/>
        <v>100</v>
      </c>
      <c r="X14" s="750"/>
      <c r="Y14" s="2891"/>
      <c r="Z14" s="23">
        <f t="shared" si="7"/>
        <v>111</v>
      </c>
      <c r="AA14" s="751">
        <f>D14/F14</f>
        <v>1</v>
      </c>
      <c r="AB14" s="751">
        <f>D14/H14</f>
        <v>1</v>
      </c>
      <c r="AC14" s="751">
        <f>D14/J14</f>
        <v>1</v>
      </c>
    </row>
    <row r="15" spans="1:30" ht="99.75">
      <c r="A15" s="380" t="s">
        <v>2349</v>
      </c>
      <c r="B15" s="1479" t="s">
        <v>1728</v>
      </c>
      <c r="C15" s="245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70" t="s">
        <v>2350</v>
      </c>
      <c r="Q15" s="1882" t="str">
        <f t="shared" si="6"/>
        <v>居住社区成熟度</v>
      </c>
      <c r="R15" s="752" t="s">
        <v>25</v>
      </c>
      <c r="S15" s="753">
        <f t="shared" si="0"/>
        <v>100</v>
      </c>
      <c r="T15" s="752" t="s">
        <v>25</v>
      </c>
      <c r="U15" s="753">
        <f t="shared" si="1"/>
        <v>100</v>
      </c>
      <c r="V15" s="752" t="s">
        <v>25</v>
      </c>
      <c r="W15" s="753">
        <f t="shared" si="2"/>
        <v>100</v>
      </c>
      <c r="X15" s="1883"/>
      <c r="Y15" s="3070" t="s">
        <v>2350</v>
      </c>
      <c r="Z15" s="1885" t="str">
        <f t="shared" si="7"/>
        <v>居住社区成熟度</v>
      </c>
      <c r="AA15" s="1886">
        <f t="shared" si="3"/>
        <v>1</v>
      </c>
      <c r="AB15" s="1886">
        <f t="shared" si="4"/>
        <v>1</v>
      </c>
      <c r="AC15" s="1886">
        <f t="shared" si="5"/>
        <v>1</v>
      </c>
    </row>
    <row r="16" spans="1:30" ht="15">
      <c r="A16" s="383"/>
      <c r="B16" s="1480"/>
      <c r="C16" s="1464"/>
      <c r="D16" s="427"/>
      <c r="E16" s="428"/>
      <c r="F16" s="427"/>
      <c r="G16" s="428"/>
      <c r="H16" s="430"/>
      <c r="I16" s="2388"/>
      <c r="J16" s="427"/>
      <c r="K16" s="655"/>
      <c r="L16" s="1245"/>
      <c r="M16" s="1236"/>
      <c r="N16" s="1236"/>
      <c r="O16" s="1244"/>
      <c r="P16" s="3071"/>
      <c r="Q16" s="1882"/>
      <c r="R16" s="752"/>
      <c r="S16" s="753"/>
      <c r="T16" s="752"/>
      <c r="U16" s="753"/>
      <c r="V16" s="752"/>
      <c r="W16" s="753"/>
      <c r="X16" s="1883"/>
      <c r="Y16" s="3071"/>
      <c r="Z16" s="1885"/>
      <c r="AA16" s="1886">
        <v>1</v>
      </c>
      <c r="AB16" s="1886">
        <v>1</v>
      </c>
      <c r="AC16" s="1886">
        <v>1</v>
      </c>
    </row>
    <row r="17" spans="1:29" ht="71.25">
      <c r="A17" s="383"/>
      <c r="B17" s="1481" t="s">
        <v>2434</v>
      </c>
      <c r="C17" s="246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71"/>
      <c r="Q17" s="1882" t="str">
        <f>B17</f>
        <v>商业繁华度</v>
      </c>
      <c r="R17" s="752" t="s">
        <v>25</v>
      </c>
      <c r="S17" s="753">
        <f>F17</f>
        <v>100</v>
      </c>
      <c r="T17" s="752" t="s">
        <v>25</v>
      </c>
      <c r="U17" s="753">
        <f>H17</f>
        <v>100</v>
      </c>
      <c r="V17" s="752" t="s">
        <v>25</v>
      </c>
      <c r="W17" s="753">
        <f>J17</f>
        <v>100</v>
      </c>
      <c r="X17" s="1883"/>
      <c r="Y17" s="3071"/>
      <c r="Z17" s="1885" t="str">
        <f>Q17</f>
        <v>商业繁华度</v>
      </c>
      <c r="AA17" s="1886">
        <f t="shared" si="3"/>
        <v>1</v>
      </c>
      <c r="AB17" s="1886">
        <f t="shared" si="4"/>
        <v>1</v>
      </c>
      <c r="AC17" s="1886">
        <f t="shared" si="5"/>
        <v>1</v>
      </c>
    </row>
    <row r="18" spans="1:29" ht="15">
      <c r="A18" s="383"/>
      <c r="B18" s="1482"/>
      <c r="C18" s="2452"/>
      <c r="D18" s="430"/>
      <c r="E18" s="1460"/>
      <c r="F18" s="430"/>
      <c r="G18" s="1460"/>
      <c r="H18" s="427"/>
      <c r="I18" s="2391"/>
      <c r="J18" s="427"/>
      <c r="K18" s="655"/>
      <c r="L18" s="1245"/>
      <c r="M18" s="1236"/>
      <c r="N18" s="1236"/>
      <c r="O18" s="1244"/>
      <c r="P18" s="3071"/>
      <c r="Q18" s="1882"/>
      <c r="R18" s="752"/>
      <c r="S18" s="753"/>
      <c r="T18" s="752"/>
      <c r="U18" s="753"/>
      <c r="V18" s="752"/>
      <c r="W18" s="753"/>
      <c r="X18" s="1883"/>
      <c r="Y18" s="3071"/>
      <c r="Z18" s="1885"/>
      <c r="AA18" s="1886">
        <v>1</v>
      </c>
      <c r="AB18" s="1886">
        <v>1</v>
      </c>
      <c r="AC18" s="1886">
        <v>1</v>
      </c>
    </row>
    <row r="19" spans="1:29" ht="71.25">
      <c r="A19" s="383"/>
      <c r="B19" s="1481" t="s">
        <v>2463</v>
      </c>
      <c r="C19" s="246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71"/>
      <c r="Q19" s="1882" t="str">
        <f>B19</f>
        <v>办公集聚程度</v>
      </c>
      <c r="R19" s="752" t="s">
        <v>25</v>
      </c>
      <c r="S19" s="753">
        <f>F19</f>
        <v>100</v>
      </c>
      <c r="T19" s="752" t="s">
        <v>25</v>
      </c>
      <c r="U19" s="753">
        <f>H19</f>
        <v>100</v>
      </c>
      <c r="V19" s="752" t="s">
        <v>25</v>
      </c>
      <c r="W19" s="753">
        <f>J19</f>
        <v>100</v>
      </c>
      <c r="X19" s="1883"/>
      <c r="Y19" s="3071"/>
      <c r="Z19" s="1885" t="str">
        <f>Q19</f>
        <v>办公集聚程度</v>
      </c>
      <c r="AA19" s="1886">
        <f t="shared" si="3"/>
        <v>1</v>
      </c>
      <c r="AB19" s="1886">
        <f t="shared" si="4"/>
        <v>1</v>
      </c>
      <c r="AC19" s="1886">
        <f t="shared" si="5"/>
        <v>1</v>
      </c>
    </row>
    <row r="20" spans="1:29" ht="15">
      <c r="A20" s="383"/>
      <c r="B20" s="1482"/>
      <c r="C20" s="1464"/>
      <c r="D20" s="427"/>
      <c r="E20" s="428"/>
      <c r="F20" s="427"/>
      <c r="G20" s="428"/>
      <c r="H20" s="427"/>
      <c r="I20" s="2388"/>
      <c r="J20" s="427"/>
      <c r="K20" s="655"/>
      <c r="L20" s="1245"/>
      <c r="M20" s="1236"/>
      <c r="N20" s="1236"/>
      <c r="O20" s="1244"/>
      <c r="P20" s="3071"/>
      <c r="Q20" s="1882"/>
      <c r="R20" s="752"/>
      <c r="S20" s="753"/>
      <c r="T20" s="752"/>
      <c r="U20" s="753"/>
      <c r="V20" s="752"/>
      <c r="W20" s="753"/>
      <c r="X20" s="1883"/>
      <c r="Y20" s="3071"/>
      <c r="Z20" s="1885"/>
      <c r="AA20" s="1886">
        <v>1</v>
      </c>
      <c r="AB20" s="1886">
        <v>1</v>
      </c>
      <c r="AC20" s="1886">
        <v>1</v>
      </c>
    </row>
    <row r="21" spans="1:29" ht="85.5">
      <c r="A21" s="383"/>
      <c r="B21" s="1481" t="s">
        <v>2492</v>
      </c>
      <c r="C21" s="2451"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71"/>
      <c r="Q21" s="1882" t="str">
        <f>B21</f>
        <v>交通便捷度</v>
      </c>
      <c r="R21" s="752" t="s">
        <v>25</v>
      </c>
      <c r="S21" s="753">
        <f>F21</f>
        <v>100</v>
      </c>
      <c r="T21" s="752" t="s">
        <v>25</v>
      </c>
      <c r="U21" s="753">
        <f>H21</f>
        <v>100</v>
      </c>
      <c r="V21" s="752" t="s">
        <v>25</v>
      </c>
      <c r="W21" s="753">
        <f>J21</f>
        <v>100</v>
      </c>
      <c r="X21" s="1883"/>
      <c r="Y21" s="3071"/>
      <c r="Z21" s="1885" t="str">
        <f>Q21</f>
        <v>交通便捷度</v>
      </c>
      <c r="AA21" s="1886">
        <f t="shared" si="3"/>
        <v>1</v>
      </c>
      <c r="AB21" s="1886">
        <f t="shared" si="4"/>
        <v>1</v>
      </c>
      <c r="AC21" s="1886">
        <f t="shared" si="5"/>
        <v>1</v>
      </c>
    </row>
    <row r="22" spans="1:29" ht="15">
      <c r="A22" s="383"/>
      <c r="B22" s="1483"/>
      <c r="C22" s="1464"/>
      <c r="D22" s="430"/>
      <c r="E22" s="428"/>
      <c r="F22" s="427"/>
      <c r="G22" s="428"/>
      <c r="H22" s="427"/>
      <c r="I22" s="2388"/>
      <c r="J22" s="427"/>
      <c r="K22" s="655"/>
      <c r="L22" s="1245"/>
      <c r="M22" s="1236"/>
      <c r="N22" s="1236"/>
      <c r="O22" s="1244"/>
      <c r="P22" s="3071"/>
      <c r="Q22" s="1882"/>
      <c r="R22" s="752"/>
      <c r="S22" s="753"/>
      <c r="T22" s="752"/>
      <c r="U22" s="753"/>
      <c r="V22" s="752"/>
      <c r="W22" s="753"/>
      <c r="X22" s="1883"/>
      <c r="Y22" s="3071"/>
      <c r="Z22" s="1885"/>
      <c r="AA22" s="1886">
        <v>1</v>
      </c>
      <c r="AB22" s="1886">
        <v>1</v>
      </c>
      <c r="AC22" s="1886">
        <v>1</v>
      </c>
    </row>
    <row r="23" spans="1:29" ht="15">
      <c r="A23" s="383"/>
      <c r="B23" s="1484" t="s">
        <v>2532</v>
      </c>
      <c r="C23" s="246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71"/>
      <c r="Q23" s="1882" t="str">
        <f t="shared" ref="Q23:Q37" si="8">B23</f>
        <v>区域土地利用方向</v>
      </c>
      <c r="R23" s="752" t="s">
        <v>25</v>
      </c>
      <c r="S23" s="753">
        <f>F23</f>
        <v>100</v>
      </c>
      <c r="T23" s="752" t="s">
        <v>25</v>
      </c>
      <c r="U23" s="753">
        <f>H23</f>
        <v>100</v>
      </c>
      <c r="V23" s="752" t="s">
        <v>25</v>
      </c>
      <c r="W23" s="753">
        <f>J23</f>
        <v>100</v>
      </c>
      <c r="X23" s="1883"/>
      <c r="Y23" s="3071"/>
      <c r="Z23" s="1885" t="str">
        <f>Q23</f>
        <v>区域土地利用方向</v>
      </c>
      <c r="AA23" s="1886">
        <f t="shared" si="3"/>
        <v>1</v>
      </c>
      <c r="AB23" s="1886">
        <f t="shared" si="4"/>
        <v>1</v>
      </c>
      <c r="AC23" s="1886">
        <f t="shared" si="5"/>
        <v>1</v>
      </c>
    </row>
    <row r="24" spans="1:29" ht="15">
      <c r="A24" s="383"/>
      <c r="B24" s="1485"/>
      <c r="C24" s="618"/>
      <c r="D24" s="427"/>
      <c r="E24" s="428"/>
      <c r="F24" s="427"/>
      <c r="G24" s="2388"/>
      <c r="H24" s="427"/>
      <c r="I24" s="2388"/>
      <c r="J24" s="427"/>
      <c r="K24" s="803"/>
      <c r="L24" s="1245"/>
      <c r="M24" s="1236"/>
      <c r="N24" s="1236"/>
      <c r="O24" s="1244"/>
      <c r="P24" s="3071"/>
      <c r="Q24" s="1882"/>
      <c r="R24" s="752"/>
      <c r="S24" s="753"/>
      <c r="T24" s="752"/>
      <c r="U24" s="753"/>
      <c r="V24" s="752"/>
      <c r="W24" s="753"/>
      <c r="X24" s="1883"/>
      <c r="Y24" s="3071"/>
      <c r="Z24" s="1885"/>
      <c r="AA24" s="1886"/>
      <c r="AB24" s="1886"/>
      <c r="AC24" s="1886"/>
    </row>
    <row r="25" spans="1:29" ht="57">
      <c r="A25" s="383"/>
      <c r="B25" s="1483" t="s">
        <v>2533</v>
      </c>
      <c r="C25" s="246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71"/>
      <c r="Q25" s="1882" t="str">
        <f t="shared" si="8"/>
        <v>自然及人文环境状况</v>
      </c>
      <c r="R25" s="752" t="s">
        <v>25</v>
      </c>
      <c r="S25" s="753">
        <f>F25</f>
        <v>100</v>
      </c>
      <c r="T25" s="752" t="s">
        <v>25</v>
      </c>
      <c r="U25" s="753">
        <f>H25</f>
        <v>100</v>
      </c>
      <c r="V25" s="752" t="s">
        <v>25</v>
      </c>
      <c r="W25" s="753">
        <f>J25</f>
        <v>100</v>
      </c>
      <c r="X25" s="1883"/>
      <c r="Y25" s="3071"/>
      <c r="Z25" s="1885" t="str">
        <f>Q25</f>
        <v>自然及人文环境状况</v>
      </c>
      <c r="AA25" s="1886">
        <f t="shared" si="3"/>
        <v>1</v>
      </c>
      <c r="AB25" s="1886">
        <f t="shared" si="4"/>
        <v>1</v>
      </c>
      <c r="AC25" s="1886">
        <f t="shared" si="5"/>
        <v>1</v>
      </c>
    </row>
    <row r="26" spans="1:29" ht="15">
      <c r="A26" s="383"/>
      <c r="B26" s="1482"/>
      <c r="C26" s="1464"/>
      <c r="D26" s="427"/>
      <c r="E26" s="1464"/>
      <c r="F26" s="427"/>
      <c r="G26" s="1464"/>
      <c r="H26" s="427"/>
      <c r="I26" s="426"/>
      <c r="J26" s="427"/>
      <c r="K26" s="655"/>
      <c r="L26" s="1245"/>
      <c r="M26" s="1236"/>
      <c r="N26" s="1236"/>
      <c r="O26" s="1244"/>
      <c r="P26" s="3071"/>
      <c r="Q26" s="1882"/>
      <c r="R26" s="752"/>
      <c r="S26" s="753"/>
      <c r="T26" s="752"/>
      <c r="U26" s="753"/>
      <c r="V26" s="752"/>
      <c r="W26" s="753"/>
      <c r="X26" s="1883"/>
      <c r="Y26" s="3071"/>
      <c r="Z26" s="1885"/>
      <c r="AA26" s="1886">
        <v>1</v>
      </c>
      <c r="AB26" s="1886">
        <v>1</v>
      </c>
      <c r="AC26" s="1886">
        <v>1</v>
      </c>
    </row>
    <row r="27" spans="1:29" ht="42.75">
      <c r="A27" s="383"/>
      <c r="B27" s="1483" t="s">
        <v>2435</v>
      </c>
      <c r="C27" s="2451"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71"/>
      <c r="Q27" s="1870" t="str">
        <f t="shared" ref="Q27" si="9">B27</f>
        <v>公共配套设施</v>
      </c>
      <c r="R27" s="748" t="s">
        <v>25</v>
      </c>
      <c r="S27" s="749">
        <f>F27</f>
        <v>100</v>
      </c>
      <c r="T27" s="748" t="s">
        <v>25</v>
      </c>
      <c r="U27" s="749">
        <f>H27</f>
        <v>100</v>
      </c>
      <c r="V27" s="748" t="s">
        <v>25</v>
      </c>
      <c r="W27" s="749">
        <f>J27</f>
        <v>100</v>
      </c>
      <c r="X27" s="1883"/>
      <c r="Y27" s="3071"/>
      <c r="Z27" s="23" t="str">
        <f>Q27</f>
        <v>公共配套设施</v>
      </c>
      <c r="AA27" s="1886">
        <f>D27/F27</f>
        <v>1</v>
      </c>
      <c r="AB27" s="1886">
        <f>D27/H27</f>
        <v>1</v>
      </c>
      <c r="AC27" s="1886">
        <f>D27/J27</f>
        <v>1</v>
      </c>
    </row>
    <row r="28" spans="1:29" ht="15">
      <c r="A28" s="383"/>
      <c r="B28" s="1482"/>
      <c r="C28" s="2470"/>
      <c r="D28" s="427"/>
      <c r="E28" s="2470"/>
      <c r="F28" s="427"/>
      <c r="G28" s="2470"/>
      <c r="H28" s="427"/>
      <c r="I28" s="2470"/>
      <c r="J28" s="427"/>
      <c r="K28" s="655"/>
      <c r="L28" s="1245"/>
      <c r="M28" s="1236"/>
      <c r="N28" s="1236"/>
      <c r="O28" s="1244"/>
      <c r="P28" s="3071"/>
      <c r="Q28" s="1882"/>
      <c r="R28" s="752"/>
      <c r="S28" s="753"/>
      <c r="T28" s="752"/>
      <c r="U28" s="753"/>
      <c r="V28" s="752"/>
      <c r="W28" s="753"/>
      <c r="X28" s="1883"/>
      <c r="Y28" s="3071"/>
      <c r="Z28" s="23"/>
      <c r="AA28" s="1886">
        <v>1</v>
      </c>
      <c r="AB28" s="1886">
        <v>1</v>
      </c>
      <c r="AC28" s="1886">
        <v>1</v>
      </c>
    </row>
    <row r="29" spans="1:29" s="35" customFormat="1" ht="28.5">
      <c r="A29" s="633"/>
      <c r="B29" s="1483" t="s">
        <v>2436</v>
      </c>
      <c r="C29" s="2471"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71"/>
      <c r="Q29" s="1870" t="str">
        <f t="shared" si="8"/>
        <v>基础设施水平</v>
      </c>
      <c r="R29" s="748" t="s">
        <v>25</v>
      </c>
      <c r="S29" s="749">
        <f>F29</f>
        <v>100</v>
      </c>
      <c r="T29" s="748" t="s">
        <v>25</v>
      </c>
      <c r="U29" s="749">
        <f>H29</f>
        <v>100</v>
      </c>
      <c r="V29" s="748" t="s">
        <v>25</v>
      </c>
      <c r="W29" s="749">
        <f>J29</f>
        <v>100</v>
      </c>
      <c r="X29" s="750"/>
      <c r="Y29" s="3071"/>
      <c r="Z29" s="23" t="str">
        <f>Q29</f>
        <v>基础设施水平</v>
      </c>
      <c r="AA29" s="1886">
        <f>D29/F29</f>
        <v>1</v>
      </c>
      <c r="AB29" s="1886">
        <f>D29/H29</f>
        <v>1</v>
      </c>
      <c r="AC29" s="1886">
        <f>D29/J29</f>
        <v>1</v>
      </c>
    </row>
    <row r="30" spans="1:29" s="35" customFormat="1" ht="15">
      <c r="A30" s="633"/>
      <c r="B30" s="1482"/>
      <c r="C30" s="2470"/>
      <c r="D30" s="427"/>
      <c r="E30" s="2470"/>
      <c r="F30" s="427"/>
      <c r="G30" s="2470"/>
      <c r="H30" s="427"/>
      <c r="I30" s="2470"/>
      <c r="J30" s="427"/>
      <c r="K30" s="655"/>
      <c r="L30" s="1237"/>
      <c r="M30" s="1238"/>
      <c r="N30" s="1238"/>
      <c r="O30" s="1239"/>
      <c r="P30" s="3071"/>
      <c r="Q30" s="1870"/>
      <c r="R30" s="748"/>
      <c r="S30" s="749"/>
      <c r="T30" s="748"/>
      <c r="U30" s="749"/>
      <c r="V30" s="748"/>
      <c r="W30" s="749"/>
      <c r="X30" s="750"/>
      <c r="Y30" s="3071"/>
      <c r="Z30" s="23"/>
      <c r="AA30" s="1886">
        <v>1</v>
      </c>
      <c r="AB30" s="1886">
        <v>1</v>
      </c>
      <c r="AC30" s="1886">
        <v>1</v>
      </c>
    </row>
    <row r="31" spans="1:29" ht="15">
      <c r="A31" s="383"/>
      <c r="B31" s="1482" t="s">
        <v>2437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71"/>
      <c r="Q31" s="1882" t="str">
        <f t="shared" si="8"/>
        <v>临街状况</v>
      </c>
      <c r="R31" s="752" t="s">
        <v>25</v>
      </c>
      <c r="S31" s="753">
        <f t="shared" ref="S31:S45" si="10">F31</f>
        <v>100</v>
      </c>
      <c r="T31" s="752" t="s">
        <v>25</v>
      </c>
      <c r="U31" s="753">
        <f t="shared" ref="U31:U45" si="11">H31</f>
        <v>100</v>
      </c>
      <c r="V31" s="752" t="s">
        <v>25</v>
      </c>
      <c r="W31" s="753">
        <f t="shared" ref="W31:W45" si="12">J31</f>
        <v>100</v>
      </c>
      <c r="X31" s="1883"/>
      <c r="Y31" s="3071"/>
      <c r="Z31" s="1885" t="str">
        <f t="shared" ref="Z31:Z45" si="13">Q31</f>
        <v>临街状况</v>
      </c>
      <c r="AA31" s="1886">
        <f t="shared" si="3"/>
        <v>1</v>
      </c>
      <c r="AB31" s="1886">
        <f t="shared" si="4"/>
        <v>1</v>
      </c>
      <c r="AC31" s="1886">
        <f t="shared" si="5"/>
        <v>1</v>
      </c>
    </row>
    <row r="32" spans="1:29" ht="27">
      <c r="A32" s="383"/>
      <c r="B32" s="1483" t="s">
        <v>2467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71"/>
      <c r="Q32" s="1882" t="str">
        <f t="shared" si="8"/>
        <v>毗邻道路的类型与等级</v>
      </c>
      <c r="R32" s="752" t="s">
        <v>25</v>
      </c>
      <c r="S32" s="753">
        <f t="shared" si="10"/>
        <v>100</v>
      </c>
      <c r="T32" s="752" t="s">
        <v>25</v>
      </c>
      <c r="U32" s="753">
        <f t="shared" si="11"/>
        <v>100</v>
      </c>
      <c r="V32" s="752" t="s">
        <v>25</v>
      </c>
      <c r="W32" s="753">
        <f t="shared" si="12"/>
        <v>100</v>
      </c>
      <c r="X32" s="1883"/>
      <c r="Y32" s="3071"/>
      <c r="Z32" s="1885" t="str">
        <f t="shared" si="13"/>
        <v>毗邻道路的类型与等级</v>
      </c>
      <c r="AA32" s="1886">
        <f t="shared" si="3"/>
        <v>1</v>
      </c>
      <c r="AB32" s="1886">
        <f t="shared" si="4"/>
        <v>1</v>
      </c>
      <c r="AC32" s="1886">
        <f t="shared" si="5"/>
        <v>1</v>
      </c>
    </row>
    <row r="33" spans="1:29" ht="15">
      <c r="A33" s="383"/>
      <c r="B33" s="1482"/>
      <c r="C33" s="1464"/>
      <c r="D33" s="427"/>
      <c r="E33" s="1464"/>
      <c r="F33" s="427"/>
      <c r="G33" s="1464"/>
      <c r="H33" s="427"/>
      <c r="I33" s="426"/>
      <c r="J33" s="427"/>
      <c r="K33" s="597"/>
      <c r="L33" s="1245"/>
      <c r="M33" s="1236"/>
      <c r="N33" s="1236"/>
      <c r="O33" s="1244"/>
      <c r="P33" s="3071"/>
      <c r="Q33" s="1882"/>
      <c r="R33" s="752"/>
      <c r="S33" s="753"/>
      <c r="T33" s="752"/>
      <c r="U33" s="753"/>
      <c r="V33" s="752"/>
      <c r="W33" s="753"/>
      <c r="X33" s="1883"/>
      <c r="Y33" s="3071"/>
      <c r="Z33" s="1885"/>
      <c r="AA33" s="1886">
        <v>1</v>
      </c>
      <c r="AB33" s="1886">
        <v>1</v>
      </c>
      <c r="AC33" s="1886">
        <v>1</v>
      </c>
    </row>
    <row r="34" spans="1:29" ht="15">
      <c r="A34" s="383"/>
      <c r="B34" s="1486" t="s">
        <v>2534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71"/>
      <c r="Q34" s="1882" t="str">
        <f t="shared" si="8"/>
        <v>土地级别</v>
      </c>
      <c r="R34" s="752" t="s">
        <v>25</v>
      </c>
      <c r="S34" s="753">
        <f t="shared" si="10"/>
        <v>100</v>
      </c>
      <c r="T34" s="752" t="s">
        <v>25</v>
      </c>
      <c r="U34" s="753">
        <f t="shared" si="11"/>
        <v>100</v>
      </c>
      <c r="V34" s="752" t="s">
        <v>25</v>
      </c>
      <c r="W34" s="753">
        <f t="shared" si="12"/>
        <v>100</v>
      </c>
      <c r="X34" s="1883"/>
      <c r="Y34" s="3071"/>
      <c r="Z34" s="1885" t="str">
        <f t="shared" si="13"/>
        <v>土地级别</v>
      </c>
      <c r="AA34" s="1886">
        <f t="shared" si="3"/>
        <v>1</v>
      </c>
      <c r="AB34" s="1886">
        <f t="shared" si="4"/>
        <v>1</v>
      </c>
      <c r="AC34" s="1886">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71"/>
      <c r="Q35" s="1882">
        <f t="shared" si="8"/>
        <v>111</v>
      </c>
      <c r="R35" s="752" t="s">
        <v>25</v>
      </c>
      <c r="S35" s="753">
        <f t="shared" si="10"/>
        <v>100</v>
      </c>
      <c r="T35" s="752" t="s">
        <v>25</v>
      </c>
      <c r="U35" s="753">
        <f t="shared" si="11"/>
        <v>100</v>
      </c>
      <c r="V35" s="752" t="s">
        <v>25</v>
      </c>
      <c r="W35" s="753">
        <f t="shared" si="12"/>
        <v>100</v>
      </c>
      <c r="X35" s="1883"/>
      <c r="Y35" s="3071"/>
      <c r="Z35" s="1885">
        <f t="shared" si="13"/>
        <v>111</v>
      </c>
      <c r="AA35" s="1886">
        <f t="shared" si="3"/>
        <v>1</v>
      </c>
      <c r="AB35" s="1886">
        <f t="shared" si="4"/>
        <v>1</v>
      </c>
      <c r="AC35" s="1886">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98" t="s">
        <v>2355</v>
      </c>
      <c r="Q36" s="1882">
        <f t="shared" si="8"/>
        <v>111</v>
      </c>
      <c r="R36" s="752" t="s">
        <v>25</v>
      </c>
      <c r="S36" s="753">
        <f t="shared" si="10"/>
        <v>100</v>
      </c>
      <c r="T36" s="752" t="s">
        <v>25</v>
      </c>
      <c r="U36" s="753">
        <f t="shared" si="11"/>
        <v>100</v>
      </c>
      <c r="V36" s="752" t="s">
        <v>25</v>
      </c>
      <c r="W36" s="753">
        <f t="shared" si="12"/>
        <v>100</v>
      </c>
      <c r="X36" s="1883"/>
      <c r="Y36" s="3075" t="s">
        <v>2355</v>
      </c>
      <c r="Z36" s="1885">
        <f t="shared" si="13"/>
        <v>111</v>
      </c>
      <c r="AA36" s="1886">
        <f t="shared" si="3"/>
        <v>1</v>
      </c>
      <c r="AB36" s="1886">
        <f t="shared" si="4"/>
        <v>1</v>
      </c>
      <c r="AC36" s="1886">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75"/>
      <c r="Q37" s="1882">
        <f t="shared" si="8"/>
        <v>111</v>
      </c>
      <c r="R37" s="755" t="s">
        <v>25</v>
      </c>
      <c r="S37" s="756">
        <f t="shared" si="10"/>
        <v>100</v>
      </c>
      <c r="T37" s="755" t="s">
        <v>25</v>
      </c>
      <c r="U37" s="756">
        <f t="shared" si="11"/>
        <v>100</v>
      </c>
      <c r="V37" s="755" t="s">
        <v>25</v>
      </c>
      <c r="W37" s="756">
        <f t="shared" si="12"/>
        <v>100</v>
      </c>
      <c r="X37" s="757"/>
      <c r="Y37" s="3075"/>
      <c r="Z37" s="758">
        <f t="shared" si="13"/>
        <v>111</v>
      </c>
      <c r="AA37" s="1886">
        <f t="shared" si="3"/>
        <v>1</v>
      </c>
      <c r="AB37" s="1886">
        <f t="shared" si="4"/>
        <v>1</v>
      </c>
      <c r="AC37" s="1886">
        <f t="shared" si="5"/>
        <v>1</v>
      </c>
    </row>
    <row r="38" spans="1:29" ht="15">
      <c r="A38" s="380" t="s">
        <v>2353</v>
      </c>
      <c r="B38" s="436" t="s">
        <v>2535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75"/>
      <c r="Q38" s="1882" t="str">
        <f>B38</f>
        <v>宗地面积</v>
      </c>
      <c r="R38" s="752" t="s">
        <v>25</v>
      </c>
      <c r="S38" s="753" t="e">
        <f t="shared" si="10"/>
        <v>#N/A</v>
      </c>
      <c r="T38" s="752" t="s">
        <v>25</v>
      </c>
      <c r="U38" s="753" t="e">
        <f t="shared" si="11"/>
        <v>#N/A</v>
      </c>
      <c r="V38" s="752" t="s">
        <v>25</v>
      </c>
      <c r="W38" s="753" t="e">
        <f t="shared" si="12"/>
        <v>#N/A</v>
      </c>
      <c r="X38" s="1883"/>
      <c r="Y38" s="3075"/>
      <c r="Z38" s="1885" t="str">
        <f t="shared" si="13"/>
        <v>宗地面积</v>
      </c>
      <c r="AA38" s="1886" t="e">
        <f t="shared" si="3"/>
        <v>#N/A</v>
      </c>
      <c r="AB38" s="1886" t="e">
        <f t="shared" si="4"/>
        <v>#N/A</v>
      </c>
      <c r="AC38" s="1886" t="e">
        <f t="shared" si="5"/>
        <v>#N/A</v>
      </c>
    </row>
    <row r="39" spans="1:29" ht="15">
      <c r="A39" s="453"/>
      <c r="B39" s="402" t="s">
        <v>2536</v>
      </c>
      <c r="C39" s="2395"/>
      <c r="D39" s="415">
        <v>100</v>
      </c>
      <c r="E39" s="2395"/>
      <c r="F39" s="415">
        <f>SUMIF(119:119,E39,120:120)-SUMIF(119:119,C39,120:120)+100</f>
        <v>100</v>
      </c>
      <c r="G39" s="2395"/>
      <c r="H39" s="415">
        <f>SUMIF(119:119,G39,120:120)-SUMIF(119:119,C39,120:120)+100</f>
        <v>100</v>
      </c>
      <c r="I39" s="2395"/>
      <c r="J39" s="415">
        <f>SUMIF(119:119,I39,120:120)-SUMIF(119:119,C39,120:120)+100</f>
        <v>100</v>
      </c>
      <c r="K39" s="596"/>
      <c r="L39" s="1245"/>
      <c r="M39" s="1236"/>
      <c r="N39" s="1236"/>
      <c r="O39" s="1244"/>
      <c r="P39" s="3075"/>
      <c r="Q39" s="1882" t="str">
        <f t="shared" ref="Q39:Q45" si="14">B39</f>
        <v>宗地形状</v>
      </c>
      <c r="R39" s="752" t="s">
        <v>25</v>
      </c>
      <c r="S39" s="753">
        <f t="shared" si="10"/>
        <v>100</v>
      </c>
      <c r="T39" s="752" t="s">
        <v>25</v>
      </c>
      <c r="U39" s="753">
        <f t="shared" si="11"/>
        <v>100</v>
      </c>
      <c r="V39" s="752" t="s">
        <v>25</v>
      </c>
      <c r="W39" s="753">
        <f t="shared" si="12"/>
        <v>100</v>
      </c>
      <c r="X39" s="1883"/>
      <c r="Y39" s="3075"/>
      <c r="Z39" s="1885" t="str">
        <f t="shared" si="13"/>
        <v>宗地形状</v>
      </c>
      <c r="AA39" s="1886">
        <f t="shared" si="3"/>
        <v>1</v>
      </c>
      <c r="AB39" s="1886">
        <f t="shared" si="4"/>
        <v>1</v>
      </c>
      <c r="AC39" s="1886">
        <f t="shared" si="5"/>
        <v>1</v>
      </c>
    </row>
    <row r="40" spans="1:29" ht="15">
      <c r="A40" s="453"/>
      <c r="B40" s="402" t="s">
        <v>2537</v>
      </c>
      <c r="C40" s="2395"/>
      <c r="D40" s="415">
        <v>100</v>
      </c>
      <c r="E40" s="2395"/>
      <c r="F40" s="415">
        <f>SUMIF(121:121,E40,122:122)-SUMIF(121:121,C40,122:122)+100</f>
        <v>100</v>
      </c>
      <c r="G40" s="2395"/>
      <c r="H40" s="415">
        <f>SUMIF(121:121,G40,122:122)-SUMIF(121:121,C40,122:122)+100</f>
        <v>100</v>
      </c>
      <c r="I40" s="2395"/>
      <c r="J40" s="415">
        <f>SUMIF(121:121,I40,122:122)-SUMIF(121:121,C40,122:122)+100</f>
        <v>100</v>
      </c>
      <c r="K40" s="596"/>
      <c r="L40" s="1245"/>
      <c r="M40" s="1236"/>
      <c r="N40" s="1236"/>
      <c r="O40" s="1244"/>
      <c r="P40" s="3075"/>
      <c r="Q40" s="1882" t="str">
        <f t="shared" si="14"/>
        <v>临街宽度及深度</v>
      </c>
      <c r="R40" s="752" t="s">
        <v>25</v>
      </c>
      <c r="S40" s="753">
        <f t="shared" si="10"/>
        <v>100</v>
      </c>
      <c r="T40" s="752" t="s">
        <v>25</v>
      </c>
      <c r="U40" s="753">
        <f t="shared" si="11"/>
        <v>100</v>
      </c>
      <c r="V40" s="752" t="s">
        <v>25</v>
      </c>
      <c r="W40" s="753">
        <f t="shared" si="12"/>
        <v>100</v>
      </c>
      <c r="X40" s="1883"/>
      <c r="Y40" s="3075"/>
      <c r="Z40" s="1885" t="str">
        <f t="shared" si="13"/>
        <v>临街宽度及深度</v>
      </c>
      <c r="AA40" s="1886">
        <f t="shared" si="3"/>
        <v>1</v>
      </c>
      <c r="AB40" s="1886">
        <f t="shared" si="4"/>
        <v>1</v>
      </c>
      <c r="AC40" s="1886">
        <f t="shared" si="5"/>
        <v>1</v>
      </c>
    </row>
    <row r="41" spans="1:29" s="35" customFormat="1" ht="15">
      <c r="A41" s="454"/>
      <c r="B41" s="402" t="s">
        <v>2538</v>
      </c>
      <c r="C41" s="2472"/>
      <c r="D41" s="52">
        <v>100</v>
      </c>
      <c r="E41" s="2472"/>
      <c r="F41" s="415">
        <f>SUMIF(123:123,E41,124:124)-SUMIF(123:123,C41,124:124)+100</f>
        <v>100</v>
      </c>
      <c r="G41" s="2472"/>
      <c r="H41" s="415">
        <f>SUMIF(123:123,G41,124:124)-SUMIF(123:123,C41,124:124)+100</f>
        <v>100</v>
      </c>
      <c r="I41" s="2472"/>
      <c r="J41" s="415">
        <f>SUMIF(123:123,I41,124:124)-SUMIF(123:123,C41,124:124)+100</f>
        <v>100</v>
      </c>
      <c r="K41" s="596"/>
      <c r="L41" s="1237"/>
      <c r="M41" s="1238"/>
      <c r="N41" s="1238"/>
      <c r="O41" s="1239"/>
      <c r="P41" s="3075"/>
      <c r="Q41" s="1882" t="str">
        <f t="shared" si="14"/>
        <v>宗地开发程度</v>
      </c>
      <c r="R41" s="748" t="s">
        <v>25</v>
      </c>
      <c r="S41" s="749">
        <f t="shared" si="10"/>
        <v>100</v>
      </c>
      <c r="T41" s="748" t="s">
        <v>25</v>
      </c>
      <c r="U41" s="749">
        <f t="shared" si="11"/>
        <v>100</v>
      </c>
      <c r="V41" s="748" t="s">
        <v>25</v>
      </c>
      <c r="W41" s="749">
        <f t="shared" si="12"/>
        <v>100</v>
      </c>
      <c r="X41" s="750"/>
      <c r="Y41" s="3075"/>
      <c r="Z41" s="23" t="str">
        <f t="shared" si="13"/>
        <v>宗地开发程度</v>
      </c>
      <c r="AA41" s="751">
        <f t="shared" si="3"/>
        <v>1</v>
      </c>
      <c r="AB41" s="751">
        <f t="shared" si="4"/>
        <v>1</v>
      </c>
      <c r="AC41" s="751">
        <f t="shared" si="5"/>
        <v>1</v>
      </c>
    </row>
    <row r="42" spans="1:29" ht="15">
      <c r="A42" s="453"/>
      <c r="B42" s="402" t="s">
        <v>2539</v>
      </c>
      <c r="C42" s="2395"/>
      <c r="D42" s="415">
        <v>100</v>
      </c>
      <c r="E42" s="2395"/>
      <c r="F42" s="415">
        <f>SUMIF(125:125,E42,126:126)-SUMIF(125:125,C42,126:126)+100</f>
        <v>100</v>
      </c>
      <c r="G42" s="2395"/>
      <c r="H42" s="415">
        <f>SUMIF(125:125,G42,126:126)-SUMIF(125:125,C42,126:126)+100</f>
        <v>100</v>
      </c>
      <c r="I42" s="2395"/>
      <c r="J42" s="415">
        <f>SUMIF(125:125,I42,126:126)-SUMIF(125:125,C42,126:126)+100</f>
        <v>100</v>
      </c>
      <c r="K42" s="596"/>
      <c r="L42" s="1245"/>
      <c r="M42" s="1236"/>
      <c r="N42" s="1236"/>
      <c r="O42" s="1244"/>
      <c r="P42" s="3075" t="s">
        <v>2355</v>
      </c>
      <c r="Q42" s="1882" t="str">
        <f t="shared" si="14"/>
        <v>工程地质条件</v>
      </c>
      <c r="R42" s="752" t="s">
        <v>25</v>
      </c>
      <c r="S42" s="753">
        <f t="shared" si="10"/>
        <v>100</v>
      </c>
      <c r="T42" s="752" t="s">
        <v>25</v>
      </c>
      <c r="U42" s="753">
        <f t="shared" si="11"/>
        <v>100</v>
      </c>
      <c r="V42" s="752" t="s">
        <v>25</v>
      </c>
      <c r="W42" s="753">
        <f t="shared" si="12"/>
        <v>100</v>
      </c>
      <c r="X42" s="1883"/>
      <c r="Y42" s="3075" t="s">
        <v>2355</v>
      </c>
      <c r="Z42" s="1885" t="str">
        <f t="shared" si="13"/>
        <v>工程地质条件</v>
      </c>
      <c r="AA42" s="1886">
        <f t="shared" si="3"/>
        <v>1</v>
      </c>
      <c r="AB42" s="1886">
        <f t="shared" si="4"/>
        <v>1</v>
      </c>
      <c r="AC42" s="1886">
        <f t="shared" si="5"/>
        <v>1</v>
      </c>
    </row>
    <row r="43" spans="1:29" ht="15">
      <c r="A43" s="453"/>
      <c r="B43" s="247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75"/>
      <c r="Q43" s="1882">
        <f t="shared" si="14"/>
        <v>111</v>
      </c>
      <c r="R43" s="752" t="s">
        <v>25</v>
      </c>
      <c r="S43" s="753">
        <f t="shared" si="10"/>
        <v>100</v>
      </c>
      <c r="T43" s="752" t="s">
        <v>25</v>
      </c>
      <c r="U43" s="753">
        <f t="shared" si="11"/>
        <v>100</v>
      </c>
      <c r="V43" s="752" t="s">
        <v>25</v>
      </c>
      <c r="W43" s="753">
        <f t="shared" si="12"/>
        <v>100</v>
      </c>
      <c r="X43" s="1883"/>
      <c r="Y43" s="3075"/>
      <c r="Z43" s="1885">
        <f t="shared" si="13"/>
        <v>111</v>
      </c>
      <c r="AA43" s="1886">
        <f t="shared" si="3"/>
        <v>1</v>
      </c>
      <c r="AB43" s="1886">
        <f t="shared" si="4"/>
        <v>1</v>
      </c>
      <c r="AC43" s="1886">
        <f t="shared" si="5"/>
        <v>1</v>
      </c>
    </row>
    <row r="44" spans="1:29" ht="15">
      <c r="A44" s="453"/>
      <c r="B44" s="247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75"/>
      <c r="Q44" s="1882">
        <f t="shared" si="14"/>
        <v>111</v>
      </c>
      <c r="R44" s="752" t="s">
        <v>25</v>
      </c>
      <c r="S44" s="753">
        <f t="shared" si="10"/>
        <v>100</v>
      </c>
      <c r="T44" s="752" t="s">
        <v>25</v>
      </c>
      <c r="U44" s="753">
        <f t="shared" si="11"/>
        <v>100</v>
      </c>
      <c r="V44" s="752" t="s">
        <v>25</v>
      </c>
      <c r="W44" s="753">
        <f t="shared" si="12"/>
        <v>100</v>
      </c>
      <c r="X44" s="1883"/>
      <c r="Y44" s="3075"/>
      <c r="Z44" s="1885">
        <f t="shared" si="13"/>
        <v>111</v>
      </c>
      <c r="AA44" s="1886">
        <f t="shared" si="3"/>
        <v>1</v>
      </c>
      <c r="AB44" s="1886">
        <f t="shared" si="4"/>
        <v>1</v>
      </c>
      <c r="AC44" s="1886">
        <f t="shared" si="5"/>
        <v>1</v>
      </c>
    </row>
    <row r="45" spans="1:29" s="452" customFormat="1" ht="15.75" thickBot="1">
      <c r="A45" s="449"/>
      <c r="B45" s="2473">
        <v>111</v>
      </c>
      <c r="C45" s="2474"/>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75"/>
      <c r="Q45" s="1882">
        <f t="shared" si="14"/>
        <v>111</v>
      </c>
      <c r="R45" s="755" t="s">
        <v>25</v>
      </c>
      <c r="S45" s="756">
        <f t="shared" si="10"/>
        <v>100</v>
      </c>
      <c r="T45" s="755" t="s">
        <v>25</v>
      </c>
      <c r="U45" s="756">
        <f t="shared" si="11"/>
        <v>100</v>
      </c>
      <c r="V45" s="755" t="s">
        <v>25</v>
      </c>
      <c r="W45" s="756">
        <f t="shared" si="12"/>
        <v>100</v>
      </c>
      <c r="X45" s="757"/>
      <c r="Y45" s="3075"/>
      <c r="Z45" s="758">
        <f t="shared" si="13"/>
        <v>111</v>
      </c>
      <c r="AA45" s="1886">
        <f t="shared" si="3"/>
        <v>1</v>
      </c>
      <c r="AB45" s="1886">
        <f t="shared" si="4"/>
        <v>1</v>
      </c>
      <c r="AC45" s="1886">
        <f t="shared" si="5"/>
        <v>1</v>
      </c>
    </row>
    <row r="46" spans="1:29" ht="15">
      <c r="A46" s="460" t="s">
        <v>2503</v>
      </c>
      <c r="B46" s="2475" t="s">
        <v>2540</v>
      </c>
      <c r="C46" s="665" t="s">
        <v>1</v>
      </c>
      <c r="D46" s="462"/>
      <c r="E46" s="463"/>
      <c r="F46" s="464"/>
      <c r="G46" s="465"/>
      <c r="H46" s="466"/>
      <c r="I46" s="463"/>
      <c r="J46" s="466"/>
      <c r="K46" s="761"/>
      <c r="L46" s="1248"/>
      <c r="M46" s="1249"/>
      <c r="N46" s="1236"/>
      <c r="O46" s="1249"/>
      <c r="P46" s="3081" t="str">
        <f>A46</f>
        <v>成交单价</v>
      </c>
      <c r="Q46" s="3081"/>
      <c r="R46" s="3061">
        <f>E46</f>
        <v>0</v>
      </c>
      <c r="S46" s="3061"/>
      <c r="T46" s="3061">
        <f>G46</f>
        <v>0</v>
      </c>
      <c r="U46" s="3061"/>
      <c r="V46" s="3061">
        <f>I46</f>
        <v>0</v>
      </c>
      <c r="W46" s="3061"/>
      <c r="X46" s="737"/>
      <c r="Y46" s="759"/>
      <c r="Z46" s="737"/>
      <c r="AA46" s="737"/>
      <c r="AB46" s="737"/>
      <c r="AC46" s="737"/>
    </row>
    <row r="47" spans="1:29" ht="15.75" thickBot="1">
      <c r="A47" s="467" t="s">
        <v>2450</v>
      </c>
      <c r="B47" s="666"/>
      <c r="C47" s="471" t="e">
        <f>R48</f>
        <v>#DIV/0!</v>
      </c>
      <c r="D47" s="470"/>
      <c r="E47" s="471" t="e">
        <f>R47</f>
        <v>#DIV/0!</v>
      </c>
      <c r="F47" s="472"/>
      <c r="G47" s="469" t="e">
        <f>T47</f>
        <v>#DIV/0!</v>
      </c>
      <c r="H47" s="470"/>
      <c r="I47" s="471" t="e">
        <f>V47</f>
        <v>#DIV/0!</v>
      </c>
      <c r="J47" s="470"/>
      <c r="K47" s="762"/>
      <c r="L47" s="1248"/>
      <c r="M47" s="1249"/>
      <c r="N47" s="1249"/>
      <c r="O47" s="1249"/>
      <c r="P47" s="3081" t="str">
        <f>A47</f>
        <v>比较价值（元/平方米）</v>
      </c>
      <c r="Q47" s="3081"/>
      <c r="R47" s="3099" t="e">
        <f>ROUND(PRODUCT(R46,AA7:AA45),0)</f>
        <v>#DIV/0!</v>
      </c>
      <c r="S47" s="3099"/>
      <c r="T47" s="3099" t="e">
        <f>ROUND(PRODUCT(T46,AB7:AB45),0)</f>
        <v>#DIV/0!</v>
      </c>
      <c r="U47" s="3099"/>
      <c r="V47" s="3099" t="e">
        <f>ROUND(PRODUCT(V46,AC7:AC45),0)</f>
        <v>#DIV/0!</v>
      </c>
      <c r="W47" s="3099"/>
      <c r="X47" s="737"/>
      <c r="Y47" s="737"/>
      <c r="Z47" s="737"/>
      <c r="AA47" s="737"/>
      <c r="AB47" s="737"/>
      <c r="AC47" s="737"/>
    </row>
    <row r="48" spans="1:29" ht="15.75" thickBot="1">
      <c r="A48" s="473" t="s">
        <v>2473</v>
      </c>
      <c r="B48" s="474"/>
      <c r="C48" s="475" t="e">
        <f>R48</f>
        <v>#DIV/0!</v>
      </c>
      <c r="D48" s="475"/>
      <c r="E48" s="475"/>
      <c r="F48" s="475"/>
      <c r="G48" s="475"/>
      <c r="H48" s="475"/>
      <c r="I48" s="475"/>
      <c r="J48" s="475"/>
      <c r="K48" s="763"/>
      <c r="L48" s="1248"/>
      <c r="M48" s="1249"/>
      <c r="N48" s="1249"/>
      <c r="O48" s="1249"/>
      <c r="P48" s="3087" t="str">
        <f>A48</f>
        <v>估价对象XX用房的比较价值（楼面单价，元/平方米）</v>
      </c>
      <c r="Q48" s="3088"/>
      <c r="R48" s="3100" t="e">
        <f>ROUND(AVERAGE(R47:V47),0)</f>
        <v>#DIV/0!</v>
      </c>
      <c r="S48" s="3100"/>
      <c r="T48" s="3100"/>
      <c r="U48" s="3100"/>
      <c r="V48" s="3100"/>
      <c r="W48" s="3100"/>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2452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2453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2454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2541</v>
      </c>
      <c r="B55" s="668" t="s">
        <v>2542</v>
      </c>
      <c r="C55" s="2476" t="s">
        <v>2543</v>
      </c>
      <c r="D55" s="2477" t="s">
        <v>2544</v>
      </c>
      <c r="E55" s="669" t="s">
        <v>2545</v>
      </c>
      <c r="F55" s="670" t="s">
        <v>2546</v>
      </c>
      <c r="G55" s="62" t="s">
        <v>2547</v>
      </c>
      <c r="H55" s="62" t="str">
        <f>项目基本情况!G8</f>
        <v>辽宁省大连市</v>
      </c>
      <c r="I55" s="2478" t="s">
        <v>2548</v>
      </c>
      <c r="J55" s="738"/>
      <c r="K55" s="1250"/>
      <c r="L55" s="1250"/>
      <c r="M55" s="1249"/>
      <c r="N55" s="1249"/>
      <c r="O55" s="1249"/>
    </row>
    <row r="56" spans="1:15" s="675" customFormat="1">
      <c r="A56" s="671" t="s">
        <v>2549</v>
      </c>
      <c r="B56" s="672" t="e">
        <f>C48</f>
        <v>#DIV/0!</v>
      </c>
      <c r="C56" s="673">
        <v>1</v>
      </c>
      <c r="D56" s="1285">
        <v>1</v>
      </c>
      <c r="E56" s="677">
        <v>120</v>
      </c>
      <c r="F56" s="674" t="e">
        <f t="shared" ref="F56:F65" si="15">ROUND(B56*E56,0)</f>
        <v>#DIV/0!</v>
      </c>
      <c r="G56" s="967">
        <v>1</v>
      </c>
      <c r="H56" s="967">
        <v>1</v>
      </c>
      <c r="I56" s="1251"/>
      <c r="J56" s="1251"/>
      <c r="K56" s="1255"/>
      <c r="L56" s="1256"/>
      <c r="M56" s="1251"/>
      <c r="N56" s="1251"/>
      <c r="O56" s="966"/>
    </row>
    <row r="57" spans="1:15" s="675" customFormat="1">
      <c r="A57" s="676" t="s">
        <v>2550</v>
      </c>
      <c r="B57" s="178" t="e">
        <f>ROUND($C$48*C57*D57,0)</f>
        <v>#DIV/0!</v>
      </c>
      <c r="C57" s="117">
        <f>IF($C$55="北京市系数",G57,H57)</f>
        <v>0</v>
      </c>
      <c r="D57" s="1284">
        <v>0.25</v>
      </c>
      <c r="E57" s="677">
        <v>0</v>
      </c>
      <c r="F57" s="674" t="e">
        <f t="shared" si="15"/>
        <v>#DIV/0!</v>
      </c>
      <c r="G57" s="967">
        <f>SUMIF(修正!$A$45:$A$56,项目基本情况!$F$9,修正!B45:B56)</f>
        <v>0</v>
      </c>
      <c r="H57" s="968"/>
      <c r="I57" s="1249"/>
      <c r="J57" s="1254"/>
      <c r="K57" s="1250"/>
      <c r="L57" s="1250"/>
      <c r="M57" s="1249"/>
      <c r="N57" s="1249"/>
      <c r="O57" s="966"/>
    </row>
    <row r="58" spans="1:15" s="675" customFormat="1">
      <c r="A58" s="676" t="s">
        <v>2551</v>
      </c>
      <c r="B58" s="178" t="e">
        <f t="shared" ref="B58:B65" si="16">ROUND($C$48*C58*D58,0)</f>
        <v>#DIV/0!</v>
      </c>
      <c r="C58" s="117">
        <f t="shared" ref="C58:C65" si="17">IF($C$55="北京市系数",G58,H58)</f>
        <v>0</v>
      </c>
      <c r="D58" s="1284">
        <v>0.25</v>
      </c>
      <c r="E58" s="677">
        <v>0</v>
      </c>
      <c r="F58" s="674" t="e">
        <f t="shared" si="15"/>
        <v>#DIV/0!</v>
      </c>
      <c r="G58" s="967">
        <f>SUMIF(修正!$A$45:$A$56,项目基本情况!$F$9,修正!C45:C56)</f>
        <v>0</v>
      </c>
      <c r="H58" s="968"/>
      <c r="I58" s="1251"/>
      <c r="J58" s="1251"/>
      <c r="K58" s="1255"/>
      <c r="L58" s="1256"/>
      <c r="M58" s="1251"/>
      <c r="N58" s="1251"/>
      <c r="O58" s="966"/>
    </row>
    <row r="59" spans="1:15" s="675" customFormat="1">
      <c r="A59" s="676" t="s">
        <v>2552</v>
      </c>
      <c r="B59" s="178" t="e">
        <f t="shared" si="16"/>
        <v>#DIV/0!</v>
      </c>
      <c r="C59" s="117">
        <f t="shared" si="17"/>
        <v>0</v>
      </c>
      <c r="D59" s="1284">
        <v>0.25</v>
      </c>
      <c r="E59" s="677">
        <v>0</v>
      </c>
      <c r="F59" s="674" t="e">
        <f t="shared" si="15"/>
        <v>#DIV/0!</v>
      </c>
      <c r="G59" s="967">
        <f>SUMIF(修正!$A$45:$A$56,项目基本情况!$F$9,修正!D45:D56)</f>
        <v>0</v>
      </c>
      <c r="H59" s="968"/>
      <c r="I59" s="1249"/>
      <c r="J59" s="1254"/>
      <c r="K59" s="1250"/>
      <c r="L59" s="1250"/>
      <c r="M59" s="1249"/>
      <c r="N59" s="1249"/>
      <c r="O59" s="966"/>
    </row>
    <row r="60" spans="1:15" s="675" customFormat="1">
      <c r="A60" s="676" t="s">
        <v>2553</v>
      </c>
      <c r="B60" s="178" t="e">
        <f t="shared" si="16"/>
        <v>#DIV/0!</v>
      </c>
      <c r="C60" s="117">
        <f t="shared" si="17"/>
        <v>0</v>
      </c>
      <c r="D60" s="1284">
        <v>0.25</v>
      </c>
      <c r="E60" s="677">
        <v>0</v>
      </c>
      <c r="F60" s="674" t="e">
        <f t="shared" si="15"/>
        <v>#DIV/0!</v>
      </c>
      <c r="G60" s="967">
        <f>SUMIF(修正!$A$45:$A$56,项目基本情况!$F$9,修正!E45:E56)</f>
        <v>0</v>
      </c>
      <c r="H60" s="968"/>
      <c r="I60" s="1251"/>
      <c r="J60" s="1251"/>
      <c r="K60" s="1255"/>
      <c r="L60" s="1256"/>
      <c r="M60" s="1251"/>
      <c r="N60" s="1251"/>
      <c r="O60" s="966"/>
    </row>
    <row r="61" spans="1:15" s="675" customFormat="1">
      <c r="A61" s="676" t="s">
        <v>2554</v>
      </c>
      <c r="B61" s="178" t="e">
        <f t="shared" si="16"/>
        <v>#DIV/0!</v>
      </c>
      <c r="C61" s="117">
        <f t="shared" si="17"/>
        <v>0</v>
      </c>
      <c r="D61" s="1284">
        <v>0.25</v>
      </c>
      <c r="E61" s="677">
        <v>0</v>
      </c>
      <c r="F61" s="674" t="e">
        <f t="shared" si="15"/>
        <v>#DIV/0!</v>
      </c>
      <c r="G61" s="967">
        <f>SUMIF(修正!A45:A56,项目基本情况!F9,修正!F45:F56)</f>
        <v>0</v>
      </c>
      <c r="H61" s="968"/>
      <c r="I61" s="1249"/>
      <c r="J61" s="1254"/>
      <c r="K61" s="1250"/>
      <c r="L61" s="1250"/>
      <c r="M61" s="1249"/>
      <c r="N61" s="1249"/>
      <c r="O61" s="966"/>
    </row>
    <row r="62" spans="1:15" s="675" customFormat="1">
      <c r="A62" s="676" t="s">
        <v>2555</v>
      </c>
      <c r="B62" s="178" t="e">
        <f t="shared" si="16"/>
        <v>#DIV/0!</v>
      </c>
      <c r="C62" s="117">
        <f t="shared" si="17"/>
        <v>0</v>
      </c>
      <c r="D62" s="1284">
        <v>0.25</v>
      </c>
      <c r="E62" s="677">
        <v>0</v>
      </c>
      <c r="F62" s="674" t="e">
        <f t="shared" si="15"/>
        <v>#DIV/0!</v>
      </c>
      <c r="G62" s="967">
        <f>SUMIF(修正!A45:A56,项目基本情况!F9,修正!G45:G56)</f>
        <v>0</v>
      </c>
      <c r="H62" s="968"/>
      <c r="I62" s="1251"/>
      <c r="J62" s="1251"/>
      <c r="K62" s="1255"/>
      <c r="L62" s="1256"/>
      <c r="M62" s="1251"/>
      <c r="N62" s="1251"/>
      <c r="O62" s="966"/>
    </row>
    <row r="63" spans="1:15" s="675" customFormat="1">
      <c r="A63" s="676" t="s">
        <v>2556</v>
      </c>
      <c r="B63" s="178" t="e">
        <f t="shared" si="16"/>
        <v>#DIV/0!</v>
      </c>
      <c r="C63" s="117">
        <f>IF($C$55="北京市系数",G63,H63)</f>
        <v>0</v>
      </c>
      <c r="D63" s="1284">
        <v>0.25</v>
      </c>
      <c r="E63" s="677">
        <v>0</v>
      </c>
      <c r="F63" s="674" t="e">
        <f t="shared" si="15"/>
        <v>#DIV/0!</v>
      </c>
      <c r="G63" s="967">
        <f>SUMIF(修正!A45:A56,项目基本情况!F9,修正!H45:H56)</f>
        <v>0</v>
      </c>
      <c r="H63" s="968"/>
      <c r="I63" s="1249"/>
      <c r="J63" s="1254"/>
      <c r="K63" s="1250"/>
      <c r="L63" s="1250"/>
      <c r="M63" s="1249"/>
      <c r="N63" s="1249"/>
      <c r="O63" s="966"/>
    </row>
    <row r="64" spans="1:15" s="675" customFormat="1">
      <c r="A64" s="676" t="s">
        <v>2557</v>
      </c>
      <c r="B64" s="178" t="e">
        <f t="shared" si="16"/>
        <v>#DIV/0!</v>
      </c>
      <c r="C64" s="117">
        <f t="shared" si="17"/>
        <v>0</v>
      </c>
      <c r="D64" s="1284">
        <v>0.25</v>
      </c>
      <c r="E64" s="677">
        <v>0</v>
      </c>
      <c r="F64" s="674" t="e">
        <f t="shared" si="15"/>
        <v>#DIV/0!</v>
      </c>
      <c r="G64" s="967">
        <f>G63</f>
        <v>0</v>
      </c>
      <c r="H64" s="968"/>
      <c r="I64" s="1251"/>
      <c r="J64" s="1251"/>
      <c r="K64" s="1255"/>
      <c r="L64" s="1256"/>
      <c r="M64" s="1251"/>
      <c r="N64" s="1251"/>
      <c r="O64" s="966"/>
    </row>
    <row r="65" spans="1:17" s="675" customFormat="1">
      <c r="A65" s="676" t="s">
        <v>2558</v>
      </c>
      <c r="B65" s="178" t="e">
        <f t="shared" si="16"/>
        <v>#DIV/0!</v>
      </c>
      <c r="C65" s="117">
        <f t="shared" si="17"/>
        <v>0</v>
      </c>
      <c r="D65" s="1284">
        <v>0.25</v>
      </c>
      <c r="E65" s="677">
        <v>0</v>
      </c>
      <c r="F65" s="674" t="e">
        <f t="shared" si="15"/>
        <v>#DIV/0!</v>
      </c>
      <c r="G65" s="967">
        <f>G63</f>
        <v>0</v>
      </c>
      <c r="H65" s="968"/>
      <c r="I65" s="1249"/>
      <c r="J65" s="1254"/>
      <c r="K65" s="1250"/>
      <c r="L65" s="1250"/>
      <c r="M65" s="1249"/>
      <c r="N65" s="1249"/>
      <c r="O65" s="966"/>
    </row>
    <row r="66" spans="1:17" s="675" customFormat="1" ht="13.5" thickBot="1">
      <c r="A66" s="679" t="s">
        <v>2559</v>
      </c>
      <c r="B66" s="680" t="s">
        <v>39</v>
      </c>
      <c r="C66" s="680" t="s">
        <v>40</v>
      </c>
      <c r="D66" s="680" t="s">
        <v>36</v>
      </c>
      <c r="E66" s="680">
        <f>SUM(E56:E65)</f>
        <v>120</v>
      </c>
      <c r="F66" s="681" t="e">
        <f>SUM(F56:F65)</f>
        <v>#DIV/0!</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2020-6-1</v>
      </c>
      <c r="D68" s="1662">
        <f>EDATE(C68,-3)</f>
        <v>43891</v>
      </c>
      <c r="E68" s="1662">
        <f t="shared" ref="E68:O68" si="18">EDATE(D68,-3)</f>
        <v>43800</v>
      </c>
      <c r="F68" s="1662">
        <f t="shared" si="18"/>
        <v>43709</v>
      </c>
      <c r="G68" s="1662">
        <f t="shared" si="18"/>
        <v>43617</v>
      </c>
      <c r="H68" s="1662">
        <f t="shared" si="18"/>
        <v>43525</v>
      </c>
      <c r="I68" s="1662">
        <f t="shared" si="18"/>
        <v>43435</v>
      </c>
      <c r="J68" s="1662">
        <f t="shared" si="18"/>
        <v>43344</v>
      </c>
      <c r="K68" s="1662">
        <f t="shared" si="18"/>
        <v>43252</v>
      </c>
      <c r="L68" s="1662">
        <f t="shared" si="18"/>
        <v>43160</v>
      </c>
      <c r="M68" s="1662">
        <f t="shared" si="18"/>
        <v>43070</v>
      </c>
      <c r="N68" s="1662">
        <f t="shared" si="18"/>
        <v>42979</v>
      </c>
      <c r="O68" s="1662">
        <f t="shared" si="18"/>
        <v>42887</v>
      </c>
    </row>
    <row r="69" spans="1:17" ht="21.75" thickBot="1">
      <c r="A69" s="741" t="s">
        <v>2455</v>
      </c>
      <c r="B69" s="737"/>
      <c r="C69" s="742"/>
      <c r="D69" s="742"/>
      <c r="E69" s="742"/>
      <c r="F69" s="743"/>
      <c r="G69" s="743"/>
      <c r="H69" s="742"/>
      <c r="I69" s="1265"/>
      <c r="J69" s="1265"/>
      <c r="K69" s="1263"/>
      <c r="L69" s="1264"/>
      <c r="M69" s="1265"/>
      <c r="N69" s="1265"/>
      <c r="O69" s="1265"/>
      <c r="P69" s="484"/>
      <c r="Q69" s="485"/>
    </row>
    <row r="70" spans="1:17" s="1666" customFormat="1" ht="15">
      <c r="A70" s="2479" t="s">
        <v>2560</v>
      </c>
      <c r="B70" s="1448"/>
      <c r="C70" s="1663" t="str">
        <f>YEAR(C68)&amp;"-"&amp;ROUNDUP(MONTH(C68)/3,0)</f>
        <v>2020-2</v>
      </c>
      <c r="D70" s="1663" t="str">
        <f>YEAR(D68)&amp;"-"&amp;ROUNDUP(MONTH(D68)/3,0)</f>
        <v>2020-1</v>
      </c>
      <c r="E70" s="1663" t="str">
        <f t="shared" ref="E70:O70" si="19">YEAR(E68)&amp;"-"&amp;ROUNDUP(MONTH(E68)/3,0)</f>
        <v>2019-4</v>
      </c>
      <c r="F70" s="1663" t="str">
        <f t="shared" si="19"/>
        <v>2019-3</v>
      </c>
      <c r="G70" s="1663" t="str">
        <f t="shared" si="19"/>
        <v>2019-2</v>
      </c>
      <c r="H70" s="1663" t="str">
        <f t="shared" si="19"/>
        <v>2019-1</v>
      </c>
      <c r="I70" s="1663" t="str">
        <f t="shared" si="19"/>
        <v>2018-4</v>
      </c>
      <c r="J70" s="1663" t="str">
        <f t="shared" si="19"/>
        <v>2018-3</v>
      </c>
      <c r="K70" s="1663" t="str">
        <f t="shared" si="19"/>
        <v>2018-2</v>
      </c>
      <c r="L70" s="1663" t="str">
        <f t="shared" si="19"/>
        <v>2018-1</v>
      </c>
      <c r="M70" s="1663" t="str">
        <f t="shared" si="19"/>
        <v>2017-4</v>
      </c>
      <c r="N70" s="1663" t="str">
        <f t="shared" si="19"/>
        <v>2017-3</v>
      </c>
      <c r="O70" s="1663" t="str">
        <f t="shared" si="19"/>
        <v>2017-2</v>
      </c>
      <c r="P70" s="1665"/>
    </row>
    <row r="71" spans="1:17" s="35" customFormat="1" ht="29.25" customHeight="1">
      <c r="A71" s="2480" t="s">
        <v>2561</v>
      </c>
      <c r="B71" s="284" t="str">
        <f>"北京市平均增长率"&amp;TEXT(SUMIF(基准地价修正!N21:N25,A71,基准地价修正!P21:P25),"0.00%")</f>
        <v>北京市平均增长率1.28%</v>
      </c>
      <c r="C71" s="587">
        <v>100</v>
      </c>
      <c r="D71" s="579"/>
      <c r="E71" s="579"/>
      <c r="F71" s="579"/>
      <c r="G71" s="579"/>
      <c r="H71" s="579"/>
      <c r="I71" s="579"/>
      <c r="J71" s="579"/>
      <c r="K71" s="579"/>
      <c r="L71" s="579"/>
      <c r="M71" s="1661"/>
      <c r="N71" s="579"/>
      <c r="O71" s="1667"/>
      <c r="P71" s="485"/>
    </row>
    <row r="72" spans="1:17" s="35" customFormat="1" ht="15.75" thickBot="1">
      <c r="A72" s="496" t="s">
        <v>2375</v>
      </c>
      <c r="B72" s="497"/>
      <c r="C72" s="498"/>
      <c r="D72" s="499"/>
      <c r="E72" s="499"/>
      <c r="F72" s="499"/>
      <c r="G72" s="499"/>
      <c r="H72" s="499"/>
      <c r="I72" s="499"/>
      <c r="J72" s="499"/>
      <c r="K72" s="499"/>
      <c r="L72" s="499"/>
      <c r="M72" s="500"/>
      <c r="N72" s="499"/>
      <c r="O72" s="1668"/>
      <c r="P72" s="485"/>
      <c r="Q72" s="485"/>
    </row>
    <row r="73" spans="1:17" s="35" customFormat="1" ht="15">
      <c r="A73" s="502" t="s">
        <v>2340</v>
      </c>
      <c r="B73" s="491"/>
      <c r="C73" s="503" t="s">
        <v>2341</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2378</v>
      </c>
      <c r="B75" s="509" t="s">
        <v>2344</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2347</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2348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2349</v>
      </c>
      <c r="B88" s="509" t="s">
        <v>2386</v>
      </c>
      <c r="C88" s="557" t="s">
        <v>2387</v>
      </c>
      <c r="D88" s="557" t="s">
        <v>2388</v>
      </c>
      <c r="E88" s="557" t="s">
        <v>2389</v>
      </c>
      <c r="F88" s="557" t="s">
        <v>2390</v>
      </c>
      <c r="G88" s="557" t="s">
        <v>2391</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2562</v>
      </c>
      <c r="C90" s="562" t="s">
        <v>2387</v>
      </c>
      <c r="D90" s="562" t="s">
        <v>2388</v>
      </c>
      <c r="E90" s="562" t="s">
        <v>2389</v>
      </c>
      <c r="F90" s="562" t="s">
        <v>2390</v>
      </c>
      <c r="G90" s="562" t="s">
        <v>2391</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2474</v>
      </c>
      <c r="C92" s="562" t="s">
        <v>2387</v>
      </c>
      <c r="D92" s="562" t="s">
        <v>2388</v>
      </c>
      <c r="E92" s="562" t="s">
        <v>2389</v>
      </c>
      <c r="F92" s="562" t="s">
        <v>2390</v>
      </c>
      <c r="G92" s="562" t="s">
        <v>2391</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2392</v>
      </c>
      <c r="C94" s="562" t="s">
        <v>2387</v>
      </c>
      <c r="D94" s="562" t="s">
        <v>2388</v>
      </c>
      <c r="E94" s="562" t="s">
        <v>2389</v>
      </c>
      <c r="F94" s="562" t="s">
        <v>2390</v>
      </c>
      <c r="G94" s="562" t="s">
        <v>2391</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2563</v>
      </c>
      <c r="C96" s="562" t="s">
        <v>2387</v>
      </c>
      <c r="D96" s="562" t="s">
        <v>2388</v>
      </c>
      <c r="E96" s="562" t="s">
        <v>2389</v>
      </c>
      <c r="F96" s="562" t="s">
        <v>2390</v>
      </c>
      <c r="G96" s="562" t="s">
        <v>2391</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2564</v>
      </c>
      <c r="C98" s="557" t="s">
        <v>2387</v>
      </c>
      <c r="D98" s="557" t="s">
        <v>2388</v>
      </c>
      <c r="E98" s="557" t="s">
        <v>2389</v>
      </c>
      <c r="F98" s="557" t="s">
        <v>2390</v>
      </c>
      <c r="G98" s="557" t="s">
        <v>2391</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2435</v>
      </c>
      <c r="C100" s="557" t="s">
        <v>2387</v>
      </c>
      <c r="D100" s="557" t="s">
        <v>2388</v>
      </c>
      <c r="E100" s="557" t="s">
        <v>2389</v>
      </c>
      <c r="F100" s="557" t="s">
        <v>2390</v>
      </c>
      <c r="G100" s="557" t="s">
        <v>2391</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2436</v>
      </c>
      <c r="C102" s="522" t="s">
        <v>2394</v>
      </c>
      <c r="D102" s="522" t="s">
        <v>2395</v>
      </c>
      <c r="E102" s="522" t="s">
        <v>2396</v>
      </c>
      <c r="F102" s="522" t="s">
        <v>2397</v>
      </c>
      <c r="G102" s="522" t="s">
        <v>2398</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2565</v>
      </c>
      <c r="D104" s="522" t="s">
        <v>2566</v>
      </c>
      <c r="E104" s="522" t="s">
        <v>2567</v>
      </c>
      <c r="F104" s="522" t="s">
        <v>2568</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2467</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2534</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2353</v>
      </c>
      <c r="B116" s="509" t="s">
        <v>2569</v>
      </c>
      <c r="C116" s="1841" t="str">
        <f t="shared" ref="C116:L116" si="25">C117&amp;"(含)"&amp;"-"&amp;D117</f>
        <v>(含)-</v>
      </c>
      <c r="D116" s="1841" t="str">
        <f t="shared" si="25"/>
        <v>(含)-</v>
      </c>
      <c r="E116" s="1841" t="str">
        <f t="shared" si="25"/>
        <v>(含)-</v>
      </c>
      <c r="F116" s="1841" t="str">
        <f t="shared" si="25"/>
        <v>(含)-</v>
      </c>
      <c r="G116" s="1841" t="str">
        <f t="shared" si="25"/>
        <v>(含)-</v>
      </c>
      <c r="H116" s="1841" t="str">
        <f t="shared" si="25"/>
        <v>(含)-</v>
      </c>
      <c r="I116" s="1841" t="str">
        <f t="shared" si="25"/>
        <v>(含)-</v>
      </c>
      <c r="J116" s="1841" t="str">
        <f t="shared" si="25"/>
        <v>(含)-</v>
      </c>
      <c r="K116" s="1841" t="str">
        <f t="shared" si="25"/>
        <v>(含)-</v>
      </c>
      <c r="L116" s="1842" t="str">
        <f t="shared" si="25"/>
        <v>(含)-</v>
      </c>
      <c r="M116" s="1843"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2570</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2571</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2572</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2573</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9" activeCellId="2" sqref="I3 B39 B39"/>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2526</v>
      </c>
      <c r="B1" s="374"/>
      <c r="C1" s="375" t="s">
        <v>2574</v>
      </c>
      <c r="D1" s="733"/>
      <c r="E1" s="733"/>
      <c r="F1" s="732" t="s">
        <v>2323</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1998</v>
      </c>
      <c r="B2" s="654" t="e">
        <f>F61</f>
        <v>#DIV/0!</v>
      </c>
      <c r="C2" s="731" t="s">
        <v>2528</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1999</v>
      </c>
      <c r="B3" s="593" t="e">
        <f>ROUND(B2/'数据-取费表'!B5,0)</f>
        <v>#DIV/0!</v>
      </c>
      <c r="C3" s="731" t="s">
        <v>2529</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2325</v>
      </c>
      <c r="B4" s="381"/>
      <c r="C4" s="3045" t="s">
        <v>2326</v>
      </c>
      <c r="D4" s="3046"/>
      <c r="E4" s="3047" t="s">
        <v>2327</v>
      </c>
      <c r="F4" s="3048"/>
      <c r="G4" s="3045" t="s">
        <v>2328</v>
      </c>
      <c r="H4" s="3046"/>
      <c r="I4" s="3045" t="s">
        <v>2329</v>
      </c>
      <c r="J4" s="3046"/>
      <c r="K4" s="594" t="s">
        <v>2330</v>
      </c>
      <c r="L4" s="1235"/>
      <c r="M4" s="1236"/>
      <c r="N4" s="1236"/>
      <c r="O4" s="1236"/>
      <c r="P4" s="3049" t="s">
        <v>2331</v>
      </c>
      <c r="Q4" s="3050"/>
      <c r="R4" s="3055" t="s">
        <v>2327</v>
      </c>
      <c r="S4" s="3056"/>
      <c r="T4" s="3055" t="s">
        <v>2328</v>
      </c>
      <c r="U4" s="3056"/>
      <c r="V4" s="3061" t="s">
        <v>2329</v>
      </c>
      <c r="W4" s="3061"/>
      <c r="X4" s="1883"/>
      <c r="Y4" s="3055" t="s">
        <v>2331</v>
      </c>
      <c r="Z4" s="3056"/>
      <c r="AA4" s="3042" t="s">
        <v>2327</v>
      </c>
      <c r="AB4" s="3043" t="s">
        <v>2328</v>
      </c>
      <c r="AC4" s="3042" t="s">
        <v>2329</v>
      </c>
    </row>
    <row r="5" spans="1:29" ht="15">
      <c r="A5" s="383"/>
      <c r="B5" s="384"/>
      <c r="C5" s="3064" t="s">
        <v>2332</v>
      </c>
      <c r="D5" s="3065"/>
      <c r="E5" s="3090" t="s">
        <v>2333</v>
      </c>
      <c r="F5" s="3063"/>
      <c r="G5" s="3064" t="s">
        <v>2334</v>
      </c>
      <c r="H5" s="3065"/>
      <c r="I5" s="3064" t="s">
        <v>2335</v>
      </c>
      <c r="J5" s="3065"/>
      <c r="K5" s="594"/>
      <c r="L5" s="1235"/>
      <c r="M5" s="1236"/>
      <c r="N5" s="1236"/>
      <c r="O5" s="1236"/>
      <c r="P5" s="3051"/>
      <c r="Q5" s="3052"/>
      <c r="R5" s="3057"/>
      <c r="S5" s="3058"/>
      <c r="T5" s="3057"/>
      <c r="U5" s="3058"/>
      <c r="V5" s="3061"/>
      <c r="W5" s="3061"/>
      <c r="X5" s="1883"/>
      <c r="Y5" s="3057"/>
      <c r="Z5" s="3058"/>
      <c r="AA5" s="3043"/>
      <c r="AB5" s="3043"/>
      <c r="AC5" s="3043"/>
    </row>
    <row r="6" spans="1:29" ht="15.75" thickBot="1">
      <c r="A6" s="385"/>
      <c r="B6" s="386"/>
      <c r="C6" s="3066" t="s">
        <v>2336</v>
      </c>
      <c r="D6" s="3067"/>
      <c r="E6" s="3068" t="s">
        <v>2336</v>
      </c>
      <c r="F6" s="3069"/>
      <c r="G6" s="3066" t="s">
        <v>2336</v>
      </c>
      <c r="H6" s="3067"/>
      <c r="I6" s="3066" t="s">
        <v>2336</v>
      </c>
      <c r="J6" s="3067"/>
      <c r="K6" s="594" t="s">
        <v>2337</v>
      </c>
      <c r="L6" s="1235"/>
      <c r="M6" s="1236"/>
      <c r="N6" s="1236"/>
      <c r="O6" s="1236"/>
      <c r="P6" s="3053"/>
      <c r="Q6" s="3054"/>
      <c r="R6" s="3057"/>
      <c r="S6" s="3058"/>
      <c r="T6" s="3059"/>
      <c r="U6" s="3060"/>
      <c r="V6" s="3061"/>
      <c r="W6" s="3061"/>
      <c r="X6" s="1883"/>
      <c r="Y6" s="3059"/>
      <c r="Z6" s="3060"/>
      <c r="AA6" s="3044"/>
      <c r="AB6" s="3044"/>
      <c r="AC6" s="3044"/>
    </row>
    <row r="7" spans="1:29" s="35" customFormat="1" ht="15.75" thickBot="1">
      <c r="A7" s="387" t="s">
        <v>2338</v>
      </c>
      <c r="B7" s="388"/>
      <c r="C7" s="389">
        <f>'数据-取费表'!B2</f>
        <v>43999</v>
      </c>
      <c r="D7" s="390">
        <v>100</v>
      </c>
      <c r="E7" s="391"/>
      <c r="F7" s="392">
        <f>SUMIF(65:65,YEAR(E7)&amp;"-"&amp;INT((MONTH(E7)+2)/3),66:66)</f>
        <v>0</v>
      </c>
      <c r="G7" s="2449"/>
      <c r="H7" s="390">
        <f>SUMIF(65:65,YEAR(G7)&amp;"-"&amp;INT((MONTH(G7)+2)/3),66:66)</f>
        <v>0</v>
      </c>
      <c r="I7" s="2449"/>
      <c r="J7" s="390">
        <f>SUMIF(65:65,YEAR(I7)&amp;"-"&amp;INT((MONTH(I7)+2)/3),66:66)</f>
        <v>0</v>
      </c>
      <c r="K7" s="595"/>
      <c r="L7" s="1237"/>
      <c r="M7" s="1238"/>
      <c r="N7" s="1238"/>
      <c r="O7" s="1238"/>
      <c r="P7" s="3077" t="s">
        <v>2339</v>
      </c>
      <c r="Q7" s="3079"/>
      <c r="R7" s="748" t="s">
        <v>25</v>
      </c>
      <c r="S7" s="749">
        <f t="shared" ref="S7:S15" si="0">F7</f>
        <v>0</v>
      </c>
      <c r="T7" s="748" t="s">
        <v>25</v>
      </c>
      <c r="U7" s="749">
        <f t="shared" ref="U7:U15" si="1">H7</f>
        <v>0</v>
      </c>
      <c r="V7" s="748" t="s">
        <v>25</v>
      </c>
      <c r="W7" s="749">
        <f t="shared" ref="W7:W15" si="2">J7</f>
        <v>0</v>
      </c>
      <c r="X7" s="750"/>
      <c r="Y7" s="3077" t="s">
        <v>2339</v>
      </c>
      <c r="Z7" s="3078"/>
      <c r="AA7" s="751" t="e">
        <f>D7/F7</f>
        <v>#DIV/0!</v>
      </c>
      <c r="AB7" s="751" t="e">
        <f>D7/H7</f>
        <v>#DIV/0!</v>
      </c>
      <c r="AC7" s="751" t="e">
        <f>D7/J7</f>
        <v>#DIV/0!</v>
      </c>
    </row>
    <row r="8" spans="1:29" s="35" customFormat="1" ht="15.75" thickBot="1">
      <c r="A8" s="387" t="s">
        <v>2340</v>
      </c>
      <c r="B8" s="388"/>
      <c r="C8" s="394" t="s">
        <v>2530</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77" t="s">
        <v>2342</v>
      </c>
      <c r="Q8" s="3078"/>
      <c r="R8" s="748" t="s">
        <v>25</v>
      </c>
      <c r="S8" s="749">
        <f t="shared" si="0"/>
        <v>0</v>
      </c>
      <c r="T8" s="748" t="s">
        <v>25</v>
      </c>
      <c r="U8" s="749">
        <f t="shared" si="1"/>
        <v>0</v>
      </c>
      <c r="V8" s="748" t="s">
        <v>25</v>
      </c>
      <c r="W8" s="749">
        <f t="shared" si="2"/>
        <v>0</v>
      </c>
      <c r="X8" s="750"/>
      <c r="Y8" s="3077" t="s">
        <v>2342</v>
      </c>
      <c r="Z8" s="3078"/>
      <c r="AA8" s="751" t="e">
        <f t="shared" ref="AA8:AA40" si="3">D8/F8</f>
        <v>#DIV/0!</v>
      </c>
      <c r="AB8" s="751" t="e">
        <f t="shared" ref="AB8:AB40" si="4">D8/H8</f>
        <v>#DIV/0!</v>
      </c>
      <c r="AC8" s="751" t="e">
        <f t="shared" ref="AC8:AC40" si="5">D8/J8</f>
        <v>#DIV/0!</v>
      </c>
    </row>
    <row r="9" spans="1:29" s="35" customFormat="1">
      <c r="A9" s="395" t="s">
        <v>2343</v>
      </c>
      <c r="B9" s="28" t="s">
        <v>2344</v>
      </c>
      <c r="C9" s="2467" t="s">
        <v>2575</v>
      </c>
      <c r="D9" s="51">
        <v>100</v>
      </c>
      <c r="E9" s="2467"/>
      <c r="F9" s="51">
        <f>SUMIF(70:70,E9,71:71)-SUMIF(70:70,C9,71:71)+100</f>
        <v>100</v>
      </c>
      <c r="G9" s="2467"/>
      <c r="H9" s="51">
        <f>SUMIF(70:70,G9,71:71)-SUMIF(70:70,C9,71:71)+100</f>
        <v>100</v>
      </c>
      <c r="I9" s="2467"/>
      <c r="J9" s="51">
        <f>SUMIF(70:70,I9,71:71)-SUMIF(70:70,C9,71:71)+100</f>
        <v>100</v>
      </c>
      <c r="K9" s="595"/>
      <c r="L9" s="1237"/>
      <c r="M9" s="1238"/>
      <c r="N9" s="1238"/>
      <c r="O9" s="1239"/>
      <c r="P9" s="3081" t="s">
        <v>2345</v>
      </c>
      <c r="Q9" s="1870"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29" s="407" customFormat="1" ht="27">
      <c r="A10" s="401"/>
      <c r="B10" s="402" t="s">
        <v>2347</v>
      </c>
      <c r="C10" s="412"/>
      <c r="D10" s="52">
        <v>100</v>
      </c>
      <c r="E10" s="412"/>
      <c r="F10" s="52">
        <f>ROUND(100/'数据-取费表'!B14,0)</f>
        <v>123</v>
      </c>
      <c r="G10" s="412"/>
      <c r="H10" s="52">
        <f>ROUND(100/'数据-取费表'!B14,0)</f>
        <v>123</v>
      </c>
      <c r="I10" s="412"/>
      <c r="J10" s="52">
        <f>ROUND(100/'数据-取费表'!B14,0)</f>
        <v>123</v>
      </c>
      <c r="K10" s="655"/>
      <c r="L10" s="1240"/>
      <c r="M10" s="1241"/>
      <c r="N10" s="1241"/>
      <c r="O10" s="1242"/>
      <c r="P10" s="3081"/>
      <c r="Q10" s="1870" t="str">
        <f t="shared" si="6"/>
        <v>土地使用年限（年）</v>
      </c>
      <c r="R10" s="748" t="s">
        <v>25</v>
      </c>
      <c r="S10" s="749">
        <f t="shared" si="0"/>
        <v>123</v>
      </c>
      <c r="T10" s="748" t="s">
        <v>25</v>
      </c>
      <c r="U10" s="749">
        <f t="shared" si="1"/>
        <v>123</v>
      </c>
      <c r="V10" s="748" t="s">
        <v>25</v>
      </c>
      <c r="W10" s="749">
        <f t="shared" si="2"/>
        <v>123</v>
      </c>
      <c r="X10" s="750"/>
      <c r="Y10" s="2891"/>
      <c r="Z10" s="23" t="str">
        <f t="shared" si="7"/>
        <v>土地使用年限（年）</v>
      </c>
      <c r="AA10" s="751">
        <f t="shared" si="3"/>
        <v>0.81300813008130079</v>
      </c>
      <c r="AB10" s="751">
        <f t="shared" si="4"/>
        <v>0.81300813008130079</v>
      </c>
      <c r="AC10" s="751">
        <f t="shared" si="5"/>
        <v>0.81300813008130079</v>
      </c>
    </row>
    <row r="11" spans="1:29" ht="15">
      <c r="A11" s="408"/>
      <c r="B11" s="402" t="s">
        <v>2348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81"/>
      <c r="Q11" s="1870" t="str">
        <f t="shared" si="6"/>
        <v>容积率</v>
      </c>
      <c r="R11" s="748" t="s">
        <v>25</v>
      </c>
      <c r="S11" s="749" t="e">
        <f t="shared" si="0"/>
        <v>#N/A</v>
      </c>
      <c r="T11" s="748" t="s">
        <v>25</v>
      </c>
      <c r="U11" s="749" t="e">
        <f t="shared" si="1"/>
        <v>#N/A</v>
      </c>
      <c r="V11" s="748" t="s">
        <v>25</v>
      </c>
      <c r="W11" s="749" t="e">
        <f t="shared" si="2"/>
        <v>#N/A</v>
      </c>
      <c r="X11" s="750"/>
      <c r="Y11" s="2891"/>
      <c r="Z11" s="23" t="str">
        <f t="shared" si="7"/>
        <v>容积率</v>
      </c>
      <c r="AA11" s="751" t="e">
        <f t="shared" si="3"/>
        <v>#N/A</v>
      </c>
      <c r="AB11" s="751" t="e">
        <f t="shared" si="4"/>
        <v>#N/A</v>
      </c>
      <c r="AC11" s="751" t="e">
        <f t="shared" si="5"/>
        <v>#N/A</v>
      </c>
    </row>
    <row r="12" spans="1:29" s="35" customFormat="1" ht="15">
      <c r="A12" s="411"/>
      <c r="B12" s="2383">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81"/>
      <c r="Q12" s="1870">
        <f t="shared" si="6"/>
        <v>111</v>
      </c>
      <c r="R12" s="748" t="s">
        <v>25</v>
      </c>
      <c r="S12" s="749">
        <f t="shared" si="0"/>
        <v>100</v>
      </c>
      <c r="T12" s="748" t="s">
        <v>25</v>
      </c>
      <c r="U12" s="749">
        <f t="shared" si="1"/>
        <v>100</v>
      </c>
      <c r="V12" s="748" t="s">
        <v>25</v>
      </c>
      <c r="W12" s="749">
        <f t="shared" si="2"/>
        <v>100</v>
      </c>
      <c r="X12" s="750"/>
      <c r="Y12" s="2891"/>
      <c r="Z12" s="23">
        <f t="shared" si="7"/>
        <v>111</v>
      </c>
      <c r="AA12" s="751">
        <f>D12/F12</f>
        <v>1</v>
      </c>
      <c r="AB12" s="751">
        <f>D12/H12</f>
        <v>1</v>
      </c>
      <c r="AC12" s="751">
        <f>D12/J12</f>
        <v>1</v>
      </c>
    </row>
    <row r="13" spans="1:29" ht="15">
      <c r="A13" s="408"/>
      <c r="B13" s="238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81"/>
      <c r="Q13" s="1870">
        <f t="shared" si="6"/>
        <v>111</v>
      </c>
      <c r="R13" s="748" t="s">
        <v>25</v>
      </c>
      <c r="S13" s="749">
        <f t="shared" si="0"/>
        <v>100</v>
      </c>
      <c r="T13" s="748" t="s">
        <v>25</v>
      </c>
      <c r="U13" s="749">
        <f t="shared" si="1"/>
        <v>100</v>
      </c>
      <c r="V13" s="748" t="s">
        <v>25</v>
      </c>
      <c r="W13" s="749">
        <f t="shared" si="2"/>
        <v>100</v>
      </c>
      <c r="X13" s="750"/>
      <c r="Y13" s="2891"/>
      <c r="Z13" s="23">
        <f t="shared" si="7"/>
        <v>111</v>
      </c>
      <c r="AA13" s="751">
        <f t="shared" si="3"/>
        <v>1</v>
      </c>
      <c r="AB13" s="751">
        <f t="shared" si="4"/>
        <v>1</v>
      </c>
      <c r="AC13" s="751">
        <f t="shared" si="5"/>
        <v>1</v>
      </c>
    </row>
    <row r="14" spans="1:29" ht="15.75" thickBot="1">
      <c r="A14" s="416"/>
      <c r="B14" s="2385">
        <v>111</v>
      </c>
      <c r="C14" s="2386">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81"/>
      <c r="Q14" s="1870">
        <f t="shared" si="6"/>
        <v>111</v>
      </c>
      <c r="R14" s="748" t="s">
        <v>25</v>
      </c>
      <c r="S14" s="749">
        <f t="shared" si="0"/>
        <v>100</v>
      </c>
      <c r="T14" s="748" t="s">
        <v>25</v>
      </c>
      <c r="U14" s="749">
        <f t="shared" si="1"/>
        <v>100</v>
      </c>
      <c r="V14" s="748" t="s">
        <v>25</v>
      </c>
      <c r="W14" s="749">
        <f t="shared" si="2"/>
        <v>100</v>
      </c>
      <c r="X14" s="750"/>
      <c r="Y14" s="2891"/>
      <c r="Z14" s="23">
        <f t="shared" si="7"/>
        <v>111</v>
      </c>
      <c r="AA14" s="751">
        <f t="shared" si="3"/>
        <v>1</v>
      </c>
      <c r="AB14" s="751">
        <f t="shared" si="4"/>
        <v>1</v>
      </c>
      <c r="AC14" s="751">
        <f t="shared" si="5"/>
        <v>1</v>
      </c>
    </row>
    <row r="15" spans="1:29" ht="57">
      <c r="A15" s="419" t="s">
        <v>2349</v>
      </c>
      <c r="B15" s="613" t="s">
        <v>2576</v>
      </c>
      <c r="C15" s="246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70" t="s">
        <v>2350</v>
      </c>
      <c r="Q15" s="1882" t="str">
        <f t="shared" si="6"/>
        <v>产业集聚程度</v>
      </c>
      <c r="R15" s="752" t="s">
        <v>25</v>
      </c>
      <c r="S15" s="753">
        <f t="shared" si="0"/>
        <v>100</v>
      </c>
      <c r="T15" s="752" t="s">
        <v>25</v>
      </c>
      <c r="U15" s="753">
        <f t="shared" si="1"/>
        <v>100</v>
      </c>
      <c r="V15" s="752" t="s">
        <v>25</v>
      </c>
      <c r="W15" s="753">
        <f t="shared" si="2"/>
        <v>100</v>
      </c>
      <c r="X15" s="1883"/>
      <c r="Y15" s="3070" t="s">
        <v>2350</v>
      </c>
      <c r="Z15" s="1885" t="str">
        <f t="shared" si="7"/>
        <v>产业集聚程度</v>
      </c>
      <c r="AA15" s="1886">
        <f t="shared" si="3"/>
        <v>1</v>
      </c>
      <c r="AB15" s="1886">
        <f t="shared" si="4"/>
        <v>1</v>
      </c>
      <c r="AC15" s="1886">
        <f t="shared" si="5"/>
        <v>1</v>
      </c>
    </row>
    <row r="16" spans="1:29" ht="15">
      <c r="A16" s="408"/>
      <c r="B16" s="614"/>
      <c r="C16" s="426"/>
      <c r="D16" s="427"/>
      <c r="E16" s="1464"/>
      <c r="F16" s="427"/>
      <c r="G16" s="1464"/>
      <c r="H16" s="430"/>
      <c r="I16" s="1464"/>
      <c r="J16" s="427"/>
      <c r="K16" s="655"/>
      <c r="L16" s="1245"/>
      <c r="M16" s="1236"/>
      <c r="N16" s="1236"/>
      <c r="O16" s="1244"/>
      <c r="P16" s="3071"/>
      <c r="Q16" s="1882"/>
      <c r="R16" s="752"/>
      <c r="S16" s="753"/>
      <c r="T16" s="752"/>
      <c r="U16" s="753"/>
      <c r="V16" s="752"/>
      <c r="W16" s="753"/>
      <c r="X16" s="1883"/>
      <c r="Y16" s="3071"/>
      <c r="Z16" s="1885"/>
      <c r="AA16" s="1886">
        <v>1</v>
      </c>
      <c r="AB16" s="1886">
        <v>1</v>
      </c>
      <c r="AC16" s="1886">
        <v>1</v>
      </c>
    </row>
    <row r="17" spans="1:29" ht="85.5">
      <c r="A17" s="408"/>
      <c r="B17" s="615" t="s">
        <v>2492</v>
      </c>
      <c r="C17" s="239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71"/>
      <c r="Q17" s="1882" t="str">
        <f>B17</f>
        <v>交通便捷度</v>
      </c>
      <c r="R17" s="752" t="s">
        <v>25</v>
      </c>
      <c r="S17" s="753">
        <f>F17</f>
        <v>100</v>
      </c>
      <c r="T17" s="752" t="s">
        <v>25</v>
      </c>
      <c r="U17" s="753">
        <f>H17</f>
        <v>100</v>
      </c>
      <c r="V17" s="752" t="s">
        <v>25</v>
      </c>
      <c r="W17" s="753">
        <f>J17</f>
        <v>100</v>
      </c>
      <c r="X17" s="1883"/>
      <c r="Y17" s="3071"/>
      <c r="Z17" s="1885" t="str">
        <f>Q17</f>
        <v>交通便捷度</v>
      </c>
      <c r="AA17" s="1886">
        <f t="shared" si="3"/>
        <v>1</v>
      </c>
      <c r="AB17" s="1886">
        <f t="shared" si="4"/>
        <v>1</v>
      </c>
      <c r="AC17" s="1886">
        <f t="shared" si="5"/>
        <v>1</v>
      </c>
    </row>
    <row r="18" spans="1:29" ht="15">
      <c r="A18" s="408"/>
      <c r="B18" s="616"/>
      <c r="C18" s="426"/>
      <c r="D18" s="427"/>
      <c r="E18" s="428"/>
      <c r="F18" s="427"/>
      <c r="G18" s="428"/>
      <c r="H18" s="427"/>
      <c r="I18" s="2388"/>
      <c r="J18" s="427"/>
      <c r="K18" s="655"/>
      <c r="L18" s="1245"/>
      <c r="M18" s="1236"/>
      <c r="N18" s="1236"/>
      <c r="O18" s="1244"/>
      <c r="P18" s="3071"/>
      <c r="Q18" s="1882"/>
      <c r="R18" s="752"/>
      <c r="S18" s="753"/>
      <c r="T18" s="752"/>
      <c r="U18" s="753"/>
      <c r="V18" s="752"/>
      <c r="W18" s="753"/>
      <c r="X18" s="1883"/>
      <c r="Y18" s="3071"/>
      <c r="Z18" s="1885"/>
      <c r="AA18" s="1886">
        <v>1</v>
      </c>
      <c r="AB18" s="1886">
        <v>1</v>
      </c>
      <c r="AC18" s="1886">
        <v>1</v>
      </c>
    </row>
    <row r="19" spans="1:29" ht="15">
      <c r="A19" s="408"/>
      <c r="B19" s="615" t="s">
        <v>2532</v>
      </c>
      <c r="C19" s="239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71"/>
      <c r="Q19" s="1882" t="str">
        <f t="shared" ref="Q19:Q33" si="8">B19</f>
        <v>区域土地利用方向</v>
      </c>
      <c r="R19" s="752" t="s">
        <v>25</v>
      </c>
      <c r="S19" s="753">
        <f>F19</f>
        <v>100</v>
      </c>
      <c r="T19" s="752" t="s">
        <v>25</v>
      </c>
      <c r="U19" s="753">
        <f>H19</f>
        <v>100</v>
      </c>
      <c r="V19" s="752" t="s">
        <v>25</v>
      </c>
      <c r="W19" s="753">
        <f>J19</f>
        <v>100</v>
      </c>
      <c r="X19" s="1883"/>
      <c r="Y19" s="3071"/>
      <c r="Z19" s="1885" t="str">
        <f>Q19</f>
        <v>区域土地利用方向</v>
      </c>
      <c r="AA19" s="1886">
        <f t="shared" si="3"/>
        <v>1</v>
      </c>
      <c r="AB19" s="1886">
        <f t="shared" si="4"/>
        <v>1</v>
      </c>
      <c r="AC19" s="1886">
        <f t="shared" si="5"/>
        <v>1</v>
      </c>
    </row>
    <row r="20" spans="1:29" ht="15">
      <c r="A20" s="383"/>
      <c r="B20" s="616"/>
      <c r="C20" s="426"/>
      <c r="D20" s="427"/>
      <c r="E20" s="428"/>
      <c r="F20" s="427"/>
      <c r="G20" s="428"/>
      <c r="H20" s="427"/>
      <c r="I20" s="428"/>
      <c r="J20" s="427"/>
      <c r="K20" s="803"/>
      <c r="L20" s="1245"/>
      <c r="M20" s="1236"/>
      <c r="N20" s="1236"/>
      <c r="O20" s="1244"/>
      <c r="P20" s="3071"/>
      <c r="Q20" s="1882"/>
      <c r="R20" s="752"/>
      <c r="S20" s="753"/>
      <c r="T20" s="752"/>
      <c r="U20" s="753"/>
      <c r="V20" s="752"/>
      <c r="W20" s="753"/>
      <c r="X20" s="1883"/>
      <c r="Y20" s="3071"/>
      <c r="Z20" s="1885"/>
      <c r="AA20" s="1886"/>
      <c r="AB20" s="1886"/>
      <c r="AC20" s="1886"/>
    </row>
    <row r="21" spans="1:29" ht="71.25">
      <c r="A21" s="383"/>
      <c r="B21" s="615" t="s">
        <v>2577</v>
      </c>
      <c r="C21" s="239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71"/>
      <c r="Q21" s="1882" t="str">
        <f t="shared" si="8"/>
        <v>环境状况</v>
      </c>
      <c r="R21" s="752" t="s">
        <v>25</v>
      </c>
      <c r="S21" s="753">
        <f>F21</f>
        <v>100</v>
      </c>
      <c r="T21" s="752" t="s">
        <v>25</v>
      </c>
      <c r="U21" s="753">
        <f>H21</f>
        <v>100</v>
      </c>
      <c r="V21" s="752" t="s">
        <v>25</v>
      </c>
      <c r="W21" s="753">
        <f>J21</f>
        <v>100</v>
      </c>
      <c r="X21" s="1883"/>
      <c r="Y21" s="3071"/>
      <c r="Z21" s="1885" t="str">
        <f>Q21</f>
        <v>环境状况</v>
      </c>
      <c r="AA21" s="1886">
        <f t="shared" si="3"/>
        <v>1</v>
      </c>
      <c r="AB21" s="1886">
        <f t="shared" si="4"/>
        <v>1</v>
      </c>
      <c r="AC21" s="1886">
        <f t="shared" si="5"/>
        <v>1</v>
      </c>
    </row>
    <row r="22" spans="1:29" ht="15">
      <c r="A22" s="383"/>
      <c r="B22" s="616"/>
      <c r="C22" s="426"/>
      <c r="D22" s="427"/>
      <c r="E22" s="1464"/>
      <c r="F22" s="427"/>
      <c r="G22" s="1464"/>
      <c r="H22" s="427"/>
      <c r="I22" s="426"/>
      <c r="J22" s="427"/>
      <c r="K22" s="655"/>
      <c r="L22" s="1245"/>
      <c r="M22" s="1236"/>
      <c r="N22" s="1236"/>
      <c r="O22" s="1244"/>
      <c r="P22" s="3071"/>
      <c r="Q22" s="1882"/>
      <c r="R22" s="752"/>
      <c r="S22" s="753"/>
      <c r="T22" s="752"/>
      <c r="U22" s="753"/>
      <c r="V22" s="752"/>
      <c r="W22" s="753"/>
      <c r="X22" s="1883"/>
      <c r="Y22" s="3071"/>
      <c r="Z22" s="1885"/>
      <c r="AA22" s="1886">
        <v>1</v>
      </c>
      <c r="AB22" s="1886">
        <v>1</v>
      </c>
      <c r="AC22" s="1886">
        <v>1</v>
      </c>
    </row>
    <row r="23" spans="1:29" s="35" customFormat="1" ht="42.75">
      <c r="A23" s="633"/>
      <c r="B23" s="615" t="s">
        <v>2435</v>
      </c>
      <c r="C23" s="239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71"/>
      <c r="Q23" s="1870" t="str">
        <f t="shared" si="8"/>
        <v>公共配套设施</v>
      </c>
      <c r="R23" s="748" t="s">
        <v>25</v>
      </c>
      <c r="S23" s="749">
        <f>F23</f>
        <v>100</v>
      </c>
      <c r="T23" s="748" t="s">
        <v>25</v>
      </c>
      <c r="U23" s="749">
        <f>H23</f>
        <v>100</v>
      </c>
      <c r="V23" s="748" t="s">
        <v>25</v>
      </c>
      <c r="W23" s="749">
        <f>J23</f>
        <v>100</v>
      </c>
      <c r="X23" s="750"/>
      <c r="Y23" s="3071"/>
      <c r="Z23" s="23" t="str">
        <f>Q23</f>
        <v>公共配套设施</v>
      </c>
      <c r="AA23" s="1886">
        <f>D23/F23</f>
        <v>1</v>
      </c>
      <c r="AB23" s="1886">
        <f>D23/H23</f>
        <v>1</v>
      </c>
      <c r="AC23" s="1886">
        <f>D23/J23</f>
        <v>1</v>
      </c>
    </row>
    <row r="24" spans="1:29" s="35" customFormat="1" ht="15">
      <c r="A24" s="633"/>
      <c r="B24" s="616"/>
      <c r="C24" s="2481"/>
      <c r="D24" s="427"/>
      <c r="E24" s="1464"/>
      <c r="F24" s="427"/>
      <c r="G24" s="1464"/>
      <c r="H24" s="427"/>
      <c r="I24" s="426"/>
      <c r="J24" s="427"/>
      <c r="K24" s="655"/>
      <c r="L24" s="1237"/>
      <c r="M24" s="1238"/>
      <c r="N24" s="1238"/>
      <c r="O24" s="1239"/>
      <c r="P24" s="3071"/>
      <c r="Q24" s="1870"/>
      <c r="R24" s="748"/>
      <c r="S24" s="749"/>
      <c r="T24" s="748"/>
      <c r="U24" s="749"/>
      <c r="V24" s="748"/>
      <c r="W24" s="749"/>
      <c r="X24" s="750"/>
      <c r="Y24" s="3071"/>
      <c r="Z24" s="23"/>
      <c r="AA24" s="751">
        <v>1</v>
      </c>
      <c r="AB24" s="751">
        <v>1</v>
      </c>
      <c r="AC24" s="751">
        <v>1</v>
      </c>
    </row>
    <row r="25" spans="1:29" s="35" customFormat="1" ht="28.5">
      <c r="A25" s="633"/>
      <c r="B25" s="617" t="s">
        <v>2436</v>
      </c>
      <c r="C25" s="239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71"/>
      <c r="Q25" s="1870" t="str">
        <f t="shared" ref="Q25" si="9">B25</f>
        <v>基础设施水平</v>
      </c>
      <c r="R25" s="748" t="s">
        <v>25</v>
      </c>
      <c r="S25" s="749">
        <f>F25</f>
        <v>100</v>
      </c>
      <c r="T25" s="748" t="s">
        <v>25</v>
      </c>
      <c r="U25" s="749">
        <f>H25</f>
        <v>100</v>
      </c>
      <c r="V25" s="748" t="s">
        <v>25</v>
      </c>
      <c r="W25" s="749">
        <f>J25</f>
        <v>100</v>
      </c>
      <c r="X25" s="750"/>
      <c r="Y25" s="3071"/>
      <c r="Z25" s="23" t="str">
        <f>Q25</f>
        <v>基础设施水平</v>
      </c>
      <c r="AA25" s="1886">
        <f>D25/F25</f>
        <v>1</v>
      </c>
      <c r="AB25" s="1886">
        <f>D25/H25</f>
        <v>1</v>
      </c>
      <c r="AC25" s="1886">
        <f>D25/J25</f>
        <v>1</v>
      </c>
    </row>
    <row r="26" spans="1:29" s="35" customFormat="1" ht="15">
      <c r="A26" s="633"/>
      <c r="B26" s="616"/>
      <c r="C26" s="2481"/>
      <c r="D26" s="427"/>
      <c r="E26" s="2470"/>
      <c r="F26" s="427"/>
      <c r="G26" s="2470"/>
      <c r="H26" s="427"/>
      <c r="I26" s="2470"/>
      <c r="J26" s="427"/>
      <c r="K26" s="655"/>
      <c r="L26" s="1237"/>
      <c r="M26" s="1238"/>
      <c r="N26" s="1238"/>
      <c r="O26" s="1239"/>
      <c r="P26" s="3071"/>
      <c r="Q26" s="1870"/>
      <c r="R26" s="748"/>
      <c r="S26" s="749"/>
      <c r="T26" s="748"/>
      <c r="U26" s="749"/>
      <c r="V26" s="748"/>
      <c r="W26" s="749"/>
      <c r="X26" s="750"/>
      <c r="Y26" s="3071"/>
      <c r="Z26" s="23"/>
      <c r="AA26" s="751">
        <v>1</v>
      </c>
      <c r="AB26" s="751">
        <v>1</v>
      </c>
      <c r="AC26" s="751">
        <v>1</v>
      </c>
    </row>
    <row r="27" spans="1:29" ht="15">
      <c r="A27" s="408"/>
      <c r="B27" s="616" t="s">
        <v>2437</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71"/>
      <c r="Q27" s="1882" t="str">
        <f t="shared" si="8"/>
        <v>临街状况</v>
      </c>
      <c r="R27" s="752" t="s">
        <v>25</v>
      </c>
      <c r="S27" s="753">
        <f t="shared" ref="S27:S40" si="10">F27</f>
        <v>100</v>
      </c>
      <c r="T27" s="752" t="s">
        <v>25</v>
      </c>
      <c r="U27" s="753">
        <f t="shared" ref="U27:U40" si="11">H27</f>
        <v>100</v>
      </c>
      <c r="V27" s="752" t="s">
        <v>25</v>
      </c>
      <c r="W27" s="753">
        <f t="shared" ref="W27:W40" si="12">J27</f>
        <v>100</v>
      </c>
      <c r="X27" s="1883"/>
      <c r="Y27" s="3071"/>
      <c r="Z27" s="1885" t="str">
        <f t="shared" ref="Z27:Z40" si="13">Q27</f>
        <v>临街状况</v>
      </c>
      <c r="AA27" s="1886">
        <f t="shared" si="3"/>
        <v>1</v>
      </c>
      <c r="AB27" s="1886">
        <f t="shared" si="4"/>
        <v>1</v>
      </c>
      <c r="AC27" s="1886">
        <f t="shared" si="5"/>
        <v>1</v>
      </c>
    </row>
    <row r="28" spans="1:29" ht="27">
      <c r="A28" s="408"/>
      <c r="B28" s="617" t="s">
        <v>2467</v>
      </c>
      <c r="C28" s="248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71"/>
      <c r="Q28" s="1882" t="str">
        <f t="shared" si="8"/>
        <v>毗邻道路的类型与等级</v>
      </c>
      <c r="R28" s="752" t="s">
        <v>25</v>
      </c>
      <c r="S28" s="753">
        <f t="shared" si="10"/>
        <v>100</v>
      </c>
      <c r="T28" s="752" t="s">
        <v>25</v>
      </c>
      <c r="U28" s="753">
        <f t="shared" si="11"/>
        <v>100</v>
      </c>
      <c r="V28" s="752" t="s">
        <v>25</v>
      </c>
      <c r="W28" s="753">
        <f t="shared" si="12"/>
        <v>100</v>
      </c>
      <c r="X28" s="1883"/>
      <c r="Y28" s="3071"/>
      <c r="Z28" s="1885" t="str">
        <f t="shared" si="13"/>
        <v>毗邻道路的类型与等级</v>
      </c>
      <c r="AA28" s="1886">
        <f t="shared" si="3"/>
        <v>1</v>
      </c>
      <c r="AB28" s="1886">
        <f t="shared" si="4"/>
        <v>1</v>
      </c>
      <c r="AC28" s="1886">
        <f t="shared" si="5"/>
        <v>1</v>
      </c>
    </row>
    <row r="29" spans="1:29" ht="15">
      <c r="A29" s="408"/>
      <c r="B29" s="616"/>
      <c r="C29" s="426"/>
      <c r="D29" s="427"/>
      <c r="E29" s="1464"/>
      <c r="F29" s="427"/>
      <c r="G29" s="1464"/>
      <c r="H29" s="427"/>
      <c r="I29" s="1464"/>
      <c r="J29" s="427"/>
      <c r="K29" s="597"/>
      <c r="L29" s="1245"/>
      <c r="M29" s="1236"/>
      <c r="N29" s="1236"/>
      <c r="O29" s="1244"/>
      <c r="P29" s="3071"/>
      <c r="Q29" s="1882"/>
      <c r="R29" s="752"/>
      <c r="S29" s="753"/>
      <c r="T29" s="752"/>
      <c r="U29" s="753"/>
      <c r="V29" s="752"/>
      <c r="W29" s="753"/>
      <c r="X29" s="1883"/>
      <c r="Y29" s="3071"/>
      <c r="Z29" s="1885"/>
      <c r="AA29" s="1886">
        <v>1</v>
      </c>
      <c r="AB29" s="1886">
        <v>1</v>
      </c>
      <c r="AC29" s="1886">
        <v>1</v>
      </c>
    </row>
    <row r="30" spans="1:29" ht="15">
      <c r="A30" s="408"/>
      <c r="B30" s="637" t="s">
        <v>2534</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71"/>
      <c r="Q30" s="1882" t="str">
        <f t="shared" si="8"/>
        <v>土地级别</v>
      </c>
      <c r="R30" s="752" t="s">
        <v>25</v>
      </c>
      <c r="S30" s="753">
        <f t="shared" si="10"/>
        <v>100</v>
      </c>
      <c r="T30" s="752" t="s">
        <v>25</v>
      </c>
      <c r="U30" s="753">
        <f t="shared" si="11"/>
        <v>100</v>
      </c>
      <c r="V30" s="752" t="s">
        <v>25</v>
      </c>
      <c r="W30" s="753">
        <f t="shared" si="12"/>
        <v>100</v>
      </c>
      <c r="X30" s="1883"/>
      <c r="Y30" s="3071"/>
      <c r="Z30" s="1885" t="str">
        <f t="shared" si="13"/>
        <v>土地级别</v>
      </c>
      <c r="AA30" s="1886">
        <f t="shared" si="3"/>
        <v>1</v>
      </c>
      <c r="AB30" s="1886">
        <f t="shared" si="4"/>
        <v>1</v>
      </c>
      <c r="AC30" s="1886">
        <f t="shared" si="5"/>
        <v>1</v>
      </c>
    </row>
    <row r="31" spans="1:29" ht="15">
      <c r="A31" s="383"/>
      <c r="B31" s="245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71"/>
      <c r="Q31" s="1882">
        <f t="shared" si="8"/>
        <v>111</v>
      </c>
      <c r="R31" s="752" t="s">
        <v>25</v>
      </c>
      <c r="S31" s="753">
        <f t="shared" si="10"/>
        <v>100</v>
      </c>
      <c r="T31" s="752" t="s">
        <v>25</v>
      </c>
      <c r="U31" s="753">
        <f t="shared" si="11"/>
        <v>100</v>
      </c>
      <c r="V31" s="752" t="s">
        <v>25</v>
      </c>
      <c r="W31" s="753">
        <f t="shared" si="12"/>
        <v>100</v>
      </c>
      <c r="X31" s="1883"/>
      <c r="Y31" s="3071"/>
      <c r="Z31" s="1885">
        <f t="shared" si="13"/>
        <v>111</v>
      </c>
      <c r="AA31" s="1886">
        <f t="shared" si="3"/>
        <v>1</v>
      </c>
      <c r="AB31" s="1886">
        <f t="shared" si="4"/>
        <v>1</v>
      </c>
      <c r="AC31" s="1886">
        <f t="shared" si="5"/>
        <v>1</v>
      </c>
    </row>
    <row r="32" spans="1:29" ht="15">
      <c r="A32" s="658"/>
      <c r="B32" s="248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98" t="s">
        <v>2355</v>
      </c>
      <c r="Q32" s="1882">
        <f t="shared" si="8"/>
        <v>111</v>
      </c>
      <c r="R32" s="752" t="s">
        <v>25</v>
      </c>
      <c r="S32" s="753">
        <f t="shared" si="10"/>
        <v>100</v>
      </c>
      <c r="T32" s="752" t="s">
        <v>25</v>
      </c>
      <c r="U32" s="753">
        <f t="shared" si="11"/>
        <v>100</v>
      </c>
      <c r="V32" s="752" t="s">
        <v>25</v>
      </c>
      <c r="W32" s="753">
        <f t="shared" si="12"/>
        <v>100</v>
      </c>
      <c r="X32" s="1883"/>
      <c r="Y32" s="3075" t="s">
        <v>2355</v>
      </c>
      <c r="Z32" s="1885">
        <f t="shared" si="13"/>
        <v>111</v>
      </c>
      <c r="AA32" s="1886">
        <f t="shared" si="3"/>
        <v>1</v>
      </c>
      <c r="AB32" s="1886">
        <f t="shared" si="4"/>
        <v>1</v>
      </c>
      <c r="AC32" s="1886">
        <f t="shared" si="5"/>
        <v>1</v>
      </c>
    </row>
    <row r="33" spans="1:29" s="452" customFormat="1" ht="15.75" thickBot="1">
      <c r="A33" s="659"/>
      <c r="B33" s="248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75"/>
      <c r="Q33" s="1882">
        <f t="shared" si="8"/>
        <v>111</v>
      </c>
      <c r="R33" s="755" t="s">
        <v>25</v>
      </c>
      <c r="S33" s="756">
        <f t="shared" si="10"/>
        <v>100</v>
      </c>
      <c r="T33" s="755" t="s">
        <v>25</v>
      </c>
      <c r="U33" s="756">
        <f t="shared" si="11"/>
        <v>100</v>
      </c>
      <c r="V33" s="755" t="s">
        <v>25</v>
      </c>
      <c r="W33" s="756">
        <f t="shared" si="12"/>
        <v>100</v>
      </c>
      <c r="X33" s="757"/>
      <c r="Y33" s="3075"/>
      <c r="Z33" s="758">
        <f t="shared" si="13"/>
        <v>111</v>
      </c>
      <c r="AA33" s="1886">
        <f t="shared" si="3"/>
        <v>1</v>
      </c>
      <c r="AB33" s="1886">
        <f t="shared" si="4"/>
        <v>1</v>
      </c>
      <c r="AC33" s="1886">
        <f t="shared" si="5"/>
        <v>1</v>
      </c>
    </row>
    <row r="34" spans="1:29" ht="28.5">
      <c r="A34" s="453" t="s">
        <v>2353</v>
      </c>
      <c r="B34" s="436" t="s">
        <v>2535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75"/>
      <c r="Q34" s="1882" t="str">
        <f>B34</f>
        <v>宗地面积</v>
      </c>
      <c r="R34" s="752" t="s">
        <v>25</v>
      </c>
      <c r="S34" s="753" t="e">
        <f t="shared" si="10"/>
        <v>#N/A</v>
      </c>
      <c r="T34" s="752" t="s">
        <v>25</v>
      </c>
      <c r="U34" s="753" t="e">
        <f t="shared" si="11"/>
        <v>#N/A</v>
      </c>
      <c r="V34" s="752" t="s">
        <v>25</v>
      </c>
      <c r="W34" s="753" t="e">
        <f t="shared" si="12"/>
        <v>#N/A</v>
      </c>
      <c r="X34" s="1883"/>
      <c r="Y34" s="3075"/>
      <c r="Z34" s="1885" t="str">
        <f t="shared" si="13"/>
        <v>宗地面积</v>
      </c>
      <c r="AA34" s="1886" t="e">
        <f t="shared" si="3"/>
        <v>#N/A</v>
      </c>
      <c r="AB34" s="1886" t="e">
        <f t="shared" si="4"/>
        <v>#N/A</v>
      </c>
      <c r="AC34" s="1886" t="e">
        <f t="shared" si="5"/>
        <v>#N/A</v>
      </c>
    </row>
    <row r="35" spans="1:29" ht="15">
      <c r="A35" s="453"/>
      <c r="B35" s="402" t="s">
        <v>2536</v>
      </c>
      <c r="C35" s="2395"/>
      <c r="D35" s="415">
        <v>100</v>
      </c>
      <c r="E35" s="2395"/>
      <c r="F35" s="415">
        <f>SUMIF(110:110,E35,111:111)-SUMIF(110:110,C35,111:111)+100</f>
        <v>100</v>
      </c>
      <c r="G35" s="2395"/>
      <c r="H35" s="415">
        <f>SUMIF(110:110,G35,111:111)-SUMIF(110:110,C35,111:111)+100</f>
        <v>100</v>
      </c>
      <c r="I35" s="2395"/>
      <c r="J35" s="415">
        <f>SUMIF(110:110,I35,111:111)-SUMIF(110:110,C35,111:111)+100</f>
        <v>100</v>
      </c>
      <c r="K35" s="596"/>
      <c r="L35" s="1245"/>
      <c r="M35" s="1236"/>
      <c r="N35" s="1236"/>
      <c r="O35" s="1244"/>
      <c r="P35" s="3075"/>
      <c r="Q35" s="1882" t="str">
        <f t="shared" ref="Q35:Q40" si="14">B35</f>
        <v>宗地形状</v>
      </c>
      <c r="R35" s="752" t="s">
        <v>25</v>
      </c>
      <c r="S35" s="753">
        <f t="shared" si="10"/>
        <v>100</v>
      </c>
      <c r="T35" s="752" t="s">
        <v>25</v>
      </c>
      <c r="U35" s="753">
        <f t="shared" si="11"/>
        <v>100</v>
      </c>
      <c r="V35" s="752" t="s">
        <v>25</v>
      </c>
      <c r="W35" s="753">
        <f t="shared" si="12"/>
        <v>100</v>
      </c>
      <c r="X35" s="1883"/>
      <c r="Y35" s="3075"/>
      <c r="Z35" s="1885" t="str">
        <f t="shared" si="13"/>
        <v>宗地形状</v>
      </c>
      <c r="AA35" s="1886">
        <f t="shared" si="3"/>
        <v>1</v>
      </c>
      <c r="AB35" s="1886">
        <f t="shared" si="4"/>
        <v>1</v>
      </c>
      <c r="AC35" s="1886">
        <f t="shared" si="5"/>
        <v>1</v>
      </c>
    </row>
    <row r="36" spans="1:29" s="35" customFormat="1" ht="15">
      <c r="A36" s="454"/>
      <c r="B36" s="402" t="s">
        <v>2538</v>
      </c>
      <c r="C36" s="2472"/>
      <c r="D36" s="52">
        <v>100</v>
      </c>
      <c r="E36" s="2472"/>
      <c r="F36" s="415">
        <f>SUMIF(112:112,E36,113:113)-SUMIF(112:112,C36,113:113)+100</f>
        <v>100</v>
      </c>
      <c r="G36" s="2472"/>
      <c r="H36" s="415">
        <f>SUMIF(112:112,G36,113:113)-SUMIF(112:112,C36,113:113)+100</f>
        <v>100</v>
      </c>
      <c r="I36" s="2472"/>
      <c r="J36" s="415">
        <f>SUMIF(112:112,I36,113:113)-SUMIF(112:112,C36,113:113)+100</f>
        <v>100</v>
      </c>
      <c r="K36" s="596"/>
      <c r="L36" s="1237"/>
      <c r="M36" s="1238"/>
      <c r="N36" s="1238"/>
      <c r="O36" s="1239"/>
      <c r="P36" s="3075"/>
      <c r="Q36" s="1882" t="str">
        <f t="shared" si="14"/>
        <v>宗地开发程度</v>
      </c>
      <c r="R36" s="748" t="s">
        <v>25</v>
      </c>
      <c r="S36" s="749">
        <f t="shared" si="10"/>
        <v>100</v>
      </c>
      <c r="T36" s="748" t="s">
        <v>25</v>
      </c>
      <c r="U36" s="749">
        <f t="shared" si="11"/>
        <v>100</v>
      </c>
      <c r="V36" s="748" t="s">
        <v>25</v>
      </c>
      <c r="W36" s="749">
        <f t="shared" si="12"/>
        <v>100</v>
      </c>
      <c r="X36" s="750"/>
      <c r="Y36" s="3075"/>
      <c r="Z36" s="23" t="str">
        <f t="shared" si="13"/>
        <v>宗地开发程度</v>
      </c>
      <c r="AA36" s="751">
        <f t="shared" si="3"/>
        <v>1</v>
      </c>
      <c r="AB36" s="751">
        <f t="shared" si="4"/>
        <v>1</v>
      </c>
      <c r="AC36" s="751">
        <f t="shared" si="5"/>
        <v>1</v>
      </c>
    </row>
    <row r="37" spans="1:29" ht="15">
      <c r="A37" s="453"/>
      <c r="B37" s="402" t="s">
        <v>2539</v>
      </c>
      <c r="C37" s="2395"/>
      <c r="D37" s="415">
        <v>100</v>
      </c>
      <c r="E37" s="2395"/>
      <c r="F37" s="415">
        <f>SUMIF(114:114,E37,115:115)-SUMIF(114:114,C37,115:115)+100</f>
        <v>100</v>
      </c>
      <c r="G37" s="2395"/>
      <c r="H37" s="415">
        <f>SUMIF(114:114,G37,115:115)-SUMIF(114:114,C37,115:115)+100</f>
        <v>100</v>
      </c>
      <c r="I37" s="2395"/>
      <c r="J37" s="415">
        <f>SUMIF(114:114,I37,115:115)-SUMIF(114:114,C37,115:115)+100</f>
        <v>100</v>
      </c>
      <c r="K37" s="596"/>
      <c r="L37" s="1245"/>
      <c r="M37" s="1236"/>
      <c r="N37" s="1236"/>
      <c r="O37" s="1244"/>
      <c r="P37" s="3075" t="s">
        <v>2355</v>
      </c>
      <c r="Q37" s="1882" t="str">
        <f t="shared" si="14"/>
        <v>工程地质条件</v>
      </c>
      <c r="R37" s="752" t="s">
        <v>25</v>
      </c>
      <c r="S37" s="753">
        <f t="shared" si="10"/>
        <v>100</v>
      </c>
      <c r="T37" s="752" t="s">
        <v>25</v>
      </c>
      <c r="U37" s="753">
        <f t="shared" si="11"/>
        <v>100</v>
      </c>
      <c r="V37" s="752" t="s">
        <v>25</v>
      </c>
      <c r="W37" s="753">
        <f t="shared" si="12"/>
        <v>100</v>
      </c>
      <c r="X37" s="1883"/>
      <c r="Y37" s="3075" t="s">
        <v>2355</v>
      </c>
      <c r="Z37" s="1885" t="str">
        <f t="shared" si="13"/>
        <v>工程地质条件</v>
      </c>
      <c r="AA37" s="1886">
        <f t="shared" si="3"/>
        <v>1</v>
      </c>
      <c r="AB37" s="1886">
        <f t="shared" si="4"/>
        <v>1</v>
      </c>
      <c r="AC37" s="1886">
        <f t="shared" si="5"/>
        <v>1</v>
      </c>
    </row>
    <row r="38" spans="1:29" ht="15">
      <c r="A38" s="453"/>
      <c r="B38" s="247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75"/>
      <c r="Q38" s="1882">
        <f t="shared" si="14"/>
        <v>111</v>
      </c>
      <c r="R38" s="752" t="s">
        <v>25</v>
      </c>
      <c r="S38" s="753">
        <f t="shared" si="10"/>
        <v>100</v>
      </c>
      <c r="T38" s="752" t="s">
        <v>25</v>
      </c>
      <c r="U38" s="753">
        <f t="shared" si="11"/>
        <v>100</v>
      </c>
      <c r="V38" s="752" t="s">
        <v>25</v>
      </c>
      <c r="W38" s="753">
        <f t="shared" si="12"/>
        <v>100</v>
      </c>
      <c r="X38" s="1883"/>
      <c r="Y38" s="3075"/>
      <c r="Z38" s="1885">
        <f t="shared" si="13"/>
        <v>111</v>
      </c>
      <c r="AA38" s="1886">
        <f t="shared" si="3"/>
        <v>1</v>
      </c>
      <c r="AB38" s="1886">
        <f t="shared" si="4"/>
        <v>1</v>
      </c>
      <c r="AC38" s="1886">
        <f t="shared" si="5"/>
        <v>1</v>
      </c>
    </row>
    <row r="39" spans="1:29" ht="15">
      <c r="A39" s="453"/>
      <c r="B39" s="247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75"/>
      <c r="Q39" s="1882">
        <f t="shared" si="14"/>
        <v>111</v>
      </c>
      <c r="R39" s="752" t="s">
        <v>25</v>
      </c>
      <c r="S39" s="753">
        <f t="shared" si="10"/>
        <v>100</v>
      </c>
      <c r="T39" s="752" t="s">
        <v>25</v>
      </c>
      <c r="U39" s="753">
        <f t="shared" si="11"/>
        <v>100</v>
      </c>
      <c r="V39" s="752" t="s">
        <v>25</v>
      </c>
      <c r="W39" s="753">
        <f t="shared" si="12"/>
        <v>100</v>
      </c>
      <c r="X39" s="1883"/>
      <c r="Y39" s="3075"/>
      <c r="Z39" s="1885">
        <f t="shared" si="13"/>
        <v>111</v>
      </c>
      <c r="AA39" s="1886">
        <f t="shared" si="3"/>
        <v>1</v>
      </c>
      <c r="AB39" s="1886">
        <f t="shared" si="4"/>
        <v>1</v>
      </c>
      <c r="AC39" s="1886">
        <f t="shared" si="5"/>
        <v>1</v>
      </c>
    </row>
    <row r="40" spans="1:29" s="452" customFormat="1" ht="15.75" thickBot="1">
      <c r="A40" s="449"/>
      <c r="B40" s="2473">
        <v>111</v>
      </c>
      <c r="C40" s="2474"/>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75"/>
      <c r="Q40" s="1882">
        <f t="shared" si="14"/>
        <v>111</v>
      </c>
      <c r="R40" s="755" t="s">
        <v>25</v>
      </c>
      <c r="S40" s="756">
        <f t="shared" si="10"/>
        <v>100</v>
      </c>
      <c r="T40" s="755" t="s">
        <v>25</v>
      </c>
      <c r="U40" s="756">
        <f t="shared" si="11"/>
        <v>100</v>
      </c>
      <c r="V40" s="755" t="s">
        <v>25</v>
      </c>
      <c r="W40" s="756">
        <f t="shared" si="12"/>
        <v>100</v>
      </c>
      <c r="X40" s="757"/>
      <c r="Y40" s="3075"/>
      <c r="Z40" s="758">
        <f t="shared" si="13"/>
        <v>111</v>
      </c>
      <c r="AA40" s="1886">
        <f t="shared" si="3"/>
        <v>1</v>
      </c>
      <c r="AB40" s="1886">
        <f t="shared" si="4"/>
        <v>1</v>
      </c>
      <c r="AC40" s="1886">
        <f t="shared" si="5"/>
        <v>1</v>
      </c>
    </row>
    <row r="41" spans="1:29" ht="15">
      <c r="A41" s="460" t="s">
        <v>2503</v>
      </c>
      <c r="B41" s="2475" t="s">
        <v>2578</v>
      </c>
      <c r="C41" s="665" t="s">
        <v>1</v>
      </c>
      <c r="D41" s="462"/>
      <c r="E41" s="463"/>
      <c r="F41" s="464"/>
      <c r="G41" s="465"/>
      <c r="H41" s="466"/>
      <c r="I41" s="463"/>
      <c r="J41" s="466"/>
      <c r="K41" s="761"/>
      <c r="L41" s="1248"/>
      <c r="M41" s="1236"/>
      <c r="N41" s="1236"/>
      <c r="O41" s="1249"/>
      <c r="P41" s="3081" t="str">
        <f>A41</f>
        <v>成交单价</v>
      </c>
      <c r="Q41" s="3081"/>
      <c r="R41" s="3061">
        <f>E41</f>
        <v>0</v>
      </c>
      <c r="S41" s="3061"/>
      <c r="T41" s="3061">
        <f>G41</f>
        <v>0</v>
      </c>
      <c r="U41" s="3061"/>
      <c r="V41" s="3061">
        <f>I41</f>
        <v>0</v>
      </c>
      <c r="W41" s="3061"/>
      <c r="X41" s="737"/>
      <c r="Y41" s="759"/>
      <c r="Z41" s="737"/>
      <c r="AA41" s="737"/>
      <c r="AB41" s="737"/>
      <c r="AC41" s="737"/>
    </row>
    <row r="42" spans="1:29" ht="15.75" thickBot="1">
      <c r="A42" s="467" t="s">
        <v>2450</v>
      </c>
      <c r="B42" s="666"/>
      <c r="C42" s="471" t="e">
        <f>R43</f>
        <v>#DIV/0!</v>
      </c>
      <c r="D42" s="470"/>
      <c r="E42" s="471" t="e">
        <f>R42</f>
        <v>#DIV/0!</v>
      </c>
      <c r="F42" s="472"/>
      <c r="G42" s="469" t="e">
        <f>T42</f>
        <v>#DIV/0!</v>
      </c>
      <c r="H42" s="470"/>
      <c r="I42" s="471" t="e">
        <f>V42</f>
        <v>#DIV/0!</v>
      </c>
      <c r="J42" s="470"/>
      <c r="K42" s="762"/>
      <c r="L42" s="1248"/>
      <c r="M42" s="1236"/>
      <c r="N42" s="1236"/>
      <c r="O42" s="1249"/>
      <c r="P42" s="3081" t="str">
        <f>A42</f>
        <v>比较价值（元/平方米）</v>
      </c>
      <c r="Q42" s="3081"/>
      <c r="R42" s="3099" t="e">
        <f>ROUND(PRODUCT(R41,AA7:AA40),0)</f>
        <v>#DIV/0!</v>
      </c>
      <c r="S42" s="3099"/>
      <c r="T42" s="3099" t="e">
        <f>ROUND(PRODUCT(T41,AB7:AB40),0)</f>
        <v>#DIV/0!</v>
      </c>
      <c r="U42" s="3099"/>
      <c r="V42" s="3099" t="e">
        <f>ROUND(PRODUCT(V41,AC7:AC40),0)</f>
        <v>#DIV/0!</v>
      </c>
      <c r="W42" s="3099"/>
      <c r="X42" s="737"/>
      <c r="Y42" s="737"/>
      <c r="Z42" s="737"/>
      <c r="AA42" s="737"/>
      <c r="AB42" s="737"/>
      <c r="AC42" s="737"/>
    </row>
    <row r="43" spans="1:29" ht="15.75" thickBot="1">
      <c r="A43" s="473" t="s">
        <v>2473</v>
      </c>
      <c r="B43" s="474"/>
      <c r="C43" s="475" t="e">
        <f>R43</f>
        <v>#DIV/0!</v>
      </c>
      <c r="D43" s="475"/>
      <c r="E43" s="475"/>
      <c r="F43" s="475"/>
      <c r="G43" s="475"/>
      <c r="H43" s="475"/>
      <c r="I43" s="475"/>
      <c r="J43" s="475"/>
      <c r="K43" s="763"/>
      <c r="L43" s="1248"/>
      <c r="M43" s="1236"/>
      <c r="N43" s="1236"/>
      <c r="O43" s="1249"/>
      <c r="P43" s="3087" t="str">
        <f>A43</f>
        <v>估价对象XX用房的比较价值（楼面单价，元/平方米）</v>
      </c>
      <c r="Q43" s="3088"/>
      <c r="R43" s="3100" t="e">
        <f>ROUND(AVERAGE(R42:V42),0)</f>
        <v>#DIV/0!</v>
      </c>
      <c r="S43" s="3100"/>
      <c r="T43" s="3100"/>
      <c r="U43" s="3100"/>
      <c r="V43" s="3100"/>
      <c r="W43" s="3100"/>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2452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2453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2454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2541</v>
      </c>
      <c r="B50" s="668" t="s">
        <v>2542</v>
      </c>
      <c r="C50" s="2476" t="s">
        <v>2543</v>
      </c>
      <c r="D50" s="2477" t="s">
        <v>2544</v>
      </c>
      <c r="E50" s="669" t="s">
        <v>2545</v>
      </c>
      <c r="F50" s="670" t="s">
        <v>2546</v>
      </c>
      <c r="G50" s="1885" t="s">
        <v>2579</v>
      </c>
      <c r="H50" s="1885" t="str">
        <f>项目基本情况!G8</f>
        <v>辽宁省大连市</v>
      </c>
      <c r="I50" s="1833" t="s">
        <v>2548</v>
      </c>
      <c r="J50" s="1254"/>
      <c r="K50" s="1250"/>
      <c r="L50" s="1250"/>
      <c r="M50" s="1249"/>
      <c r="N50" s="1249"/>
      <c r="O50" s="1249"/>
    </row>
    <row r="51" spans="1:17" s="675" customFormat="1">
      <c r="A51" s="671" t="s">
        <v>2549</v>
      </c>
      <c r="B51" s="672" t="e">
        <f>C43</f>
        <v>#DIV/0!</v>
      </c>
      <c r="C51" s="673">
        <v>1</v>
      </c>
      <c r="D51" s="673">
        <v>1</v>
      </c>
      <c r="E51" s="677">
        <v>120</v>
      </c>
      <c r="F51" s="674" t="e">
        <f t="shared" ref="F51:F60" si="15">ROUND(B51*E51,0)</f>
        <v>#DIV/0!</v>
      </c>
      <c r="G51" s="967">
        <v>1</v>
      </c>
      <c r="H51" s="967">
        <v>1</v>
      </c>
      <c r="I51" s="1251"/>
      <c r="J51" s="1254"/>
      <c r="K51" s="1250"/>
      <c r="L51" s="1250"/>
      <c r="M51" s="1249"/>
      <c r="N51" s="1249"/>
      <c r="O51" s="1249"/>
    </row>
    <row r="52" spans="1:17" s="675" customFormat="1">
      <c r="A52" s="676" t="s">
        <v>2550</v>
      </c>
      <c r="B52" s="178" t="e">
        <f>ROUND($C$43*C52*D52,0)</f>
        <v>#DIV/0!</v>
      </c>
      <c r="C52" s="117">
        <f>IF($C$50="北京市系数",G52,H52)</f>
        <v>0</v>
      </c>
      <c r="D52" s="1284">
        <v>0.25</v>
      </c>
      <c r="E52" s="677">
        <v>0</v>
      </c>
      <c r="F52" s="674" t="e">
        <f t="shared" si="15"/>
        <v>#DIV/0!</v>
      </c>
      <c r="G52" s="967">
        <f>SUMIF(修正!$A$45:$A$56,项目基本情况!$F$9,修正!B45:B56)</f>
        <v>0</v>
      </c>
      <c r="H52" s="968"/>
      <c r="I52" s="1249"/>
      <c r="J52" s="1254"/>
      <c r="K52" s="1250"/>
      <c r="L52" s="1250"/>
      <c r="M52" s="1249"/>
      <c r="N52" s="1249"/>
      <c r="O52" s="1249"/>
    </row>
    <row r="53" spans="1:17" s="675" customFormat="1">
      <c r="A53" s="676" t="s">
        <v>2551</v>
      </c>
      <c r="B53" s="178" t="e">
        <f t="shared" ref="B53:B60" si="16">ROUND($C$43*C53*D53,0)</f>
        <v>#DIV/0!</v>
      </c>
      <c r="C53" s="117">
        <f t="shared" ref="C53:C60" si="17">IF($C$50="北京市系数",G53,H53)</f>
        <v>0</v>
      </c>
      <c r="D53" s="1284">
        <v>0.25</v>
      </c>
      <c r="E53" s="677">
        <v>0</v>
      </c>
      <c r="F53" s="674" t="e">
        <f t="shared" si="15"/>
        <v>#DIV/0!</v>
      </c>
      <c r="G53" s="967">
        <f>SUMIF(修正!$A$45:$A$56,项目基本情况!$F$9,修正!C45:C56)</f>
        <v>0</v>
      </c>
      <c r="H53" s="968"/>
      <c r="I53" s="1251"/>
      <c r="J53" s="1254"/>
      <c r="K53" s="1250"/>
      <c r="L53" s="1250"/>
      <c r="M53" s="1249"/>
      <c r="N53" s="1249"/>
      <c r="O53" s="1249"/>
    </row>
    <row r="54" spans="1:17" s="675" customFormat="1">
      <c r="A54" s="676" t="s">
        <v>2552</v>
      </c>
      <c r="B54" s="178" t="e">
        <f t="shared" si="16"/>
        <v>#DIV/0!</v>
      </c>
      <c r="C54" s="117">
        <f t="shared" si="17"/>
        <v>0</v>
      </c>
      <c r="D54" s="1284">
        <v>0.25</v>
      </c>
      <c r="E54" s="677">
        <v>0</v>
      </c>
      <c r="F54" s="674" t="e">
        <f t="shared" si="15"/>
        <v>#DIV/0!</v>
      </c>
      <c r="G54" s="967">
        <f>SUMIF(修正!$A$45:$A$56,项目基本情况!$F$9,修正!D45:D56)</f>
        <v>0</v>
      </c>
      <c r="H54" s="968"/>
      <c r="I54" s="1249"/>
      <c r="J54" s="1254"/>
      <c r="K54" s="1250"/>
      <c r="L54" s="1250"/>
      <c r="M54" s="1249"/>
      <c r="N54" s="1249"/>
      <c r="O54" s="1249"/>
    </row>
    <row r="55" spans="1:17" s="675" customFormat="1">
      <c r="A55" s="676" t="s">
        <v>2553</v>
      </c>
      <c r="B55" s="178" t="e">
        <f t="shared" si="16"/>
        <v>#DIV/0!</v>
      </c>
      <c r="C55" s="117">
        <f t="shared" si="17"/>
        <v>0</v>
      </c>
      <c r="D55" s="1284">
        <v>0.25</v>
      </c>
      <c r="E55" s="677">
        <v>0</v>
      </c>
      <c r="F55" s="674" t="e">
        <f t="shared" si="15"/>
        <v>#DIV/0!</v>
      </c>
      <c r="G55" s="967">
        <f>SUMIF(修正!$A$45:$A$56,项目基本情况!$F$9,修正!E45:E56)</f>
        <v>0</v>
      </c>
      <c r="H55" s="968"/>
      <c r="I55" s="1251"/>
      <c r="J55" s="1254"/>
      <c r="K55" s="1250"/>
      <c r="L55" s="1250"/>
      <c r="M55" s="1249"/>
      <c r="N55" s="1249"/>
      <c r="O55" s="1249"/>
    </row>
    <row r="56" spans="1:17" s="675" customFormat="1">
      <c r="A56" s="676" t="s">
        <v>2554</v>
      </c>
      <c r="B56" s="178" t="e">
        <f t="shared" si="16"/>
        <v>#DIV/0!</v>
      </c>
      <c r="C56" s="117">
        <f t="shared" si="17"/>
        <v>0</v>
      </c>
      <c r="D56" s="1284">
        <v>0.25</v>
      </c>
      <c r="E56" s="677">
        <v>0</v>
      </c>
      <c r="F56" s="674" t="e">
        <f t="shared" si="15"/>
        <v>#DIV/0!</v>
      </c>
      <c r="G56" s="967">
        <f>SUMIF(修正!A40:A51,项目基本情况!F9,修正!F45:F56)</f>
        <v>0</v>
      </c>
      <c r="H56" s="968"/>
      <c r="I56" s="1249"/>
      <c r="J56" s="1254"/>
      <c r="K56" s="1250"/>
      <c r="L56" s="1250"/>
      <c r="M56" s="1249"/>
      <c r="N56" s="1249"/>
      <c r="O56" s="1249"/>
    </row>
    <row r="57" spans="1:17" s="675" customFormat="1">
      <c r="A57" s="676" t="s">
        <v>2555</v>
      </c>
      <c r="B57" s="178" t="e">
        <f t="shared" si="16"/>
        <v>#DIV/0!</v>
      </c>
      <c r="C57" s="117">
        <f t="shared" si="17"/>
        <v>0</v>
      </c>
      <c r="D57" s="1284">
        <v>0.25</v>
      </c>
      <c r="E57" s="677">
        <v>0</v>
      </c>
      <c r="F57" s="674" t="e">
        <f t="shared" si="15"/>
        <v>#DIV/0!</v>
      </c>
      <c r="G57" s="967">
        <f>SUMIF(修正!A40:A51,项目基本情况!F9,修正!G45:G56)</f>
        <v>0</v>
      </c>
      <c r="H57" s="968"/>
      <c r="I57" s="1251"/>
      <c r="J57" s="1254"/>
      <c r="K57" s="1250"/>
      <c r="L57" s="1250"/>
      <c r="M57" s="1249"/>
      <c r="N57" s="1249"/>
      <c r="O57" s="1249"/>
    </row>
    <row r="58" spans="1:17" s="675" customFormat="1">
      <c r="A58" s="676" t="s">
        <v>2556</v>
      </c>
      <c r="B58" s="178" t="e">
        <f t="shared" si="16"/>
        <v>#DIV/0!</v>
      </c>
      <c r="C58" s="117">
        <f t="shared" si="17"/>
        <v>0</v>
      </c>
      <c r="D58" s="1284">
        <v>0.25</v>
      </c>
      <c r="E58" s="677">
        <v>0</v>
      </c>
      <c r="F58" s="674" t="e">
        <f t="shared" si="15"/>
        <v>#DIV/0!</v>
      </c>
      <c r="G58" s="967">
        <f>SUMIF(修正!A40:A51,项目基本情况!F9,修正!H45:H56)</f>
        <v>0</v>
      </c>
      <c r="H58" s="968"/>
      <c r="I58" s="1249"/>
      <c r="J58" s="1254"/>
      <c r="K58" s="1250"/>
      <c r="L58" s="1250"/>
      <c r="M58" s="1249"/>
      <c r="N58" s="1249"/>
      <c r="O58" s="1249"/>
    </row>
    <row r="59" spans="1:17" s="675" customFormat="1">
      <c r="A59" s="676" t="s">
        <v>2557</v>
      </c>
      <c r="B59" s="178" t="e">
        <f t="shared" si="16"/>
        <v>#DIV/0!</v>
      </c>
      <c r="C59" s="117">
        <f t="shared" si="17"/>
        <v>0</v>
      </c>
      <c r="D59" s="1284">
        <v>0.25</v>
      </c>
      <c r="E59" s="677">
        <v>0</v>
      </c>
      <c r="F59" s="674" t="e">
        <f t="shared" si="15"/>
        <v>#DIV/0!</v>
      </c>
      <c r="G59" s="967">
        <f>G58</f>
        <v>0</v>
      </c>
      <c r="H59" s="968"/>
      <c r="I59" s="1251"/>
      <c r="J59" s="1254"/>
      <c r="K59" s="1250"/>
      <c r="L59" s="1250"/>
      <c r="M59" s="1249"/>
      <c r="N59" s="1249"/>
      <c r="O59" s="1249"/>
    </row>
    <row r="60" spans="1:17" s="675" customFormat="1">
      <c r="A60" s="676" t="s">
        <v>2558</v>
      </c>
      <c r="B60" s="178" t="e">
        <f t="shared" si="16"/>
        <v>#DIV/0!</v>
      </c>
      <c r="C60" s="117">
        <f t="shared" si="17"/>
        <v>0</v>
      </c>
      <c r="D60" s="1284">
        <v>0.25</v>
      </c>
      <c r="E60" s="677">
        <v>0</v>
      </c>
      <c r="F60" s="674" t="e">
        <f t="shared" si="15"/>
        <v>#DIV/0!</v>
      </c>
      <c r="G60" s="967">
        <f>G58</f>
        <v>0</v>
      </c>
      <c r="H60" s="968"/>
      <c r="I60" s="1249"/>
      <c r="J60" s="1254"/>
      <c r="K60" s="1250"/>
      <c r="L60" s="1250"/>
      <c r="M60" s="1249"/>
      <c r="N60" s="1249"/>
      <c r="O60" s="1249"/>
    </row>
    <row r="61" spans="1:17" s="675" customFormat="1" ht="15" thickBot="1">
      <c r="A61" s="679" t="s">
        <v>2559</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2020-6-1</v>
      </c>
      <c r="D63" s="1662">
        <f>EDATE(C63,-3)</f>
        <v>43891</v>
      </c>
      <c r="E63" s="1662">
        <f t="shared" ref="E63:O63" si="18">EDATE(D63,-3)</f>
        <v>43800</v>
      </c>
      <c r="F63" s="1662">
        <f t="shared" si="18"/>
        <v>43709</v>
      </c>
      <c r="G63" s="1662">
        <f t="shared" si="18"/>
        <v>43617</v>
      </c>
      <c r="H63" s="1662">
        <f t="shared" si="18"/>
        <v>43525</v>
      </c>
      <c r="I63" s="1662">
        <f t="shared" si="18"/>
        <v>43435</v>
      </c>
      <c r="J63" s="1662">
        <f t="shared" si="18"/>
        <v>43344</v>
      </c>
      <c r="K63" s="1662">
        <f t="shared" si="18"/>
        <v>43252</v>
      </c>
      <c r="L63" s="1662">
        <f t="shared" si="18"/>
        <v>43160</v>
      </c>
      <c r="M63" s="1662">
        <f t="shared" si="18"/>
        <v>43070</v>
      </c>
      <c r="N63" s="1662">
        <f t="shared" si="18"/>
        <v>42979</v>
      </c>
      <c r="O63" s="1662">
        <f t="shared" si="18"/>
        <v>42887</v>
      </c>
    </row>
    <row r="64" spans="1:17" ht="21.75" thickBot="1">
      <c r="A64" s="741" t="s">
        <v>2455</v>
      </c>
      <c r="B64" s="737"/>
      <c r="C64" s="742"/>
      <c r="D64" s="742"/>
      <c r="E64" s="742"/>
      <c r="F64" s="743"/>
      <c r="G64" s="743"/>
      <c r="H64" s="742"/>
      <c r="I64" s="1265"/>
      <c r="J64" s="1265"/>
      <c r="K64" s="1263"/>
      <c r="L64" s="1264"/>
      <c r="M64" s="1265"/>
      <c r="N64" s="1265"/>
      <c r="O64" s="1265"/>
      <c r="P64" s="484"/>
      <c r="Q64" s="485"/>
    </row>
    <row r="65" spans="1:17" s="489" customFormat="1" ht="15">
      <c r="A65" s="2479" t="s">
        <v>2560</v>
      </c>
      <c r="B65" s="1448"/>
      <c r="C65" s="1663" t="str">
        <f>YEAR(C63)&amp;"-"&amp;ROUNDUP(MONTH(C63)/3,0)</f>
        <v>2020-2</v>
      </c>
      <c r="D65" s="1663" t="str">
        <f t="shared" ref="D65:O65" si="19">YEAR(D63)&amp;"-"&amp;ROUNDUP(MONTH(D63)/3,0)</f>
        <v>2020-1</v>
      </c>
      <c r="E65" s="1663" t="str">
        <f t="shared" si="19"/>
        <v>2019-4</v>
      </c>
      <c r="F65" s="1663" t="str">
        <f t="shared" si="19"/>
        <v>2019-3</v>
      </c>
      <c r="G65" s="1663" t="str">
        <f t="shared" si="19"/>
        <v>2019-2</v>
      </c>
      <c r="H65" s="1663" t="str">
        <f t="shared" si="19"/>
        <v>2019-1</v>
      </c>
      <c r="I65" s="1663" t="str">
        <f t="shared" si="19"/>
        <v>2018-4</v>
      </c>
      <c r="J65" s="1663" t="str">
        <f t="shared" si="19"/>
        <v>2018-3</v>
      </c>
      <c r="K65" s="1663" t="str">
        <f t="shared" si="19"/>
        <v>2018-2</v>
      </c>
      <c r="L65" s="1663" t="str">
        <f t="shared" si="19"/>
        <v>2018-1</v>
      </c>
      <c r="M65" s="1663" t="str">
        <f t="shared" si="19"/>
        <v>2017-4</v>
      </c>
      <c r="N65" s="1663" t="str">
        <f t="shared" si="19"/>
        <v>2017-3</v>
      </c>
      <c r="O65" s="1663" t="str">
        <f t="shared" si="19"/>
        <v>2017-2</v>
      </c>
      <c r="P65" s="488"/>
    </row>
    <row r="66" spans="1:17" s="35" customFormat="1" ht="33.75" customHeight="1">
      <c r="A66" s="2485" t="s">
        <v>2580</v>
      </c>
      <c r="B66" s="284" t="str">
        <f>"北京市平均增长率"&amp;TEXT(基准地价修正!P24,"0.00%")</f>
        <v>北京市平均增长率1.31%</v>
      </c>
      <c r="C66" s="587">
        <v>100</v>
      </c>
      <c r="D66" s="579"/>
      <c r="E66" s="579"/>
      <c r="F66" s="579"/>
      <c r="G66" s="579"/>
      <c r="H66" s="579"/>
      <c r="I66" s="579"/>
      <c r="J66" s="579"/>
      <c r="K66" s="579"/>
      <c r="L66" s="579"/>
      <c r="M66" s="1661"/>
      <c r="N66" s="579"/>
      <c r="O66" s="1667"/>
      <c r="P66" s="485"/>
    </row>
    <row r="67" spans="1:17" s="35" customFormat="1" ht="15.75" thickBot="1">
      <c r="A67" s="496" t="s">
        <v>2375</v>
      </c>
      <c r="B67" s="497"/>
      <c r="C67" s="498"/>
      <c r="D67" s="499"/>
      <c r="E67" s="499"/>
      <c r="F67" s="499"/>
      <c r="G67" s="499"/>
      <c r="H67" s="499"/>
      <c r="I67" s="499"/>
      <c r="J67" s="499"/>
      <c r="K67" s="499"/>
      <c r="L67" s="499"/>
      <c r="M67" s="500"/>
      <c r="N67" s="499"/>
      <c r="O67" s="1668"/>
      <c r="P67" s="485"/>
      <c r="Q67" s="485"/>
    </row>
    <row r="68" spans="1:17" s="35" customFormat="1" ht="15">
      <c r="A68" s="502" t="s">
        <v>2340</v>
      </c>
      <c r="B68" s="491"/>
      <c r="C68" s="503" t="s">
        <v>2341</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2378</v>
      </c>
      <c r="B70" s="509" t="s">
        <v>2344</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2347</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2348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2349</v>
      </c>
      <c r="B83" s="509" t="s">
        <v>2488</v>
      </c>
      <c r="C83" s="557" t="s">
        <v>2387</v>
      </c>
      <c r="D83" s="557" t="s">
        <v>2388</v>
      </c>
      <c r="E83" s="557" t="s">
        <v>2389</v>
      </c>
      <c r="F83" s="557" t="s">
        <v>2390</v>
      </c>
      <c r="G83" s="557" t="s">
        <v>2391</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2392</v>
      </c>
      <c r="C85" s="562" t="s">
        <v>2387</v>
      </c>
      <c r="D85" s="562" t="s">
        <v>2388</v>
      </c>
      <c r="E85" s="562" t="s">
        <v>2389</v>
      </c>
      <c r="F85" s="562" t="s">
        <v>2390</v>
      </c>
      <c r="G85" s="562" t="s">
        <v>2391</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2563</v>
      </c>
      <c r="C87" s="557" t="s">
        <v>2387</v>
      </c>
      <c r="D87" s="557" t="s">
        <v>2388</v>
      </c>
      <c r="E87" s="557" t="s">
        <v>2389</v>
      </c>
      <c r="F87" s="557" t="s">
        <v>2390</v>
      </c>
      <c r="G87" s="557" t="s">
        <v>2391</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2564</v>
      </c>
      <c r="C89" s="557" t="s">
        <v>2387</v>
      </c>
      <c r="D89" s="557" t="s">
        <v>2388</v>
      </c>
      <c r="E89" s="557" t="s">
        <v>2389</v>
      </c>
      <c r="F89" s="557" t="s">
        <v>2390</v>
      </c>
      <c r="G89" s="557" t="s">
        <v>2391</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2435</v>
      </c>
      <c r="C91" s="557" t="s">
        <v>2387</v>
      </c>
      <c r="D91" s="557" t="s">
        <v>2388</v>
      </c>
      <c r="E91" s="557" t="s">
        <v>2389</v>
      </c>
      <c r="F91" s="557" t="s">
        <v>2390</v>
      </c>
      <c r="G91" s="557" t="s">
        <v>2391</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2436</v>
      </c>
      <c r="C93" s="522" t="s">
        <v>2394</v>
      </c>
      <c r="D93" s="522" t="s">
        <v>2395</v>
      </c>
      <c r="E93" s="522" t="s">
        <v>2396</v>
      </c>
      <c r="F93" s="522" t="s">
        <v>2397</v>
      </c>
      <c r="G93" s="522" t="s">
        <v>2398</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2565</v>
      </c>
      <c r="D95" s="522" t="s">
        <v>2566</v>
      </c>
      <c r="E95" s="522" t="s">
        <v>2567</v>
      </c>
      <c r="F95" s="522" t="s">
        <v>2568</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2467</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2534</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2353</v>
      </c>
      <c r="B107" s="509" t="s">
        <v>2569</v>
      </c>
      <c r="C107" s="1841" t="str">
        <f t="shared" ref="C107:L107" si="25">C108&amp;"(含)"&amp;"-"&amp;D108</f>
        <v>(含)-</v>
      </c>
      <c r="D107" s="1841" t="str">
        <f t="shared" si="25"/>
        <v>(含)-</v>
      </c>
      <c r="E107" s="1841" t="str">
        <f t="shared" si="25"/>
        <v>(含)-</v>
      </c>
      <c r="F107" s="1841" t="str">
        <f t="shared" si="25"/>
        <v>(含)-</v>
      </c>
      <c r="G107" s="1841" t="str">
        <f t="shared" si="25"/>
        <v>(含)-</v>
      </c>
      <c r="H107" s="1841" t="str">
        <f t="shared" si="25"/>
        <v>(含)-</v>
      </c>
      <c r="I107" s="1841" t="str">
        <f t="shared" si="25"/>
        <v>(含)-</v>
      </c>
      <c r="J107" s="1841" t="str">
        <f t="shared" si="25"/>
        <v>(含)-</v>
      </c>
      <c r="K107" s="1841" t="str">
        <f t="shared" si="25"/>
        <v>(含)-</v>
      </c>
      <c r="L107" s="1842" t="str">
        <f t="shared" si="25"/>
        <v>(含)-</v>
      </c>
      <c r="M107" s="1843"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2570</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2572</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2573</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86"/>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5" customWidth="1"/>
    <col min="2" max="3" width="12.5" style="1895" customWidth="1"/>
    <col min="4" max="6" width="8.125" style="1895"/>
    <col min="7" max="7" width="17.5" style="1895" customWidth="1"/>
    <col min="8" max="16384" width="8.125" style="1895"/>
  </cols>
  <sheetData>
    <row r="1" spans="1:7" ht="23.25">
      <c r="A1" s="1893" t="s">
        <v>1261</v>
      </c>
      <c r="B1" s="1894"/>
      <c r="C1" s="1894"/>
      <c r="D1" s="1894"/>
      <c r="E1" s="1894"/>
      <c r="F1" s="1894"/>
      <c r="G1" s="1894"/>
    </row>
    <row r="2" spans="1:7">
      <c r="A2" s="1896"/>
    </row>
    <row r="3" spans="1:7" s="1899" customFormat="1" ht="18">
      <c r="A3" s="1897" t="str">
        <f>IF(ISNUMBER(FIND("公司",项目基本情况!B4)),项目基本情况!B4&amp;"：",项目基本情况!B4&amp;"  先生/女士：")</f>
        <v>xx  先生/女士：</v>
      </c>
      <c r="B3" s="1898"/>
      <c r="C3" s="1898"/>
      <c r="D3" s="1898"/>
      <c r="E3" s="1898"/>
      <c r="F3" s="1898"/>
      <c r="G3" s="1898"/>
    </row>
    <row r="4" spans="1:7" ht="18">
      <c r="A4" s="1900" t="str">
        <f>IF(ISNUMBER(FIND("公司",A3)),"受贵公司委托，我公司对"&amp;项目基本情况!I1&amp;"进行了预评估。","受您的委托，我公司对"&amp;项目基本情况!I1&amp;"进行了预评估。")</f>
        <v>受您的委托，我公司对辽宁省大连市房地产进行了预评估。</v>
      </c>
      <c r="B4" s="1900"/>
      <c r="C4" s="1900"/>
      <c r="D4" s="1900"/>
      <c r="E4" s="1900"/>
      <c r="F4" s="1900"/>
      <c r="G4" s="1900"/>
    </row>
    <row r="5" spans="1:7" ht="18.75">
      <c r="A5" s="1901" t="s">
        <v>1262</v>
      </c>
    </row>
    <row r="6" spans="1:7" s="1902" customFormat="1" ht="54">
      <c r="A6" s="190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估价对象为辽宁省大连市房地产，为XX所有。根据《房屋所有权证》[]，估价对象建筑面积为平方米。根据《不动产权证书》[]，估价对象（分摊）出让国有建设用地使用权面积为平方米。估价对象用途为。</v>
      </c>
      <c r="B6" s="1900"/>
      <c r="C6" s="1900"/>
      <c r="D6" s="1900"/>
      <c r="E6" s="1900"/>
      <c r="F6" s="1900"/>
      <c r="G6" s="1900"/>
    </row>
    <row r="7" spans="1:7" ht="18.75">
      <c r="A7" s="1901" t="s">
        <v>1263</v>
      </c>
    </row>
    <row r="8" spans="1:7" ht="18">
      <c r="A8" s="1903" t="str">
        <f>IF(项目基本情况!D4="抵押",IF(项目基本情况!B4=项目基本情况!B5,定义!C51,定义!B51),定义!D51)</f>
        <v>为估价委托人了解估价对象房地产市场价值提供参考依据。</v>
      </c>
      <c r="B8" s="1904"/>
      <c r="C8" s="1900"/>
      <c r="D8" s="1900"/>
      <c r="E8" s="1900"/>
      <c r="F8" s="1900"/>
      <c r="G8" s="1900"/>
    </row>
    <row r="9" spans="1:7" ht="18.75">
      <c r="A9" s="1898" t="s">
        <v>1264</v>
      </c>
      <c r="B9" s="1905"/>
    </row>
    <row r="10" spans="1:7" ht="18">
      <c r="A10" s="1906" t="str">
        <f>TEXT(项目基本情况!D2,"yyyy年m月d日;;")&amp;IF(项目基本情况!B2=项目基本情况!D2,"（评估专业人员实地查勘之日）","")</f>
        <v>2020年6月17日</v>
      </c>
      <c r="B10" s="1907"/>
      <c r="C10" s="1907"/>
      <c r="D10" s="1907"/>
      <c r="E10" s="1907"/>
      <c r="F10" s="1907"/>
      <c r="G10" s="1907"/>
    </row>
    <row r="11" spans="1:7" ht="18.75">
      <c r="A11" s="1898" t="s">
        <v>1265</v>
      </c>
    </row>
    <row r="12" spans="1:7" ht="75">
      <c r="A12" s="1900" t="s">
        <v>1266</v>
      </c>
      <c r="B12" s="1900"/>
      <c r="C12" s="1900"/>
      <c r="D12" s="1900"/>
      <c r="E12" s="1900"/>
      <c r="F12" s="1900"/>
      <c r="G12" s="1900"/>
    </row>
    <row r="13" spans="1:7" ht="36">
      <c r="A13" s="190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本次估价的“房地产价值”是指在正常市场情况下，在价值时点2020年6月17日，估价对象规划用途为，假定未设立法定优先受偿款下的房地产市场价值。</v>
      </c>
      <c r="B13" s="1900"/>
      <c r="C13" s="1900"/>
      <c r="D13" s="1900"/>
      <c r="E13" s="1900"/>
      <c r="F13" s="1900"/>
      <c r="G13" s="1900"/>
    </row>
    <row r="14" spans="1:7" ht="18">
      <c r="A14" s="1903" t="str">
        <f>IF(项目基本情况!D5="房地产市场价值","——",IF(项目基本情况!F5="房地产抵押价值",定义!C54,IF(项目基本情况!F5="已注销",定义!C55,定义!C56)))</f>
        <v>——</v>
      </c>
      <c r="B14" s="1908"/>
      <c r="C14" s="1908"/>
      <c r="D14" s="1908"/>
      <c r="E14" s="1908"/>
      <c r="F14" s="1908"/>
      <c r="G14" s="1908"/>
    </row>
    <row r="15" spans="1:7" ht="56.25">
      <c r="A15" s="1900" t="s">
        <v>1260</v>
      </c>
      <c r="B15" s="1900"/>
      <c r="C15" s="1900"/>
      <c r="D15" s="1900"/>
      <c r="E15" s="1900"/>
      <c r="F15" s="1900"/>
      <c r="G15" s="1900"/>
    </row>
    <row r="16" spans="1:7" ht="18">
      <c r="A16" s="1904" t="str">
        <f>IF(项目基本情况!D5="房地产市场价值","——",IF(项目基本情况!G5="——","",定义!C57))</f>
        <v>——</v>
      </c>
      <c r="B16" s="1908"/>
      <c r="C16" s="1908"/>
      <c r="D16" s="1908"/>
      <c r="E16" s="1908"/>
      <c r="F16" s="1908"/>
      <c r="G16" s="1908"/>
    </row>
    <row r="17" spans="1:1" ht="18.75">
      <c r="A17" s="1898" t="s">
        <v>1259</v>
      </c>
    </row>
    <row r="18" spans="1:1" ht="18">
      <c r="A18" s="1909" t="str">
        <f>"本次评估采用的主估价方法为"&amp;IF('数据-取费表'!E3="否",结果表!K4&amp;"和"&amp;结果表!L4,'结果表 (1修多)'!K4&amp;"和"&amp;'结果表 (1修多)'!L4)&amp;"。"</f>
        <v>本次评估采用的主估价方法为基准地价系数修正法和比较法。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B39" activeCellId="2" sqref="I3 B39 B39"/>
    </sheetView>
  </sheetViews>
  <sheetFormatPr defaultColWidth="9" defaultRowHeight="12.75"/>
  <cols>
    <col min="1" max="1" width="9.75" style="2557" customWidth="1"/>
    <col min="2" max="2" width="19.25" style="2670" customWidth="1"/>
    <col min="3" max="3" width="12.5" style="2490" customWidth="1"/>
    <col min="4" max="4" width="12" style="2490" customWidth="1"/>
    <col min="5" max="5" width="14.625" style="2490" customWidth="1"/>
    <col min="6" max="8" width="12" style="2490" customWidth="1"/>
    <col min="9" max="9" width="12.25" style="2490" bestFit="1" customWidth="1"/>
    <col min="10" max="10" width="12" style="2490" customWidth="1"/>
    <col min="11" max="11" width="9.5" style="1454" customWidth="1"/>
    <col min="12" max="12" width="12" style="2490" customWidth="1"/>
    <col min="13" max="13" width="8.5" style="2490" customWidth="1"/>
    <col min="14" max="14" width="9.75" style="2490" customWidth="1"/>
    <col min="15" max="25" width="12" style="2490" customWidth="1"/>
    <col min="26" max="26" width="9.375" style="2557" customWidth="1"/>
    <col min="27" max="32" width="9.375" style="2633" customWidth="1"/>
    <col min="33" max="36" width="9.375" style="2557" customWidth="1"/>
    <col min="37" max="38" width="9.375" style="2490" customWidth="1"/>
    <col min="39" max="16384" width="9" style="2490"/>
  </cols>
  <sheetData>
    <row r="1" spans="1:36" ht="28.5">
      <c r="A1" s="161" t="s">
        <v>2581</v>
      </c>
      <c r="B1" s="2487"/>
      <c r="C1" s="162" t="s">
        <v>2582</v>
      </c>
      <c r="D1" s="2488">
        <f>SUM(D29:D30,D33:D39)</f>
        <v>0</v>
      </c>
      <c r="E1" s="2488"/>
      <c r="F1" s="2488"/>
      <c r="G1" s="2488"/>
      <c r="H1" s="2488"/>
      <c r="I1" s="2488"/>
      <c r="J1" s="2488"/>
      <c r="L1" s="2489" t="s">
        <v>2583</v>
      </c>
      <c r="M1" s="1113">
        <f>SUMPRODUCT((区片价!B5:B9=I2)*(区片价!C3:F3=E2)*(区片价!C5:F9))</f>
        <v>0</v>
      </c>
      <c r="N1" s="1116">
        <f>SUMPRODUCT((因素修正幅度!B5:B9=I2)*(因素修正幅度!C3:F3=E2)*(因素修正幅度!C5:F9))</f>
        <v>0</v>
      </c>
      <c r="O1" s="1454"/>
      <c r="P1" s="1454"/>
      <c r="Q1" s="1454"/>
      <c r="R1" s="1701" t="s">
        <v>2584</v>
      </c>
      <c r="S1" s="1701" t="s">
        <v>2585</v>
      </c>
      <c r="T1" s="1701" t="s">
        <v>2586</v>
      </c>
      <c r="U1" s="1701" t="s">
        <v>2587</v>
      </c>
      <c r="V1" s="1701" t="s">
        <v>2588</v>
      </c>
      <c r="W1" s="1705"/>
      <c r="X1" s="1705"/>
      <c r="Y1" s="1705"/>
      <c r="Z1" s="1705"/>
      <c r="AA1" s="1705"/>
      <c r="AB1" s="1705"/>
      <c r="AC1" s="1706"/>
      <c r="AD1" s="1707"/>
      <c r="AE1" s="1707"/>
      <c r="AF1" s="1707"/>
      <c r="AG1" s="1707"/>
      <c r="AH1" s="1707"/>
      <c r="AI1" s="1707"/>
      <c r="AJ1" s="1708"/>
    </row>
    <row r="2" spans="1:36" ht="24.75">
      <c r="A2" s="165" t="s">
        <v>2589</v>
      </c>
      <c r="B2" s="168" t="e">
        <f>C26</f>
        <v>#DIV/0!</v>
      </c>
      <c r="C2" s="2491" t="s">
        <v>2590</v>
      </c>
      <c r="D2" s="2492" t="s">
        <v>2591</v>
      </c>
      <c r="E2" s="2493"/>
      <c r="F2" s="2492" t="s">
        <v>2592</v>
      </c>
      <c r="G2" s="2494">
        <f>项目基本情况!F9</f>
        <v>0</v>
      </c>
      <c r="H2" s="2495" t="s">
        <v>2593</v>
      </c>
      <c r="I2" s="2494">
        <f>项目基本情况!F10</f>
        <v>0</v>
      </c>
      <c r="J2" s="2496"/>
      <c r="L2" s="2497" t="s">
        <v>2594</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2595</v>
      </c>
      <c r="B3" s="168" t="e">
        <f>ROUND(B2/D1,0)</f>
        <v>#DIV/0!</v>
      </c>
      <c r="C3" s="2491" t="s">
        <v>2596</v>
      </c>
      <c r="D3" s="2492" t="s">
        <v>2597</v>
      </c>
      <c r="E3" s="2498"/>
      <c r="F3" s="2499" t="s">
        <v>2598</v>
      </c>
      <c r="G3" s="940">
        <f>项目基本情况!C15</f>
        <v>0</v>
      </c>
      <c r="H3" s="115" t="s">
        <v>2599</v>
      </c>
      <c r="I3" s="969"/>
      <c r="J3" s="2496" t="s">
        <v>2600</v>
      </c>
      <c r="L3" s="2497" t="s">
        <v>2601</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119"/>
      <c r="B4" s="3120"/>
      <c r="C4" s="3120"/>
      <c r="D4" s="3121"/>
      <c r="E4" s="3121"/>
      <c r="F4" s="3121"/>
      <c r="G4" s="3121"/>
      <c r="H4" s="3121"/>
      <c r="I4" s="3121"/>
      <c r="J4" s="3122"/>
      <c r="L4" s="2497" t="s">
        <v>2602</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08" customFormat="1" ht="15.75" thickBot="1">
      <c r="A5" s="2500" t="s">
        <v>2603</v>
      </c>
      <c r="B5" s="2501" t="s">
        <v>2604</v>
      </c>
      <c r="C5" s="2707" t="e">
        <f>ROUND(IF(E2="商业",C6*C7+C16,(IF(E2="住宅",C6*C12+C16,C6+C16))),0)</f>
        <v>#DIV/0!</v>
      </c>
      <c r="D5" s="2708" t="e">
        <f>ROUND(C6+C16,0)</f>
        <v>#DIV/0!</v>
      </c>
      <c r="E5" s="2708"/>
      <c r="F5" s="2709"/>
      <c r="G5" s="2502"/>
      <c r="H5" s="2502"/>
      <c r="I5" s="2502"/>
      <c r="J5" s="2503"/>
      <c r="K5" s="2504"/>
      <c r="L5" s="2497" t="s">
        <v>2605</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05"/>
      <c r="AD5" s="2506"/>
      <c r="AE5" s="2506"/>
      <c r="AF5" s="2506"/>
      <c r="AG5" s="2506"/>
      <c r="AH5" s="2506"/>
      <c r="AI5" s="2506"/>
      <c r="AJ5" s="2507"/>
    </row>
    <row r="6" spans="1:36" ht="15.75" thickBot="1">
      <c r="A6" s="2509">
        <v>1</v>
      </c>
      <c r="B6" s="2510" t="s">
        <v>2606</v>
      </c>
      <c r="C6" s="941">
        <f>SUMIF(L1:L12,G2,M1:M12)</f>
        <v>0</v>
      </c>
      <c r="D6" s="2511" t="s">
        <v>2607</v>
      </c>
      <c r="E6" s="2512"/>
      <c r="F6" s="2512"/>
      <c r="G6" s="2513"/>
      <c r="H6" s="2513"/>
      <c r="I6" s="2513"/>
      <c r="J6" s="2514"/>
      <c r="K6" s="2515"/>
      <c r="L6" s="2497" t="s">
        <v>2608</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05"/>
      <c r="AD6" s="2506"/>
      <c r="AE6" s="2506"/>
      <c r="AF6" s="2506"/>
      <c r="AG6" s="2506"/>
      <c r="AH6" s="2506"/>
      <c r="AI6" s="2506"/>
      <c r="AJ6" s="2507"/>
    </row>
    <row r="7" spans="1:36" ht="24">
      <c r="A7" s="3123" t="str">
        <f>IF(E2="商业",IF(C8="不临58条商业街","",2),"")</f>
        <v/>
      </c>
      <c r="B7" s="2516" t="s">
        <v>2609</v>
      </c>
      <c r="C7" s="942" t="e">
        <f>IF(C8="不临58条商业街",1,ROUND(1+(1.6*E8+1.2*E9+0.8*E10+0.4*E11)*C9,4))</f>
        <v>#DIV/0!</v>
      </c>
      <c r="D7" s="2517" t="s">
        <v>2610</v>
      </c>
      <c r="E7" s="970"/>
      <c r="F7" s="2518"/>
      <c r="G7" s="2519"/>
      <c r="H7" s="2519"/>
      <c r="I7" s="2519"/>
      <c r="J7" s="2520"/>
      <c r="K7" s="2515"/>
      <c r="L7" s="2497" t="s">
        <v>2611</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88" t="s">
        <v>2612</v>
      </c>
      <c r="X7" s="1703">
        <f>G2</f>
        <v>0</v>
      </c>
      <c r="Y7" s="1703" t="s">
        <v>2613</v>
      </c>
      <c r="Z7" s="1704">
        <f>G3</f>
        <v>0</v>
      </c>
      <c r="AA7" s="1705"/>
      <c r="AB7" s="1705"/>
      <c r="AC7" s="1706"/>
      <c r="AD7" s="1707"/>
      <c r="AE7" s="1707"/>
      <c r="AF7" s="1707"/>
      <c r="AG7" s="1707"/>
      <c r="AH7" s="1707"/>
      <c r="AI7" s="1707"/>
      <c r="AJ7" s="1708"/>
    </row>
    <row r="8" spans="1:36" ht="15">
      <c r="A8" s="3124"/>
      <c r="B8" s="115" t="s">
        <v>2614</v>
      </c>
      <c r="C8" s="2521"/>
      <c r="D8" s="943" t="s">
        <v>89</v>
      </c>
      <c r="E8" s="944" t="e">
        <f>ROUND(C11/E7,4)</f>
        <v>#DIV/0!</v>
      </c>
      <c r="F8" s="2522" t="s">
        <v>2615</v>
      </c>
      <c r="G8" s="2523"/>
      <c r="H8" s="2523"/>
      <c r="I8" s="2523"/>
      <c r="J8" s="2524"/>
      <c r="L8" s="2497" t="s">
        <v>2616</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116" t="s">
        <v>2617</v>
      </c>
      <c r="X8" s="3117"/>
      <c r="Y8" s="1709" t="s">
        <v>2618</v>
      </c>
      <c r="Z8" s="1709" t="s">
        <v>2619</v>
      </c>
      <c r="AA8" s="1709" t="s">
        <v>2620</v>
      </c>
      <c r="AB8" s="1709" t="s">
        <v>2621</v>
      </c>
      <c r="AC8" s="1709" t="s">
        <v>2622</v>
      </c>
      <c r="AD8" s="1709" t="s">
        <v>2623</v>
      </c>
      <c r="AE8" s="1709" t="s">
        <v>2624</v>
      </c>
      <c r="AF8" s="1709" t="s">
        <v>2625</v>
      </c>
      <c r="AG8" s="1709" t="s">
        <v>2626</v>
      </c>
      <c r="AH8" s="1709" t="s">
        <v>2627</v>
      </c>
      <c r="AI8" s="1709" t="s">
        <v>2628</v>
      </c>
      <c r="AJ8" s="1709" t="s">
        <v>2629</v>
      </c>
    </row>
    <row r="9" spans="1:36" ht="15">
      <c r="A9" s="3124"/>
      <c r="B9" s="115" t="s">
        <v>2630</v>
      </c>
      <c r="C9" s="945">
        <f>SUMIF(修正!C59:C119,C8,修正!E59:E119)</f>
        <v>0</v>
      </c>
      <c r="D9" s="117" t="s">
        <v>90</v>
      </c>
      <c r="E9" s="117" t="e">
        <f>ROUND(C11/E7,4)</f>
        <v>#DIV/0!</v>
      </c>
      <c r="F9" s="2522" t="s">
        <v>2631</v>
      </c>
      <c r="G9" s="2523"/>
      <c r="H9" s="2523"/>
      <c r="I9" s="2523"/>
      <c r="J9" s="2524"/>
      <c r="L9" s="2497" t="s">
        <v>2632</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118" t="s">
        <v>2633</v>
      </c>
      <c r="X9" s="1710" t="s">
        <v>2634</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124"/>
      <c r="B10" s="115" t="s">
        <v>2635</v>
      </c>
      <c r="C10" s="117">
        <f>SUMIF(修正!C59:C119,C8,修正!F59:F119)</f>
        <v>0</v>
      </c>
      <c r="D10" s="117" t="s">
        <v>91</v>
      </c>
      <c r="E10" s="117" t="e">
        <f>ROUND(C11/E7,4)</f>
        <v>#DIV/0!</v>
      </c>
      <c r="F10" s="2522" t="s">
        <v>2636</v>
      </c>
      <c r="G10" s="2523"/>
      <c r="H10" s="2523"/>
      <c r="I10" s="2523"/>
      <c r="J10" s="2524"/>
      <c r="L10" s="2497" t="s">
        <v>2637</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118"/>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124"/>
      <c r="B11" s="2525" t="s">
        <v>2638</v>
      </c>
      <c r="C11" s="946">
        <f>C10/4</f>
        <v>0</v>
      </c>
      <c r="D11" s="946" t="s">
        <v>92</v>
      </c>
      <c r="E11" s="946" t="e">
        <f>ROUND(C11/E7,4)</f>
        <v>#DIV/0!</v>
      </c>
      <c r="F11" s="2526" t="s">
        <v>2639</v>
      </c>
      <c r="G11" s="2527"/>
      <c r="H11" s="2527"/>
      <c r="I11" s="2527"/>
      <c r="J11" s="2528"/>
      <c r="L11" s="2497" t="s">
        <v>2640</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118" t="s">
        <v>2641</v>
      </c>
      <c r="X11" s="1714" t="s">
        <v>2642</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123" t="str">
        <f>IF(E2="住宅",2,"")</f>
        <v/>
      </c>
      <c r="B12" s="2529" t="s">
        <v>2643</v>
      </c>
      <c r="C12" s="942">
        <f>ROUND(C15*D15*E15*F15*G15*H15*I15*J15,4)</f>
        <v>1.32</v>
      </c>
      <c r="D12" s="2530" t="s">
        <v>2644</v>
      </c>
      <c r="E12" s="2531"/>
      <c r="F12" s="2531"/>
      <c r="G12" s="2532"/>
      <c r="H12" s="2532"/>
      <c r="I12" s="2532"/>
      <c r="J12" s="2533"/>
      <c r="L12" s="2534" t="s">
        <v>2645</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118"/>
      <c r="X12" s="1716" t="s">
        <v>2646</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125"/>
      <c r="B13" s="2535" t="s">
        <v>2647</v>
      </c>
      <c r="C13" s="2536" t="s">
        <v>2648</v>
      </c>
      <c r="D13" s="2537" t="s">
        <v>2649</v>
      </c>
      <c r="E13" s="2537" t="s">
        <v>2650</v>
      </c>
      <c r="F13" s="20" t="s">
        <v>2651</v>
      </c>
      <c r="G13" s="2538" t="s">
        <v>2652</v>
      </c>
      <c r="H13" s="2538" t="s">
        <v>2652</v>
      </c>
      <c r="I13" s="2538" t="s">
        <v>2652</v>
      </c>
      <c r="J13" s="2539" t="s">
        <v>2652</v>
      </c>
      <c r="L13" s="1454"/>
      <c r="M13" s="1454"/>
      <c r="N13" s="1454"/>
      <c r="O13" s="1454"/>
      <c r="P13" s="1454"/>
      <c r="Q13" s="1454"/>
      <c r="R13" s="1701">
        <v>12</v>
      </c>
      <c r="S13" s="1702"/>
      <c r="T13" s="1701" t="e">
        <f t="shared" si="0"/>
        <v>#DIV/0!</v>
      </c>
      <c r="U13" s="1702"/>
      <c r="V13" s="1701" t="e">
        <f t="shared" si="1"/>
        <v>#DIV/0!</v>
      </c>
      <c r="W13" s="3118"/>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125"/>
      <c r="B14" s="2540"/>
      <c r="C14" s="2541" t="s">
        <v>2653</v>
      </c>
      <c r="D14" s="2542" t="s">
        <v>2654</v>
      </c>
      <c r="E14" s="2542" t="s">
        <v>2654</v>
      </c>
      <c r="F14" s="2543" t="s">
        <v>2655</v>
      </c>
      <c r="G14" s="2544" t="s">
        <v>2656</v>
      </c>
      <c r="H14" s="2545"/>
      <c r="I14" s="2546"/>
      <c r="J14" s="2547"/>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126"/>
      <c r="B15" s="2548" t="s">
        <v>2657</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101" t="b">
        <f>IF(E2="办公",2,IF(E2="工业",2,IF(E2="住宅",3,IF(E2="商业",IF(C8="不临58条商业街",2,3)))))</f>
        <v>0</v>
      </c>
      <c r="B16" s="2716" t="s">
        <v>2663</v>
      </c>
      <c r="C16" s="2710" t="e">
        <f>ROUND(IF(F17="与级别开发程度一致",0,(G17-E17)/C17),0)</f>
        <v>#DIV/0!</v>
      </c>
      <c r="D16" s="3114" t="s">
        <v>2667</v>
      </c>
      <c r="E16" s="3115"/>
      <c r="F16" s="3114" t="s">
        <v>2664</v>
      </c>
      <c r="G16" s="3115"/>
      <c r="H16" s="2551"/>
      <c r="I16" s="2551"/>
      <c r="J16" s="2723"/>
      <c r="K16" s="2551"/>
      <c r="L16" s="2551"/>
      <c r="M16" s="2551"/>
      <c r="N16" s="2551"/>
      <c r="O16" s="2552"/>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102"/>
      <c r="B17" s="2717" t="s">
        <v>2666</v>
      </c>
      <c r="C17" s="2718">
        <f>SUMPRODUCT((修正!A2:A5=E2)*(修正!B1:M1=G2)*(修正!B2:M5))</f>
        <v>0</v>
      </c>
      <c r="D17" s="150" t="str">
        <f>IF(OR(G2="八级",G2="九级",G2="十级",G2="十一级",G2="十二级"),"五通一平","七通一平")</f>
        <v>七通一平</v>
      </c>
      <c r="E17" s="2719">
        <f>SUMPRODUCT((修正!B1:M1=G2)*(修正!B15:M15))</f>
        <v>0</v>
      </c>
      <c r="F17" s="2720"/>
      <c r="G17" s="2721">
        <f>SUM(H17:O17)</f>
        <v>0</v>
      </c>
      <c r="H17" s="2718">
        <f>SUMPRODUCT((七通一平=H16)*(修正!B1:M1=G2)*(修正!B6:M14))</f>
        <v>0</v>
      </c>
      <c r="I17" s="2718">
        <f>SUMPRODUCT((七通一平=I16)*(修正!B1:M1=G2)*(修正!B6:M14))</f>
        <v>0</v>
      </c>
      <c r="J17" s="2724">
        <f>SUMPRODUCT((七通一平=J16)*(修正!B1:M1=G2)*(修正!B6:M14))</f>
        <v>0</v>
      </c>
      <c r="K17" s="2718">
        <f>SUMPRODUCT((七通一平=K16)*(修正!B1:M1=G2)*(修正!B6:M14))</f>
        <v>0</v>
      </c>
      <c r="L17" s="2718">
        <f>SUMPRODUCT((七通一平=L16)*(修正!B1:M1=G2)*(修正!B6:M14))</f>
        <v>0</v>
      </c>
      <c r="M17" s="2718">
        <f>SUMPRODUCT((七通一平=M16)*(修正!B1:M1=G2)*(修正!B6:M14))</f>
        <v>0</v>
      </c>
      <c r="N17" s="2718">
        <f>SUMPRODUCT((七通一平=N16)*(修正!B1:M1=G2)*(修正!B6:M14))</f>
        <v>0</v>
      </c>
      <c r="O17" s="2722">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0"/>
      <c r="AH17" s="2490"/>
      <c r="AI17" s="2490"/>
      <c r="AJ17" s="2490"/>
    </row>
    <row r="18" spans="1:37" s="2508" customFormat="1" ht="15.75" thickBot="1">
      <c r="A18" s="2553" t="s">
        <v>2669</v>
      </c>
      <c r="B18" s="2711" t="s">
        <v>2670</v>
      </c>
      <c r="C18" s="2712">
        <f>SUMIF(修正!C18:C39,E3,修正!E18:E39)</f>
        <v>0</v>
      </c>
      <c r="D18" s="2713"/>
      <c r="E18" s="2714"/>
      <c r="F18" s="2714"/>
      <c r="G18" s="2714"/>
      <c r="H18" s="2714"/>
      <c r="I18" s="2714"/>
      <c r="J18" s="2715"/>
      <c r="K18" s="2556"/>
      <c r="O18" s="1454"/>
      <c r="P18" s="1454"/>
      <c r="Q18" s="1454"/>
      <c r="R18" s="1454"/>
      <c r="S18" s="1454"/>
      <c r="T18" s="1454"/>
      <c r="U18" s="1454"/>
      <c r="V18" s="1454"/>
      <c r="W18" s="1454"/>
      <c r="X18" s="1454"/>
      <c r="Y18" s="1454"/>
      <c r="Z18" s="1454"/>
      <c r="AA18" s="1454"/>
      <c r="AB18" s="1454"/>
      <c r="AC18" s="1454"/>
      <c r="AD18" s="1454"/>
      <c r="AE18" s="1455"/>
      <c r="AF18" s="1455"/>
      <c r="AG18" s="2557"/>
      <c r="AH18" s="2557"/>
      <c r="AI18" s="2557"/>
    </row>
    <row r="19" spans="1:37" s="2508" customFormat="1" ht="29.25" thickBot="1">
      <c r="A19" s="2553" t="s">
        <v>2671</v>
      </c>
      <c r="B19" s="2554" t="s">
        <v>2672</v>
      </c>
      <c r="C19" s="947">
        <f>ROUND(IF(H19="按公示增长率计算",SUMPRODUCT((地价!A3:A30=YEAR(G19)&amp;"-"&amp;ROUNDUP(MONTH(G19)/3,0))*(地价!X2:AB2=E2)*(地价!X3:AB30)),IF(H19="地价指数",M20/M19,(1+I19)^O19)),4)</f>
        <v>0</v>
      </c>
      <c r="D19" s="2558" t="s">
        <v>2673</v>
      </c>
      <c r="E19" s="948">
        <v>41640</v>
      </c>
      <c r="F19" s="2558" t="s">
        <v>2674</v>
      </c>
      <c r="G19" s="949">
        <f>'数据-取费表'!B2</f>
        <v>43999</v>
      </c>
      <c r="H19" s="2559" t="s">
        <v>2811</v>
      </c>
      <c r="I19" s="950" t="str">
        <f>IF(H19="季度增幅（自定义）",SUMIF(N21:N24,E2,O21:O24),"")</f>
        <v/>
      </c>
      <c r="J19" s="2555"/>
      <c r="K19" s="2556"/>
      <c r="L19" s="2560" t="s">
        <v>2675</v>
      </c>
      <c r="M19" s="1818">
        <f>ROUND(SUMIF(地价!B2:F2,E2,地价!B30:F30),0)</f>
        <v>0</v>
      </c>
      <c r="N19" s="1458" t="s">
        <v>2676</v>
      </c>
      <c r="O19" s="951">
        <f>ROUNDDOWN(DATEDIF(E19,G19,"M")/3,0)</f>
        <v>25</v>
      </c>
      <c r="P19" s="1455"/>
      <c r="R19" s="1454"/>
      <c r="S19" s="1454"/>
      <c r="T19" s="1454"/>
      <c r="U19" s="1454"/>
      <c r="V19" s="1454"/>
      <c r="W19" s="1454"/>
      <c r="X19" s="1454"/>
      <c r="Y19" s="1454"/>
      <c r="Z19" s="1454"/>
      <c r="AA19" s="1454"/>
      <c r="AB19" s="1454"/>
      <c r="AC19" s="1454"/>
      <c r="AD19" s="1454"/>
      <c r="AE19" s="2556"/>
      <c r="AF19" s="2561"/>
      <c r="AG19" s="2562"/>
      <c r="AH19" s="2557"/>
      <c r="AI19" s="2563"/>
      <c r="AJ19" s="2563"/>
      <c r="AK19" s="2563"/>
    </row>
    <row r="20" spans="1:37" s="2508" customFormat="1" ht="27.75" thickBot="1">
      <c r="A20" s="2564" t="s">
        <v>2677</v>
      </c>
      <c r="B20" s="2565" t="s">
        <v>2678</v>
      </c>
      <c r="C20" s="952" t="e">
        <f>ROUND(POWER(1+G20,J20-I20)*(POWER(1+G20,I20)-1)/(POWER(1+G20,J20)-1),4)</f>
        <v>#DIV/0!</v>
      </c>
      <c r="D20" s="2566" t="s">
        <v>2679</v>
      </c>
      <c r="E20" s="1840">
        <f ca="1">存贷款利率!D4/100</f>
        <v>4.3499999999999997E-2</v>
      </c>
      <c r="F20" s="2566" t="s">
        <v>2668</v>
      </c>
      <c r="G20" s="958">
        <f>SUMIF(M26:P26,E2,M28:P28)</f>
        <v>0</v>
      </c>
      <c r="H20" s="2566" t="s">
        <v>2680</v>
      </c>
      <c r="I20" s="959">
        <f>'数据-取费表'!B13</f>
        <v>33.65</v>
      </c>
      <c r="J20" s="960">
        <f>IF(E2="住宅",70,IF(E2="商业",40,50))</f>
        <v>50</v>
      </c>
      <c r="K20" s="2556"/>
      <c r="L20" s="2567" t="s">
        <v>2681</v>
      </c>
      <c r="M20" s="1819">
        <f>ROUND(SUMPRODUCT((地价!A4:A30=YEAR(G19)&amp;"-"&amp;ROUNDUP(MONTH(G19)/3,0))*(地价!B2:F2=E2)*(地价!B4:F30)),0)</f>
        <v>0</v>
      </c>
      <c r="N20" s="2568" t="s">
        <v>2682</v>
      </c>
      <c r="O20" s="2569" t="s">
        <v>2683</v>
      </c>
      <c r="P20" s="2570" t="s">
        <v>2684</v>
      </c>
      <c r="R20" s="1454"/>
      <c r="S20" s="1454"/>
      <c r="T20" s="1454"/>
      <c r="U20" s="1454"/>
      <c r="V20" s="1454"/>
      <c r="W20" s="1454"/>
      <c r="X20" s="1454"/>
      <c r="Y20" s="1454"/>
      <c r="Z20" s="1454"/>
      <c r="AA20" s="1454"/>
      <c r="AB20" s="1454"/>
      <c r="AC20" s="1454"/>
      <c r="AD20" s="1454"/>
      <c r="AE20" s="2556"/>
      <c r="AF20" s="2556"/>
    </row>
    <row r="21" spans="1:37" s="2508" customFormat="1" ht="14.25">
      <c r="A21" s="2571" t="s">
        <v>2685</v>
      </c>
      <c r="B21" s="2572" t="s">
        <v>2686</v>
      </c>
      <c r="C21" s="961" t="b">
        <f>IF(B21="容积率修正",IF(G3&lt;=10,D22,J22),C23)</f>
        <v>0</v>
      </c>
      <c r="D21" s="2573"/>
      <c r="E21" s="2573"/>
      <c r="F21" s="2573"/>
      <c r="G21" s="2573"/>
      <c r="H21" s="2573"/>
      <c r="I21" s="2573"/>
      <c r="J21" s="2574"/>
      <c r="K21" s="2556"/>
      <c r="N21" s="2575" t="s">
        <v>2687</v>
      </c>
      <c r="O21" s="1656"/>
      <c r="P21" s="1657">
        <f>SUMPRODUCT((地价!A3:A30=YEAR(G19)&amp;"-"&amp;ROUNDUP(MONTH(G19)/3,0))*(地价!AD2:AH2=N21)*(地价!AD3:AH30))</f>
        <v>1.2800000000000001E-2</v>
      </c>
      <c r="R21" s="1454"/>
      <c r="S21" s="1454"/>
      <c r="T21" s="1454"/>
      <c r="U21" s="1454"/>
      <c r="V21" s="1454"/>
      <c r="W21" s="1454"/>
      <c r="X21" s="1454"/>
      <c r="Y21" s="1454"/>
      <c r="Z21" s="1454"/>
      <c r="AA21" s="1454"/>
      <c r="AB21" s="1454"/>
      <c r="AC21" s="1454"/>
      <c r="AD21" s="1454"/>
      <c r="AE21" s="2556"/>
      <c r="AF21" s="2556"/>
    </row>
    <row r="22" spans="1:37" s="2508" customFormat="1" ht="14.25">
      <c r="A22" s="2576">
        <v>1</v>
      </c>
      <c r="B22" s="2577" t="s">
        <v>2688</v>
      </c>
      <c r="C22" s="1882" t="s">
        <v>2689</v>
      </c>
      <c r="D22" s="1882" t="b">
        <f>IF(E22=G22,F22,IF(G3&lt;=10,ROUND(F22+(H22-F22)*(G3-E22)/(G22-E22),4),"——"))</f>
        <v>0</v>
      </c>
      <c r="E22" s="940">
        <f>ROUNDDOWN(G3,1)</f>
        <v>0</v>
      </c>
      <c r="F22" s="18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2" t="s">
        <v>104</v>
      </c>
      <c r="J22" s="962" t="str">
        <f>IF(G3&gt;10,D113,"——")</f>
        <v>——</v>
      </c>
      <c r="K22" s="2556"/>
      <c r="N22" s="2575" t="s">
        <v>2690</v>
      </c>
      <c r="O22" s="1656"/>
      <c r="P22" s="1657">
        <f>SUMPRODUCT((地价!A3:A30=YEAR(G19)&amp;"-"&amp;ROUNDUP(MONTH(G19)/3,0))*(地价!AD2:AH2=N22)*(地价!AD3:AH30))</f>
        <v>1.2800000000000001E-2</v>
      </c>
      <c r="R22" s="1454"/>
      <c r="S22" s="1454"/>
      <c r="T22" s="1454"/>
      <c r="U22" s="1454"/>
      <c r="V22" s="1454"/>
      <c r="W22" s="1454"/>
      <c r="X22" s="1454"/>
      <c r="Y22" s="1454"/>
      <c r="Z22" s="1454"/>
      <c r="AA22" s="1454"/>
      <c r="AB22" s="1454"/>
      <c r="AC22" s="1454"/>
      <c r="AD22" s="1454"/>
      <c r="AE22" s="2556"/>
      <c r="AF22" s="2556"/>
    </row>
    <row r="23" spans="1:37" ht="27">
      <c r="A23" s="2576">
        <v>2</v>
      </c>
      <c r="B23" s="2577" t="s">
        <v>2691</v>
      </c>
      <c r="C23" s="953" t="e">
        <f>ROUND(IF(G3&gt;1,IF(I3&lt;7,SUMPRODUCT((B93:B98=I3)*(C92:N92=G2)*(C93:N98)),SUMIF(C92:N92,G2,C100:N100)),IF(I3&lt;7,SUMPRODUCT((B102:B107=I3)*(C92:N92=G2)*(C102:N107)),SUMIF(C92:N92,G2,C109:N109))),4)</f>
        <v>#DIV/0!</v>
      </c>
      <c r="D23" s="2545"/>
      <c r="E23" s="2545"/>
      <c r="F23" s="2578"/>
      <c r="G23" s="2579"/>
      <c r="H23" s="2580"/>
      <c r="I23" s="2581"/>
      <c r="J23" s="2582"/>
      <c r="N23" s="2575" t="s">
        <v>2692</v>
      </c>
      <c r="O23" s="1656"/>
      <c r="P23" s="1657">
        <f>SUMPRODUCT((地价!A3:A30=YEAR(G19)&amp;"-"&amp;ROUNDUP(MONTH(G19)/3,0))*(地价!AD2:AH2=N23)*(地价!AD3:AH30))</f>
        <v>2.0299999999999999E-2</v>
      </c>
      <c r="R23" s="1454"/>
      <c r="S23" s="1454"/>
      <c r="T23" s="1454"/>
      <c r="U23" s="1454"/>
      <c r="V23" s="1454"/>
      <c r="W23" s="1454"/>
      <c r="X23" s="1454"/>
      <c r="Y23" s="1454"/>
      <c r="Z23" s="1454"/>
      <c r="AA23" s="1454"/>
      <c r="AB23" s="1454"/>
      <c r="AC23" s="1454"/>
      <c r="AD23" s="1454"/>
      <c r="AE23" s="1455"/>
      <c r="AF23" s="1455"/>
      <c r="AK23" s="2557"/>
    </row>
    <row r="24" spans="1:37" s="2508" customFormat="1" ht="15.75" thickBot="1">
      <c r="A24" s="2583" t="s">
        <v>2693</v>
      </c>
      <c r="B24" s="2584" t="s">
        <v>2694</v>
      </c>
      <c r="C24" s="963">
        <f>SUMIF(A46:A88,E2,B46:B88)</f>
        <v>0</v>
      </c>
      <c r="D24" s="2585"/>
      <c r="E24" s="2586"/>
      <c r="F24" s="2586"/>
      <c r="G24" s="2586"/>
      <c r="H24" s="2586"/>
      <c r="I24" s="2586"/>
      <c r="J24" s="2587"/>
      <c r="K24" s="2556"/>
      <c r="N24" s="2588" t="s">
        <v>2695</v>
      </c>
      <c r="O24" s="1658"/>
      <c r="P24" s="1659">
        <f>SUMPRODUCT((地价!A3:A30=YEAR(G19)&amp;"-"&amp;ROUNDUP(MONTH(G19)/3,0))*(地价!AD2:AH2=N24)*(地价!AD3:AH30))</f>
        <v>1.3100000000000001E-2</v>
      </c>
      <c r="R24" s="1454"/>
      <c r="S24" s="1454"/>
      <c r="T24" s="1454"/>
      <c r="U24" s="1454"/>
      <c r="V24" s="1454"/>
      <c r="W24" s="1454"/>
      <c r="X24" s="1454"/>
      <c r="Y24" s="1454"/>
      <c r="Z24" s="1454"/>
      <c r="AA24" s="1454"/>
      <c r="AB24" s="1454"/>
      <c r="AC24" s="1454"/>
      <c r="AD24" s="1454"/>
      <c r="AE24" s="2556"/>
      <c r="AF24" s="2556"/>
    </row>
    <row r="25" spans="1:37" ht="15" thickBot="1">
      <c r="A25" s="2564" t="s">
        <v>2696</v>
      </c>
      <c r="B25" s="2589" t="s">
        <v>2697</v>
      </c>
      <c r="C25" s="954"/>
      <c r="D25" s="2519"/>
      <c r="E25" s="2519"/>
      <c r="F25" s="2590"/>
      <c r="G25" s="2519"/>
      <c r="H25" s="2519"/>
      <c r="I25" s="2519"/>
      <c r="J25" s="2520"/>
      <c r="L25" s="1454"/>
      <c r="M25" s="1454"/>
      <c r="N25" s="2591" t="s">
        <v>2698</v>
      </c>
      <c r="O25" s="1660"/>
      <c r="P25" s="1659">
        <f>SUMPRODUCT((地价!A3:A30=YEAR(G19)&amp;"-"&amp;ROUNDUP(MONTH(G19)/3,0))*(地价!AD2:AH2=N25)*(地价!AD3:AH30))</f>
        <v>1.8499999999999999E-2</v>
      </c>
      <c r="R25" s="1454"/>
      <c r="S25" s="1454"/>
      <c r="T25" s="1454"/>
      <c r="U25" s="1454"/>
      <c r="V25" s="1454"/>
      <c r="W25" s="1454"/>
      <c r="X25" s="1454"/>
      <c r="Y25" s="1454"/>
      <c r="Z25" s="1454"/>
      <c r="AA25" s="1454"/>
      <c r="AB25" s="1454"/>
      <c r="AC25" s="1454"/>
      <c r="AD25" s="1454"/>
      <c r="AE25" s="1455"/>
      <c r="AF25" s="1455"/>
    </row>
    <row r="26" spans="1:37" ht="15">
      <c r="A26" s="2592"/>
      <c r="B26" s="2577" t="s">
        <v>2699</v>
      </c>
      <c r="C26" s="123" t="e">
        <f>E29+SUM(E33:E39)</f>
        <v>#DIV/0!</v>
      </c>
      <c r="D26" s="2593"/>
      <c r="E26" s="2545"/>
      <c r="F26" s="2594"/>
      <c r="G26" s="2545"/>
      <c r="H26" s="2545"/>
      <c r="I26" s="2545"/>
      <c r="J26" s="2595"/>
      <c r="L26" s="2549" t="s">
        <v>2658</v>
      </c>
      <c r="M26" s="943" t="s">
        <v>2659</v>
      </c>
      <c r="N26" s="943" t="s">
        <v>2660</v>
      </c>
      <c r="O26" s="943" t="s">
        <v>2661</v>
      </c>
      <c r="P26" s="2550" t="s">
        <v>2662</v>
      </c>
      <c r="Q26" s="1454"/>
      <c r="R26" s="1454"/>
      <c r="S26" s="1454"/>
      <c r="T26" s="1454"/>
      <c r="U26" s="1454"/>
      <c r="V26" s="1454"/>
      <c r="W26" s="1454"/>
      <c r="X26" s="1454"/>
      <c r="Y26" s="1454"/>
      <c r="Z26" s="1454"/>
      <c r="AA26" s="1454"/>
      <c r="AB26" s="1454"/>
      <c r="AC26" s="1454"/>
      <c r="AD26" s="1454"/>
      <c r="AE26" s="1455"/>
      <c r="AF26" s="1455"/>
    </row>
    <row r="27" spans="1:37" ht="15.75" thickBot="1">
      <c r="A27" s="2592"/>
      <c r="B27" s="2596" t="s">
        <v>2700</v>
      </c>
      <c r="C27" s="955" t="e">
        <f>E30+SUM(I33:I39)</f>
        <v>#DIV/0!</v>
      </c>
      <c r="D27" s="2597"/>
      <c r="E27" s="2598"/>
      <c r="F27" s="2599"/>
      <c r="G27" s="2598"/>
      <c r="H27" s="2598"/>
      <c r="I27" s="2598"/>
      <c r="J27" s="2600"/>
      <c r="L27" s="1452" t="s">
        <v>2665</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64"/>
      <c r="B28" s="2601" t="s">
        <v>2701</v>
      </c>
      <c r="C28" s="2602" t="s">
        <v>2702</v>
      </c>
      <c r="D28" s="2602" t="s">
        <v>2703</v>
      </c>
      <c r="E28" s="2603" t="s">
        <v>2704</v>
      </c>
      <c r="F28" s="2604"/>
      <c r="G28" s="2532"/>
      <c r="H28" s="2532"/>
      <c r="I28" s="2532"/>
      <c r="J28" s="2533"/>
      <c r="L28" s="1456" t="s">
        <v>2668</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05"/>
      <c r="B29" s="2606" t="s">
        <v>2705</v>
      </c>
      <c r="C29" s="123" t="e">
        <f>ROUND(C5*C18*C19*C20*C21*C24,0)</f>
        <v>#DIV/0!</v>
      </c>
      <c r="D29" s="2607"/>
      <c r="E29" s="967" t="e">
        <f>ROUND(C29*D29,0)</f>
        <v>#DIV/0!</v>
      </c>
      <c r="F29" s="2608" t="s">
        <v>2706</v>
      </c>
      <c r="G29" s="2609"/>
      <c r="H29" s="2609"/>
      <c r="I29" s="2609"/>
      <c r="J29" s="2610"/>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0"/>
      <c r="AH29" s="2490"/>
      <c r="AI29" s="2490"/>
      <c r="AJ29" s="2490"/>
    </row>
    <row r="30" spans="1:37" ht="25.5" thickBot="1">
      <c r="A30" s="2611"/>
      <c r="B30" s="2612" t="s">
        <v>2707</v>
      </c>
      <c r="C30" s="150" t="e">
        <f>ROUND(IF(E2="工业",C29*M39,C29*M38),0)</f>
        <v>#DIV/0!</v>
      </c>
      <c r="D30" s="2613"/>
      <c r="E30" s="967" t="e">
        <f>ROUND(C30*D30,0)</f>
        <v>#DIV/0!</v>
      </c>
      <c r="F30" s="2614" t="s">
        <v>2708</v>
      </c>
      <c r="G30" s="2615"/>
      <c r="H30" s="2615"/>
      <c r="I30" s="2615"/>
      <c r="J30" s="2616"/>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0"/>
      <c r="AH30" s="2490"/>
      <c r="AI30" s="2490"/>
      <c r="AJ30" s="2490"/>
    </row>
    <row r="31" spans="1:37">
      <c r="A31" s="2617"/>
      <c r="B31" s="2618" t="s">
        <v>2709</v>
      </c>
      <c r="C31" s="2619" t="s">
        <v>2710</v>
      </c>
      <c r="D31" s="2532"/>
      <c r="E31" s="2619"/>
      <c r="F31" s="2619"/>
      <c r="G31" s="2530" t="s">
        <v>2711</v>
      </c>
      <c r="H31" s="2532"/>
      <c r="I31" s="2620"/>
      <c r="J31" s="2533"/>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0"/>
      <c r="AH31" s="2490"/>
      <c r="AI31" s="2490"/>
      <c r="AJ31" s="2490"/>
    </row>
    <row r="32" spans="1:37" ht="24">
      <c r="A32" s="2605"/>
      <c r="B32" s="2621"/>
      <c r="C32" s="482" t="s">
        <v>2702</v>
      </c>
      <c r="D32" s="479" t="s">
        <v>2703</v>
      </c>
      <c r="E32" s="479" t="s">
        <v>2704</v>
      </c>
      <c r="F32" s="367" t="s">
        <v>2712</v>
      </c>
      <c r="G32" s="953" t="s">
        <v>2702</v>
      </c>
      <c r="H32" s="953" t="s">
        <v>2703</v>
      </c>
      <c r="I32" s="953" t="s">
        <v>2704</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0"/>
      <c r="AH32" s="2490"/>
      <c r="AI32" s="2490"/>
      <c r="AJ32" s="2490"/>
    </row>
    <row r="33" spans="1:37">
      <c r="A33" s="3111" t="s">
        <v>2713</v>
      </c>
      <c r="B33" s="2622" t="s">
        <v>2714</v>
      </c>
      <c r="C33" s="123" t="e">
        <f>ROUND(D5*C19*C20*C24*F33,0)</f>
        <v>#DIV/0!</v>
      </c>
      <c r="D33" s="260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23"/>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12"/>
      <c r="B34" s="2536" t="s">
        <v>2715</v>
      </c>
      <c r="C34" s="123" t="e">
        <f>ROUND(D5*C19*C20*C24*F34,0)</f>
        <v>#DIV/0!</v>
      </c>
      <c r="D34" s="2607"/>
      <c r="E34" s="117" t="e">
        <f t="shared" si="6"/>
        <v>#DIV/0!</v>
      </c>
      <c r="F34" s="117">
        <f>SUMIF(修正!A45:A56,G2,修正!C45:C56)</f>
        <v>0</v>
      </c>
      <c r="G34" s="117" t="e">
        <f>ROUND(IF(E2="工业",C34*$M$39,C34*$M$38),0)</f>
        <v>#DIV/0!</v>
      </c>
      <c r="H34" s="117">
        <f t="shared" ref="H34:H39" si="9">D34</f>
        <v>0</v>
      </c>
      <c r="I34" s="117" t="e">
        <f t="shared" si="8"/>
        <v>#DIV/0!</v>
      </c>
      <c r="J34" s="2623"/>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12"/>
      <c r="B35" s="2536" t="s">
        <v>2716</v>
      </c>
      <c r="C35" s="123" t="e">
        <f>ROUND(D5*C19*C20*C24*F35,0)</f>
        <v>#DIV/0!</v>
      </c>
      <c r="D35" s="2607"/>
      <c r="E35" s="117" t="e">
        <f t="shared" si="6"/>
        <v>#DIV/0!</v>
      </c>
      <c r="F35" s="117">
        <f>SUMIF(修正!A45:A56,G2,修正!D45:D56)</f>
        <v>0</v>
      </c>
      <c r="G35" s="117" t="e">
        <f>ROUND(IF(E2="工业",C35*$M$39,C35*$M$38),0)</f>
        <v>#DIV/0!</v>
      </c>
      <c r="H35" s="117">
        <f t="shared" si="9"/>
        <v>0</v>
      </c>
      <c r="I35" s="117" t="e">
        <f t="shared" si="8"/>
        <v>#DIV/0!</v>
      </c>
      <c r="J35" s="2623"/>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13"/>
      <c r="B36" s="2536" t="s">
        <v>2717</v>
      </c>
      <c r="C36" s="123" t="e">
        <f>ROUND(D5*C19*C20*C24*F36,0)</f>
        <v>#DIV/0!</v>
      </c>
      <c r="D36" s="2607"/>
      <c r="E36" s="117" t="e">
        <f t="shared" si="6"/>
        <v>#DIV/0!</v>
      </c>
      <c r="F36" s="117">
        <f>SUMIF(修正!A45:A56,G2,修正!E45:E56)</f>
        <v>0</v>
      </c>
      <c r="G36" s="117" t="e">
        <f>ROUND(IF(E2="工业",C36*$M$39,C36*$M$38),0)</f>
        <v>#DIV/0!</v>
      </c>
      <c r="H36" s="117">
        <f t="shared" si="9"/>
        <v>0</v>
      </c>
      <c r="I36" s="117" t="e">
        <f t="shared" si="8"/>
        <v>#DIV/0!</v>
      </c>
      <c r="J36" s="2623"/>
      <c r="L36" s="2624"/>
      <c r="M36" s="2624"/>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25"/>
      <c r="B37" s="2536" t="s">
        <v>2718</v>
      </c>
      <c r="C37" s="117" t="e">
        <f>ROUND(D5*C19*C20*C24*F37,0)</f>
        <v>#DIV/0!</v>
      </c>
      <c r="D37" s="2607"/>
      <c r="E37" s="117" t="e">
        <f t="shared" si="6"/>
        <v>#DIV/0!</v>
      </c>
      <c r="F37" s="123">
        <f>SUMIF(修正!A45:A56,G2,修正!F45:F56)</f>
        <v>0</v>
      </c>
      <c r="G37" s="117" t="e">
        <f>ROUND(IF(E2="工业",C37*$M$39,C37*$M$38),0)</f>
        <v>#DIV/0!</v>
      </c>
      <c r="H37" s="117">
        <f t="shared" si="9"/>
        <v>0</v>
      </c>
      <c r="I37" s="117" t="e">
        <f t="shared" si="8"/>
        <v>#DIV/0!</v>
      </c>
      <c r="J37" s="2623"/>
      <c r="L37" s="2626" t="s">
        <v>2719</v>
      </c>
      <c r="M37" s="2520"/>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25"/>
      <c r="B38" s="2536" t="s">
        <v>2720</v>
      </c>
      <c r="C38" s="117" t="e">
        <f>ROUND(D5*C19*C41*C24*F38,0)</f>
        <v>#DIV/0!</v>
      </c>
      <c r="D38" s="2607"/>
      <c r="E38" s="117" t="e">
        <f t="shared" si="6"/>
        <v>#DIV/0!</v>
      </c>
      <c r="F38" s="123">
        <f>SUMIF(修正!A45:A56,G2,修正!G45:G56)</f>
        <v>0</v>
      </c>
      <c r="G38" s="117" t="e">
        <f>ROUND(IF(E2="工业",C38*$M$39,C38*$M$38),0)</f>
        <v>#DIV/0!</v>
      </c>
      <c r="H38" s="117">
        <f t="shared" si="9"/>
        <v>0</v>
      </c>
      <c r="I38" s="117" t="e">
        <f t="shared" si="8"/>
        <v>#DIV/0!</v>
      </c>
      <c r="J38" s="2623"/>
      <c r="L38" s="2627" t="s">
        <v>2721</v>
      </c>
      <c r="M38" s="2628">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1"/>
      <c r="B39" s="2629" t="s">
        <v>2722</v>
      </c>
      <c r="C39" s="150" t="e">
        <f>ROUND(D5*C19*C41*C24*F39,0)</f>
        <v>#DIV/0!</v>
      </c>
      <c r="D39" s="2613"/>
      <c r="E39" s="150" t="e">
        <f t="shared" si="6"/>
        <v>#DIV/0!</v>
      </c>
      <c r="F39" s="956">
        <f>SUMIF(修正!A45:A56,G2,修正!H45:H56)</f>
        <v>0</v>
      </c>
      <c r="G39" s="150" t="e">
        <f>ROUND(IF(E2="工业",C39*$M$39,C39*$M$38),0)</f>
        <v>#DIV/0!</v>
      </c>
      <c r="H39" s="150">
        <f t="shared" si="9"/>
        <v>0</v>
      </c>
      <c r="I39" s="150" t="e">
        <f t="shared" si="8"/>
        <v>#DIV/0!</v>
      </c>
      <c r="J39" s="2630"/>
      <c r="L39" s="2631" t="s">
        <v>2662</v>
      </c>
      <c r="M39" s="2632">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34"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33"/>
      <c r="AH40" s="2633"/>
      <c r="AI40" s="2633"/>
      <c r="AJ40" s="2633"/>
    </row>
    <row r="41" spans="1:37" s="2634" customFormat="1">
      <c r="A41" s="1455"/>
      <c r="B41" s="2705" t="s">
        <v>2803</v>
      </c>
      <c r="C41" s="367" t="e">
        <f>ROUND(POWER(1+E41,H41-G41)*(POWER(1+E41,G41)-1)/(POWER(1+E41,H41)-1),4)</f>
        <v>#DIV/0!</v>
      </c>
      <c r="D41" s="117" t="s">
        <v>2801</v>
      </c>
      <c r="E41" s="826">
        <f>G20</f>
        <v>0</v>
      </c>
      <c r="F41" s="117" t="s">
        <v>2802</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33"/>
      <c r="AH41" s="2633"/>
      <c r="AI41" s="2633"/>
      <c r="AJ41" s="2633"/>
    </row>
    <row r="42" spans="1:37" s="2634" customFormat="1">
      <c r="A42" s="1455"/>
      <c r="B42" s="2635"/>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33"/>
      <c r="AH42" s="2633"/>
      <c r="AI42" s="2633"/>
      <c r="AJ42" s="2633"/>
    </row>
    <row r="43" spans="1:37" s="2634" customFormat="1">
      <c r="A43" s="1455"/>
      <c r="B43" s="2635"/>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33"/>
      <c r="AH43" s="2633"/>
      <c r="AI43" s="2633"/>
      <c r="AJ43" s="2633"/>
    </row>
    <row r="44" spans="1:37" s="2634" customFormat="1">
      <c r="A44" s="1455"/>
      <c r="B44" s="2635"/>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33"/>
      <c r="AH44" s="2633"/>
      <c r="AI44" s="2633"/>
      <c r="AJ44" s="2633"/>
    </row>
    <row r="45" spans="1:37" s="2634" customFormat="1" ht="15.75" thickBot="1">
      <c r="A45" s="2636" t="s">
        <v>2723</v>
      </c>
      <c r="B45" s="2637"/>
      <c r="C45" s="9"/>
      <c r="D45" s="9"/>
      <c r="E45" s="9"/>
      <c r="F45" s="7"/>
      <c r="G45" s="9"/>
      <c r="H45" s="7"/>
      <c r="I45" s="9"/>
      <c r="J45" s="9"/>
      <c r="K45" s="9"/>
      <c r="L45" s="9"/>
      <c r="M45" s="9"/>
      <c r="N45" s="2488"/>
      <c r="O45" s="1454"/>
      <c r="P45" s="1454"/>
      <c r="Q45" s="1454"/>
      <c r="R45" s="1454"/>
      <c r="S45" s="1454"/>
      <c r="T45" s="1454"/>
      <c r="U45" s="1454"/>
      <c r="V45" s="1454"/>
      <c r="W45" s="1454"/>
      <c r="X45" s="1454"/>
      <c r="Y45" s="1454"/>
      <c r="Z45" s="1455"/>
      <c r="AA45" s="1455"/>
      <c r="AB45" s="1455"/>
      <c r="AC45" s="1455"/>
      <c r="AD45" s="1455"/>
      <c r="AE45" s="1455"/>
      <c r="AF45" s="1455"/>
      <c r="AG45" s="2633"/>
      <c r="AH45" s="2633"/>
      <c r="AI45" s="2633"/>
      <c r="AJ45" s="2633"/>
    </row>
    <row r="46" spans="1:37" s="2634" customFormat="1" ht="15">
      <c r="A46" s="2638" t="s">
        <v>2724</v>
      </c>
      <c r="B46" s="2639">
        <f>1+E48</f>
        <v>1</v>
      </c>
      <c r="C46" s="2640"/>
      <c r="D46" s="816"/>
      <c r="E46" s="817"/>
      <c r="F46" s="2641"/>
      <c r="G46" s="7"/>
      <c r="H46" s="9"/>
      <c r="I46" s="9"/>
      <c r="J46" s="9"/>
      <c r="K46" s="9"/>
      <c r="L46" s="9"/>
      <c r="M46" s="2488"/>
      <c r="N46" s="2642"/>
      <c r="O46" s="1454"/>
      <c r="P46" s="1454"/>
      <c r="Q46" s="1454"/>
      <c r="R46" s="1454"/>
      <c r="S46" s="1454"/>
      <c r="T46" s="1454"/>
      <c r="U46" s="1454"/>
      <c r="V46" s="1454"/>
      <c r="W46" s="1454"/>
      <c r="X46" s="1454"/>
      <c r="Y46" s="1455"/>
      <c r="Z46" s="1455"/>
      <c r="AA46" s="1455"/>
      <c r="AB46" s="1455"/>
      <c r="AC46" s="1455"/>
      <c r="AD46" s="1455"/>
      <c r="AE46" s="1455"/>
      <c r="AF46" s="2633"/>
      <c r="AG46" s="2633"/>
      <c r="AH46" s="2633"/>
      <c r="AI46" s="2633"/>
    </row>
    <row r="47" spans="1:37" s="2634" customFormat="1" ht="24.75">
      <c r="A47" s="2643" t="s">
        <v>2725</v>
      </c>
      <c r="B47" s="822" t="s">
        <v>2726</v>
      </c>
      <c r="C47" s="822" t="s">
        <v>2727</v>
      </c>
      <c r="D47" s="822" t="s">
        <v>2728</v>
      </c>
      <c r="E47" s="823" t="s">
        <v>2729</v>
      </c>
      <c r="F47" s="2644" t="s">
        <v>2730</v>
      </c>
      <c r="G47" s="822" t="s">
        <v>2731</v>
      </c>
      <c r="H47" s="2645" t="s">
        <v>2732</v>
      </c>
      <c r="I47" s="822" t="s">
        <v>2733</v>
      </c>
      <c r="J47" s="587" t="s">
        <v>2734</v>
      </c>
      <c r="K47" s="587" t="s">
        <v>2735</v>
      </c>
      <c r="L47" s="587" t="s">
        <v>2736</v>
      </c>
      <c r="M47" s="587" t="s">
        <v>2737</v>
      </c>
      <c r="N47" s="587" t="s">
        <v>2738</v>
      </c>
      <c r="O47" s="1454"/>
      <c r="P47" s="1454"/>
      <c r="Q47" s="1454"/>
      <c r="R47" s="1454"/>
      <c r="S47" s="1454"/>
      <c r="T47" s="1454"/>
      <c r="U47" s="1454"/>
      <c r="V47" s="1454"/>
      <c r="W47" s="1454"/>
      <c r="X47" s="1454"/>
      <c r="Y47" s="1454"/>
      <c r="Z47" s="1454"/>
      <c r="AA47" s="1455"/>
      <c r="AB47" s="1455"/>
      <c r="AC47" s="1455"/>
      <c r="AD47" s="1455"/>
      <c r="AE47" s="1455"/>
      <c r="AF47" s="1455"/>
      <c r="AG47" s="1455"/>
      <c r="AH47" s="2633"/>
      <c r="AI47" s="2633"/>
      <c r="AJ47" s="2633"/>
      <c r="AK47" s="2633"/>
    </row>
    <row r="48" spans="1:37" s="2634" customFormat="1" ht="38.25">
      <c r="A48" s="2643" t="s">
        <v>2739</v>
      </c>
      <c r="B48" s="2646" t="str">
        <f>估价对象房地状况!C16</f>
        <v>估价对象位于XX商圈，周边商业氛围成熟，人流量大，商业繁华度好</v>
      </c>
      <c r="C48" s="2542"/>
      <c r="D48" s="1368">
        <f t="shared" ref="D48:D56" si="10">SUMIF($J$47:$N$47,C48,J48:N48)</f>
        <v>0</v>
      </c>
      <c r="E48" s="828">
        <f>ROUND(SUM(D48:D56),4)</f>
        <v>0</v>
      </c>
      <c r="F48" s="2261" t="str">
        <f>IF(E2="商业",SUMIF(L1:L12,G2,N1:N12),"——")</f>
        <v>——</v>
      </c>
      <c r="G48" s="1369"/>
      <c r="H48" s="1373" t="str">
        <f t="shared" ref="H48:H56" si="11">IFERROR(ROUNDDOWN($F$48*I48/2,4),"——")</f>
        <v>——</v>
      </c>
      <c r="I48" s="827">
        <v>0.33</v>
      </c>
      <c r="J48" s="1370">
        <f t="shared" ref="J48:J56" si="12">K48+$G48</f>
        <v>0</v>
      </c>
      <c r="K48" s="1370">
        <f t="shared" ref="K48:K56" si="13">$L48+$G48</f>
        <v>0</v>
      </c>
      <c r="L48" s="1370">
        <v>0</v>
      </c>
      <c r="M48" s="1370">
        <f t="shared" ref="M48:N56" si="14">L48-$G48</f>
        <v>0</v>
      </c>
      <c r="N48" s="1370">
        <f t="shared" si="14"/>
        <v>0</v>
      </c>
      <c r="O48" s="1454"/>
      <c r="P48" s="1454"/>
      <c r="Q48" s="1454"/>
      <c r="R48" s="1454"/>
      <c r="S48" s="1454"/>
      <c r="T48" s="1454"/>
      <c r="U48" s="1454"/>
      <c r="V48" s="1454"/>
      <c r="W48" s="1454"/>
      <c r="X48" s="1454"/>
      <c r="Y48" s="1454"/>
      <c r="Z48" s="1454"/>
      <c r="AA48" s="1455"/>
      <c r="AB48" s="1455"/>
      <c r="AC48" s="1455"/>
      <c r="AD48" s="1455"/>
      <c r="AE48" s="1455"/>
      <c r="AF48" s="1455"/>
      <c r="AG48" s="1455"/>
      <c r="AH48" s="2633"/>
      <c r="AI48" s="2633"/>
      <c r="AJ48" s="2633"/>
      <c r="AK48" s="2633"/>
    </row>
    <row r="49" spans="1:37" s="2634" customFormat="1" ht="51">
      <c r="A49" s="2643" t="s">
        <v>2740</v>
      </c>
      <c r="B49" s="2647" t="str">
        <f>估价对象房地状况!C18</f>
        <v>估价对象周边道路状况、公共交通通达情况、停车便捷程度，综合评价交通便捷度较好</v>
      </c>
      <c r="C49" s="2542"/>
      <c r="D49" s="1368">
        <f t="shared" si="10"/>
        <v>0</v>
      </c>
      <c r="E49" s="831"/>
      <c r="F49" s="2261"/>
      <c r="G49" s="1369"/>
      <c r="H49" s="1373" t="str">
        <f t="shared" si="11"/>
        <v>——</v>
      </c>
      <c r="I49" s="827">
        <v>0.25</v>
      </c>
      <c r="J49" s="1370">
        <f t="shared" si="12"/>
        <v>0</v>
      </c>
      <c r="K49" s="1370">
        <f t="shared" si="13"/>
        <v>0</v>
      </c>
      <c r="L49" s="1370">
        <v>0</v>
      </c>
      <c r="M49" s="1370">
        <f t="shared" si="14"/>
        <v>0</v>
      </c>
      <c r="N49" s="1370">
        <f t="shared" si="14"/>
        <v>0</v>
      </c>
      <c r="O49" s="1454"/>
      <c r="P49" s="1454"/>
      <c r="Q49" s="1454"/>
      <c r="R49" s="1454"/>
      <c r="S49" s="1454"/>
      <c r="T49" s="1454"/>
      <c r="U49" s="1454"/>
      <c r="V49" s="1454"/>
      <c r="W49" s="1454"/>
      <c r="X49" s="1454"/>
      <c r="Y49" s="1454"/>
      <c r="Z49" s="1454"/>
      <c r="AA49" s="1455"/>
      <c r="AB49" s="1455"/>
      <c r="AC49" s="1455"/>
      <c r="AD49" s="1455"/>
      <c r="AE49" s="1455"/>
      <c r="AF49" s="1455"/>
      <c r="AG49" s="1455"/>
      <c r="AH49" s="2633"/>
      <c r="AI49" s="2633"/>
      <c r="AJ49" s="2633"/>
      <c r="AK49" s="2633"/>
    </row>
    <row r="50" spans="1:37" s="2634" customFormat="1" ht="24">
      <c r="A50" s="2643" t="s">
        <v>2741</v>
      </c>
      <c r="B50" s="2647">
        <f>估价对象房地状况!C19</f>
        <v>0</v>
      </c>
      <c r="C50" s="2542"/>
      <c r="D50" s="1368">
        <f t="shared" si="10"/>
        <v>0</v>
      </c>
      <c r="E50" s="831"/>
      <c r="F50" s="2261"/>
      <c r="G50" s="1369"/>
      <c r="H50" s="1373" t="str">
        <f t="shared" si="11"/>
        <v>——</v>
      </c>
      <c r="I50" s="827">
        <v>0.05</v>
      </c>
      <c r="J50" s="1370">
        <f t="shared" si="12"/>
        <v>0</v>
      </c>
      <c r="K50" s="1370">
        <f t="shared" si="13"/>
        <v>0</v>
      </c>
      <c r="L50" s="1370">
        <v>0</v>
      </c>
      <c r="M50" s="1370">
        <f t="shared" si="14"/>
        <v>0</v>
      </c>
      <c r="N50" s="1370">
        <f t="shared" si="14"/>
        <v>0</v>
      </c>
      <c r="O50" s="1454"/>
      <c r="P50" s="1454"/>
      <c r="Q50" s="1454"/>
      <c r="R50" s="1454"/>
      <c r="S50" s="1454"/>
      <c r="T50" s="1454"/>
      <c r="U50" s="1454"/>
      <c r="V50" s="1454"/>
      <c r="W50" s="1454"/>
      <c r="X50" s="1454"/>
      <c r="Y50" s="1454"/>
      <c r="Z50" s="1454"/>
      <c r="AA50" s="1455"/>
      <c r="AB50" s="1455"/>
      <c r="AC50" s="1455"/>
      <c r="AD50" s="1455"/>
      <c r="AE50" s="1455"/>
      <c r="AF50" s="1455"/>
      <c r="AG50" s="1455"/>
      <c r="AH50" s="2633"/>
      <c r="AI50" s="2633"/>
      <c r="AJ50" s="2633"/>
      <c r="AK50" s="2633"/>
    </row>
    <row r="51" spans="1:37" s="2634" customFormat="1" ht="36.75">
      <c r="A51" s="2643" t="s">
        <v>2742</v>
      </c>
      <c r="B51" s="2648" t="s">
        <v>2743</v>
      </c>
      <c r="C51" s="2542"/>
      <c r="D51" s="1368">
        <f t="shared" si="10"/>
        <v>0</v>
      </c>
      <c r="E51" s="831"/>
      <c r="F51" s="2261"/>
      <c r="G51" s="1369"/>
      <c r="H51" s="1373" t="str">
        <f t="shared" si="11"/>
        <v>——</v>
      </c>
      <c r="I51" s="827">
        <v>0.05</v>
      </c>
      <c r="J51" s="1370">
        <f t="shared" si="12"/>
        <v>0</v>
      </c>
      <c r="K51" s="1370">
        <f t="shared" si="13"/>
        <v>0</v>
      </c>
      <c r="L51" s="1370">
        <v>0</v>
      </c>
      <c r="M51" s="1370">
        <f t="shared" si="14"/>
        <v>0</v>
      </c>
      <c r="N51" s="1370">
        <f t="shared" si="14"/>
        <v>0</v>
      </c>
      <c r="O51" s="1454"/>
      <c r="P51" s="1454"/>
      <c r="Q51" s="1454"/>
      <c r="R51" s="1454"/>
      <c r="S51" s="1454"/>
      <c r="T51" s="1454"/>
      <c r="U51" s="1454"/>
      <c r="V51" s="1454"/>
      <c r="W51" s="1454"/>
      <c r="X51" s="1454"/>
      <c r="Y51" s="1454"/>
      <c r="Z51" s="1454"/>
      <c r="AA51" s="1455"/>
      <c r="AB51" s="1455"/>
      <c r="AC51" s="1455"/>
      <c r="AD51" s="1455"/>
      <c r="AE51" s="1455"/>
      <c r="AF51" s="1455"/>
      <c r="AG51" s="1455"/>
      <c r="AH51" s="2633"/>
      <c r="AI51" s="2633"/>
      <c r="AJ51" s="2633"/>
      <c r="AK51" s="2633"/>
    </row>
    <row r="52" spans="1:37" s="2634" customFormat="1" ht="24">
      <c r="A52" s="2643" t="s">
        <v>2744</v>
      </c>
      <c r="B52" s="2647">
        <f>估价对象房地状况!C24</f>
        <v>0</v>
      </c>
      <c r="C52" s="2542"/>
      <c r="D52" s="1368">
        <f t="shared" si="10"/>
        <v>0</v>
      </c>
      <c r="E52" s="831"/>
      <c r="F52" s="2261"/>
      <c r="G52" s="1369"/>
      <c r="H52" s="1373" t="str">
        <f t="shared" si="11"/>
        <v>——</v>
      </c>
      <c r="I52" s="827">
        <v>0.08</v>
      </c>
      <c r="J52" s="1370">
        <f t="shared" si="12"/>
        <v>0</v>
      </c>
      <c r="K52" s="1370">
        <f t="shared" si="13"/>
        <v>0</v>
      </c>
      <c r="L52" s="1370">
        <v>0</v>
      </c>
      <c r="M52" s="1370">
        <f t="shared" si="14"/>
        <v>0</v>
      </c>
      <c r="N52" s="1370">
        <f t="shared" si="14"/>
        <v>0</v>
      </c>
      <c r="O52" s="1454"/>
      <c r="P52" s="1454"/>
      <c r="Q52" s="1454"/>
      <c r="R52" s="1454"/>
      <c r="S52" s="1454"/>
      <c r="T52" s="1454"/>
      <c r="U52" s="1454"/>
      <c r="V52" s="1454"/>
      <c r="W52" s="1454"/>
      <c r="X52" s="1454"/>
      <c r="Y52" s="1454"/>
      <c r="Z52" s="1454"/>
      <c r="AA52" s="1455"/>
      <c r="AB52" s="1455"/>
      <c r="AC52" s="1455"/>
      <c r="AD52" s="1455"/>
      <c r="AE52" s="1455"/>
      <c r="AF52" s="1455"/>
      <c r="AG52" s="1455"/>
      <c r="AH52" s="2633"/>
      <c r="AI52" s="2633"/>
      <c r="AJ52" s="2633"/>
      <c r="AK52" s="2633"/>
    </row>
    <row r="53" spans="1:37" s="2634" customFormat="1" ht="24">
      <c r="A53" s="2643" t="s">
        <v>2745</v>
      </c>
      <c r="B53" s="2649" t="s">
        <v>2746</v>
      </c>
      <c r="C53" s="2542"/>
      <c r="D53" s="1368">
        <f t="shared" si="10"/>
        <v>0</v>
      </c>
      <c r="E53" s="831"/>
      <c r="F53" s="2261"/>
      <c r="G53" s="1369"/>
      <c r="H53" s="1373" t="str">
        <f t="shared" si="11"/>
        <v>——</v>
      </c>
      <c r="I53" s="827">
        <v>0.03</v>
      </c>
      <c r="J53" s="1370">
        <f t="shared" si="12"/>
        <v>0</v>
      </c>
      <c r="K53" s="1370">
        <f t="shared" si="13"/>
        <v>0</v>
      </c>
      <c r="L53" s="1370">
        <v>0</v>
      </c>
      <c r="M53" s="1370">
        <f t="shared" si="14"/>
        <v>0</v>
      </c>
      <c r="N53" s="1370">
        <f t="shared" si="14"/>
        <v>0</v>
      </c>
      <c r="O53" s="1454"/>
      <c r="P53" s="1454"/>
      <c r="Q53" s="1454"/>
      <c r="R53" s="1454"/>
      <c r="S53" s="1454"/>
      <c r="T53" s="1454"/>
      <c r="U53" s="1454"/>
      <c r="V53" s="1454"/>
      <c r="W53" s="1454"/>
      <c r="X53" s="1454"/>
      <c r="Y53" s="1454"/>
      <c r="Z53" s="1454"/>
      <c r="AA53" s="1455"/>
      <c r="AB53" s="1455"/>
      <c r="AC53" s="1455"/>
      <c r="AD53" s="1455"/>
      <c r="AE53" s="1455"/>
      <c r="AF53" s="1455"/>
      <c r="AG53" s="1455"/>
      <c r="AH53" s="2633"/>
      <c r="AI53" s="2633"/>
      <c r="AJ53" s="2633"/>
      <c r="AK53" s="2633"/>
    </row>
    <row r="54" spans="1:37" s="2634" customFormat="1" ht="25.5">
      <c r="A54" s="2650" t="s">
        <v>2747</v>
      </c>
      <c r="B54" s="2651" t="str">
        <f>估价对象房地状况!C21</f>
        <v>估价对象所在区域公共配套设施齐备情况</v>
      </c>
      <c r="C54" s="2542"/>
      <c r="D54" s="1368">
        <f t="shared" si="10"/>
        <v>0</v>
      </c>
      <c r="E54" s="831"/>
      <c r="F54" s="2261"/>
      <c r="G54" s="1369"/>
      <c r="H54" s="1373" t="str">
        <f t="shared" si="11"/>
        <v>——</v>
      </c>
      <c r="I54" s="827">
        <v>0.05</v>
      </c>
      <c r="J54" s="1370">
        <f t="shared" si="12"/>
        <v>0</v>
      </c>
      <c r="K54" s="1370">
        <f t="shared" si="13"/>
        <v>0</v>
      </c>
      <c r="L54" s="1370">
        <v>0</v>
      </c>
      <c r="M54" s="1370">
        <f t="shared" si="14"/>
        <v>0</v>
      </c>
      <c r="N54" s="1370">
        <f t="shared" si="14"/>
        <v>0</v>
      </c>
      <c r="O54" s="1454"/>
      <c r="P54" s="1454"/>
      <c r="Q54" s="1454"/>
      <c r="R54" s="1454"/>
      <c r="S54" s="1454"/>
      <c r="T54" s="1454"/>
      <c r="U54" s="1454"/>
      <c r="V54" s="1454"/>
      <c r="W54" s="1454"/>
      <c r="X54" s="1454"/>
      <c r="Y54" s="1454"/>
      <c r="Z54" s="1454"/>
      <c r="AA54" s="1455"/>
      <c r="AB54" s="1455"/>
      <c r="AC54" s="1455"/>
      <c r="AD54" s="1455"/>
      <c r="AE54" s="1455"/>
      <c r="AF54" s="1455"/>
      <c r="AG54" s="1455"/>
      <c r="AH54" s="2633"/>
      <c r="AI54" s="2633"/>
      <c r="AJ54" s="2633"/>
      <c r="AK54" s="2633"/>
    </row>
    <row r="55" spans="1:37" s="2634" customFormat="1" ht="25.5">
      <c r="A55" s="2650" t="s">
        <v>2748</v>
      </c>
      <c r="B55" s="2647" t="str">
        <f>估价对象房地状况!C22</f>
        <v>估价对象所在区域基础设施水平</v>
      </c>
      <c r="C55" s="2542"/>
      <c r="D55" s="1368">
        <f t="shared" si="10"/>
        <v>0</v>
      </c>
      <c r="E55" s="831"/>
      <c r="F55" s="2261"/>
      <c r="G55" s="1369"/>
      <c r="H55" s="1373" t="str">
        <f t="shared" si="11"/>
        <v>——</v>
      </c>
      <c r="I55" s="827">
        <v>0.1</v>
      </c>
      <c r="J55" s="1370">
        <f t="shared" si="12"/>
        <v>0</v>
      </c>
      <c r="K55" s="1370">
        <f t="shared" si="13"/>
        <v>0</v>
      </c>
      <c r="L55" s="1370">
        <v>0</v>
      </c>
      <c r="M55" s="1370">
        <f t="shared" si="14"/>
        <v>0</v>
      </c>
      <c r="N55" s="1370">
        <f t="shared" si="14"/>
        <v>0</v>
      </c>
      <c r="O55" s="1454"/>
      <c r="P55" s="1454"/>
      <c r="Q55" s="1454"/>
      <c r="R55" s="1454"/>
      <c r="S55" s="1454"/>
      <c r="T55" s="1454"/>
      <c r="U55" s="1454"/>
      <c r="V55" s="1454"/>
      <c r="W55" s="1454"/>
      <c r="X55" s="1454"/>
      <c r="Y55" s="1454"/>
      <c r="Z55" s="1454"/>
      <c r="AA55" s="1455"/>
      <c r="AB55" s="1455"/>
      <c r="AC55" s="1455"/>
      <c r="AD55" s="1455"/>
      <c r="AE55" s="1455"/>
      <c r="AF55" s="1455"/>
      <c r="AG55" s="1455"/>
      <c r="AH55" s="2633"/>
      <c r="AI55" s="2633"/>
      <c r="AJ55" s="2633"/>
      <c r="AK55" s="2633"/>
    </row>
    <row r="56" spans="1:37" s="2634" customFormat="1" ht="39" thickBot="1">
      <c r="A56" s="2652" t="s">
        <v>2749</v>
      </c>
      <c r="B56" s="2653" t="str">
        <f>估价对象房地状况!C20</f>
        <v>区域自然环境：；人文环境；综合评价环境状况一般</v>
      </c>
      <c r="C56" s="2542"/>
      <c r="D56" s="1368">
        <f t="shared" si="10"/>
        <v>0</v>
      </c>
      <c r="E56" s="837"/>
      <c r="F56" s="2261"/>
      <c r="G56" s="1369"/>
      <c r="H56" s="1373" t="str">
        <f t="shared" si="11"/>
        <v>——</v>
      </c>
      <c r="I56" s="836">
        <v>0.06</v>
      </c>
      <c r="J56" s="1370">
        <f t="shared" si="12"/>
        <v>0</v>
      </c>
      <c r="K56" s="1370">
        <f t="shared" si="13"/>
        <v>0</v>
      </c>
      <c r="L56" s="1370">
        <v>0</v>
      </c>
      <c r="M56" s="1370">
        <f t="shared" si="14"/>
        <v>0</v>
      </c>
      <c r="N56" s="1370">
        <f t="shared" si="14"/>
        <v>0</v>
      </c>
      <c r="O56" s="1454"/>
      <c r="P56" s="1454"/>
      <c r="Q56" s="1454"/>
      <c r="R56" s="1454"/>
      <c r="S56" s="1454"/>
      <c r="T56" s="1454"/>
      <c r="U56" s="1454"/>
      <c r="V56" s="1454"/>
      <c r="W56" s="1454"/>
      <c r="X56" s="1454"/>
      <c r="Y56" s="1454"/>
      <c r="Z56" s="1454"/>
      <c r="AA56" s="1455"/>
      <c r="AB56" s="1455"/>
      <c r="AC56" s="1455"/>
      <c r="AD56" s="1455"/>
      <c r="AE56" s="1455"/>
      <c r="AF56" s="1455"/>
      <c r="AG56" s="1455"/>
      <c r="AH56" s="2633"/>
      <c r="AI56" s="2633"/>
      <c r="AJ56" s="2633"/>
      <c r="AK56" s="2633"/>
    </row>
    <row r="57" spans="1:37" s="2634" customFormat="1" ht="15">
      <c r="A57" s="2638" t="s">
        <v>2750</v>
      </c>
      <c r="B57" s="2654">
        <f>1+E59</f>
        <v>1</v>
      </c>
      <c r="C57" s="816"/>
      <c r="D57" s="816"/>
      <c r="E57" s="817"/>
      <c r="F57" s="2641"/>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33"/>
      <c r="AI57" s="2633"/>
      <c r="AJ57" s="2633"/>
      <c r="AK57" s="2633"/>
    </row>
    <row r="58" spans="1:37" s="2634" customFormat="1" ht="24.75">
      <c r="A58" s="2643" t="s">
        <v>2725</v>
      </c>
      <c r="B58" s="2647"/>
      <c r="C58" s="822" t="s">
        <v>2727</v>
      </c>
      <c r="D58" s="822" t="s">
        <v>2728</v>
      </c>
      <c r="E58" s="823" t="s">
        <v>2729</v>
      </c>
      <c r="F58" s="2644" t="s">
        <v>2730</v>
      </c>
      <c r="G58" s="822" t="s">
        <v>2751</v>
      </c>
      <c r="H58" s="2645" t="s">
        <v>2752</v>
      </c>
      <c r="I58" s="822" t="s">
        <v>2753</v>
      </c>
      <c r="J58" s="587" t="s">
        <v>2387</v>
      </c>
      <c r="K58" s="587" t="s">
        <v>2388</v>
      </c>
      <c r="L58" s="587" t="s">
        <v>2389</v>
      </c>
      <c r="M58" s="587" t="s">
        <v>2390</v>
      </c>
      <c r="N58" s="587" t="s">
        <v>2391</v>
      </c>
      <c r="O58" s="1454"/>
      <c r="P58" s="1454"/>
      <c r="Q58" s="1454"/>
      <c r="R58" s="1454"/>
      <c r="S58" s="1454"/>
      <c r="T58" s="1454"/>
      <c r="U58" s="1454"/>
      <c r="V58" s="1454"/>
      <c r="W58" s="1454"/>
      <c r="X58" s="1454"/>
      <c r="Y58" s="1454"/>
      <c r="Z58" s="1454"/>
      <c r="AA58" s="1455"/>
      <c r="AB58" s="1455"/>
      <c r="AC58" s="1455"/>
      <c r="AD58" s="1455"/>
      <c r="AE58" s="1455"/>
      <c r="AF58" s="1455"/>
      <c r="AG58" s="1455"/>
      <c r="AH58" s="2633"/>
      <c r="AI58" s="2633"/>
      <c r="AJ58" s="2633"/>
      <c r="AK58" s="2633"/>
    </row>
    <row r="59" spans="1:37" s="2634" customFormat="1" ht="38.25">
      <c r="A59" s="2643" t="s">
        <v>2754</v>
      </c>
      <c r="B59" s="2646" t="str">
        <f>估价对象房地状况!C17</f>
        <v>估价对象位于XX商圈，周边办公楼项目较多，入驻率高，办公集聚程度较好</v>
      </c>
      <c r="C59" s="2542"/>
      <c r="D59" s="1368">
        <f t="shared" ref="D59:D67" si="15">SUMIF($J$58:$N$58,C59,J59:N59)</f>
        <v>0</v>
      </c>
      <c r="E59" s="828">
        <f>ROUND(SUM(D59:D67),4)</f>
        <v>0</v>
      </c>
      <c r="F59" s="2261" t="str">
        <f>IF(E2="办公",SUMIF(L1:L12,G2,N1:N12),"——")</f>
        <v>——</v>
      </c>
      <c r="G59" s="1369"/>
      <c r="H59" s="1373" t="str">
        <f t="shared" ref="H59:H67" si="16">IFERROR(ROUNDDOWN($F$59*I59/2,4),"——")</f>
        <v>——</v>
      </c>
      <c r="I59" s="827">
        <v>0.24</v>
      </c>
      <c r="J59" s="1370">
        <f t="shared" ref="J59:J67" si="17">K59+$G59</f>
        <v>0</v>
      </c>
      <c r="K59" s="1370">
        <f t="shared" ref="K59:K67" si="18">$L59+$G59</f>
        <v>0</v>
      </c>
      <c r="L59" s="1370">
        <v>0</v>
      </c>
      <c r="M59" s="1370">
        <f t="shared" ref="M59:N67" si="19">L59-$G59</f>
        <v>0</v>
      </c>
      <c r="N59" s="1370">
        <f t="shared" si="19"/>
        <v>0</v>
      </c>
      <c r="O59" s="1454"/>
      <c r="P59" s="1454"/>
      <c r="Q59" s="1454"/>
      <c r="R59" s="1454"/>
      <c r="S59" s="1454"/>
      <c r="T59" s="1454"/>
      <c r="U59" s="1454"/>
      <c r="V59" s="1454"/>
      <c r="W59" s="1454"/>
      <c r="X59" s="1454"/>
      <c r="Y59" s="1454"/>
      <c r="Z59" s="1454"/>
      <c r="AA59" s="1455"/>
      <c r="AB59" s="1455"/>
      <c r="AC59" s="1455"/>
      <c r="AD59" s="1455"/>
      <c r="AE59" s="1455"/>
      <c r="AF59" s="1455"/>
      <c r="AG59" s="1455"/>
      <c r="AH59" s="2633"/>
      <c r="AI59" s="2633"/>
      <c r="AJ59" s="2633"/>
      <c r="AK59" s="2633"/>
    </row>
    <row r="60" spans="1:37" s="2634" customFormat="1" ht="51">
      <c r="A60" s="2643" t="s">
        <v>2740</v>
      </c>
      <c r="B60" s="2647" t="str">
        <f>估价对象房地状况!C18</f>
        <v>估价对象周边道路状况、公共交通通达情况、停车便捷程度，综合评价交通便捷度较好</v>
      </c>
      <c r="C60" s="2542"/>
      <c r="D60" s="1368">
        <f t="shared" si="15"/>
        <v>0</v>
      </c>
      <c r="E60" s="831"/>
      <c r="F60" s="2261"/>
      <c r="G60" s="1369"/>
      <c r="H60" s="1373" t="str">
        <f t="shared" si="16"/>
        <v>——</v>
      </c>
      <c r="I60" s="827">
        <v>0.3</v>
      </c>
      <c r="J60" s="1370">
        <f t="shared" si="17"/>
        <v>0</v>
      </c>
      <c r="K60" s="1370">
        <f t="shared" si="18"/>
        <v>0</v>
      </c>
      <c r="L60" s="1370">
        <v>0</v>
      </c>
      <c r="M60" s="1370">
        <f t="shared" si="19"/>
        <v>0</v>
      </c>
      <c r="N60" s="1370">
        <f t="shared" si="19"/>
        <v>0</v>
      </c>
      <c r="O60" s="1454"/>
      <c r="P60" s="1454"/>
      <c r="Q60" s="1454"/>
      <c r="R60" s="1454"/>
      <c r="S60" s="1454"/>
      <c r="T60" s="1454"/>
      <c r="U60" s="1454"/>
      <c r="V60" s="1454"/>
      <c r="W60" s="1454"/>
      <c r="X60" s="1454"/>
      <c r="Y60" s="1454"/>
      <c r="Z60" s="1454"/>
      <c r="AA60" s="1455"/>
      <c r="AB60" s="1455"/>
      <c r="AC60" s="1455"/>
      <c r="AD60" s="1455"/>
      <c r="AE60" s="1455"/>
      <c r="AF60" s="1455"/>
      <c r="AG60" s="1455"/>
      <c r="AH60" s="2633"/>
      <c r="AI60" s="2633"/>
      <c r="AJ60" s="2633"/>
      <c r="AK60" s="2633"/>
    </row>
    <row r="61" spans="1:37" s="2634" customFormat="1" ht="24">
      <c r="A61" s="2643" t="s">
        <v>2741</v>
      </c>
      <c r="B61" s="2647">
        <f>估价对象房地状况!C19</f>
        <v>0</v>
      </c>
      <c r="C61" s="2542"/>
      <c r="D61" s="1368">
        <f t="shared" si="15"/>
        <v>0</v>
      </c>
      <c r="E61" s="831"/>
      <c r="F61" s="2261"/>
      <c r="G61" s="1369"/>
      <c r="H61" s="1373" t="str">
        <f t="shared" si="16"/>
        <v>——</v>
      </c>
      <c r="I61" s="827">
        <v>0.08</v>
      </c>
      <c r="J61" s="1370">
        <f t="shared" si="17"/>
        <v>0</v>
      </c>
      <c r="K61" s="1370">
        <f t="shared" si="18"/>
        <v>0</v>
      </c>
      <c r="L61" s="1370">
        <v>0</v>
      </c>
      <c r="M61" s="1370">
        <f t="shared" si="19"/>
        <v>0</v>
      </c>
      <c r="N61" s="1370">
        <f t="shared" si="19"/>
        <v>0</v>
      </c>
      <c r="O61" s="1454"/>
      <c r="P61" s="1454"/>
      <c r="Q61" s="1454"/>
      <c r="R61" s="1454"/>
      <c r="S61" s="1454"/>
      <c r="T61" s="1454"/>
      <c r="U61" s="1454"/>
      <c r="V61" s="1454"/>
      <c r="W61" s="1454"/>
      <c r="X61" s="1454"/>
      <c r="Y61" s="1454"/>
      <c r="Z61" s="1454"/>
      <c r="AA61" s="1455"/>
      <c r="AB61" s="1455"/>
      <c r="AC61" s="1455"/>
      <c r="AD61" s="1455"/>
      <c r="AE61" s="1455"/>
      <c r="AF61" s="1455"/>
      <c r="AG61" s="1455"/>
      <c r="AH61" s="2633"/>
      <c r="AI61" s="2633"/>
      <c r="AJ61" s="2633"/>
      <c r="AK61" s="2633"/>
    </row>
    <row r="62" spans="1:37" s="2634" customFormat="1" ht="36.75">
      <c r="A62" s="2643" t="s">
        <v>2742</v>
      </c>
      <c r="B62" s="2648" t="s">
        <v>2743</v>
      </c>
      <c r="C62" s="2542"/>
      <c r="D62" s="1368">
        <f t="shared" si="15"/>
        <v>0</v>
      </c>
      <c r="E62" s="831"/>
      <c r="F62" s="2261"/>
      <c r="G62" s="1369"/>
      <c r="H62" s="1373" t="str">
        <f t="shared" si="16"/>
        <v>——</v>
      </c>
      <c r="I62" s="827">
        <v>0.04</v>
      </c>
      <c r="J62" s="1370">
        <f t="shared" si="17"/>
        <v>0</v>
      </c>
      <c r="K62" s="1370">
        <f t="shared" si="18"/>
        <v>0</v>
      </c>
      <c r="L62" s="1370">
        <v>0</v>
      </c>
      <c r="M62" s="1370">
        <f t="shared" si="19"/>
        <v>0</v>
      </c>
      <c r="N62" s="1370">
        <f t="shared" si="19"/>
        <v>0</v>
      </c>
      <c r="O62" s="1454"/>
      <c r="P62" s="1454"/>
      <c r="Q62" s="1454"/>
      <c r="R62" s="1454"/>
      <c r="S62" s="1454"/>
      <c r="T62" s="1454"/>
      <c r="U62" s="1454"/>
      <c r="V62" s="1454"/>
      <c r="W62" s="1454"/>
      <c r="X62" s="1454"/>
      <c r="Y62" s="1454"/>
      <c r="Z62" s="1454"/>
      <c r="AA62" s="1455"/>
      <c r="AB62" s="1455"/>
      <c r="AC62" s="1455"/>
      <c r="AD62" s="1455"/>
      <c r="AE62" s="1455"/>
      <c r="AF62" s="1455"/>
      <c r="AG62" s="1455"/>
      <c r="AH62" s="2633"/>
      <c r="AI62" s="2633"/>
      <c r="AJ62" s="2633"/>
      <c r="AK62" s="2633"/>
    </row>
    <row r="63" spans="1:37" s="2634" customFormat="1" ht="24">
      <c r="A63" s="2643" t="s">
        <v>2744</v>
      </c>
      <c r="B63" s="2647">
        <f>估价对象房地状况!C24</f>
        <v>0</v>
      </c>
      <c r="C63" s="2542"/>
      <c r="D63" s="1368">
        <f t="shared" si="15"/>
        <v>0</v>
      </c>
      <c r="E63" s="831"/>
      <c r="F63" s="2261"/>
      <c r="G63" s="1369"/>
      <c r="H63" s="1373" t="str">
        <f t="shared" si="16"/>
        <v>——</v>
      </c>
      <c r="I63" s="827">
        <v>0.05</v>
      </c>
      <c r="J63" s="1370">
        <f t="shared" si="17"/>
        <v>0</v>
      </c>
      <c r="K63" s="1370">
        <f t="shared" si="18"/>
        <v>0</v>
      </c>
      <c r="L63" s="1370">
        <v>0</v>
      </c>
      <c r="M63" s="1370">
        <f t="shared" si="19"/>
        <v>0</v>
      </c>
      <c r="N63" s="1370">
        <f t="shared" si="19"/>
        <v>0</v>
      </c>
      <c r="O63" s="1454"/>
      <c r="P63" s="1454"/>
      <c r="Q63" s="1454"/>
      <c r="R63" s="1454"/>
      <c r="S63" s="1454"/>
      <c r="T63" s="1454"/>
      <c r="U63" s="1454"/>
      <c r="V63" s="1454"/>
      <c r="W63" s="1454"/>
      <c r="X63" s="1454"/>
      <c r="Y63" s="1454"/>
      <c r="Z63" s="1454"/>
      <c r="AA63" s="1455"/>
      <c r="AB63" s="1455"/>
      <c r="AC63" s="1455"/>
      <c r="AD63" s="1455"/>
      <c r="AE63" s="1455"/>
      <c r="AF63" s="1455"/>
      <c r="AG63" s="1455"/>
      <c r="AH63" s="2633"/>
      <c r="AI63" s="2633"/>
      <c r="AJ63" s="2633"/>
      <c r="AK63" s="2633"/>
    </row>
    <row r="64" spans="1:37" s="2634" customFormat="1" ht="24">
      <c r="A64" s="2643" t="s">
        <v>2745</v>
      </c>
      <c r="B64" s="2649" t="s">
        <v>2746</v>
      </c>
      <c r="C64" s="2542"/>
      <c r="D64" s="1368">
        <f t="shared" si="15"/>
        <v>0</v>
      </c>
      <c r="E64" s="831"/>
      <c r="F64" s="2261"/>
      <c r="G64" s="1369"/>
      <c r="H64" s="1373" t="str">
        <f t="shared" si="16"/>
        <v>——</v>
      </c>
      <c r="I64" s="827">
        <v>0.05</v>
      </c>
      <c r="J64" s="1370">
        <f t="shared" si="17"/>
        <v>0</v>
      </c>
      <c r="K64" s="1370">
        <f t="shared" si="18"/>
        <v>0</v>
      </c>
      <c r="L64" s="1370">
        <v>0</v>
      </c>
      <c r="M64" s="1370">
        <f t="shared" si="19"/>
        <v>0</v>
      </c>
      <c r="N64" s="1370">
        <f t="shared" si="19"/>
        <v>0</v>
      </c>
      <c r="O64" s="1454"/>
      <c r="P64" s="1454"/>
      <c r="Q64" s="1454"/>
      <c r="R64" s="1454"/>
      <c r="S64" s="1454"/>
      <c r="T64" s="1454"/>
      <c r="U64" s="1454"/>
      <c r="V64" s="1454"/>
      <c r="W64" s="1454"/>
      <c r="X64" s="1454"/>
      <c r="Y64" s="1454"/>
      <c r="Z64" s="1454"/>
      <c r="AA64" s="1455"/>
      <c r="AB64" s="1455"/>
      <c r="AC64" s="1455"/>
      <c r="AD64" s="1455"/>
      <c r="AE64" s="1455"/>
      <c r="AF64" s="1455"/>
      <c r="AG64" s="1455"/>
      <c r="AH64" s="2633"/>
      <c r="AI64" s="2633"/>
      <c r="AJ64" s="2633"/>
      <c r="AK64" s="2633"/>
    </row>
    <row r="65" spans="1:37" s="2634" customFormat="1" ht="25.5">
      <c r="A65" s="2643" t="s">
        <v>2747</v>
      </c>
      <c r="B65" s="2651" t="str">
        <f>估价对象房地状况!C21</f>
        <v>估价对象所在区域公共配套设施齐备情况</v>
      </c>
      <c r="C65" s="2542"/>
      <c r="D65" s="1368">
        <f t="shared" si="15"/>
        <v>0</v>
      </c>
      <c r="E65" s="831"/>
      <c r="F65" s="2261"/>
      <c r="G65" s="1369"/>
      <c r="H65" s="1373" t="str">
        <f t="shared" si="16"/>
        <v>——</v>
      </c>
      <c r="I65" s="827">
        <v>0.06</v>
      </c>
      <c r="J65" s="1370">
        <f t="shared" si="17"/>
        <v>0</v>
      </c>
      <c r="K65" s="1370">
        <f t="shared" si="18"/>
        <v>0</v>
      </c>
      <c r="L65" s="1370">
        <v>0</v>
      </c>
      <c r="M65" s="1370">
        <f t="shared" si="19"/>
        <v>0</v>
      </c>
      <c r="N65" s="1370">
        <f t="shared" si="19"/>
        <v>0</v>
      </c>
      <c r="O65" s="1454"/>
      <c r="P65" s="1454"/>
      <c r="Q65" s="1454"/>
      <c r="R65" s="1454"/>
      <c r="S65" s="1454"/>
      <c r="T65" s="1454"/>
      <c r="U65" s="1454"/>
      <c r="V65" s="1454"/>
      <c r="W65" s="1454"/>
      <c r="X65" s="1454"/>
      <c r="Y65" s="1454"/>
      <c r="Z65" s="1454"/>
      <c r="AA65" s="1455"/>
      <c r="AB65" s="1455"/>
      <c r="AC65" s="1455"/>
      <c r="AD65" s="1455"/>
      <c r="AE65" s="1455"/>
      <c r="AF65" s="1455"/>
      <c r="AG65" s="1455"/>
      <c r="AH65" s="2633"/>
      <c r="AI65" s="2633"/>
      <c r="AJ65" s="2633"/>
      <c r="AK65" s="2633"/>
    </row>
    <row r="66" spans="1:37" s="2634" customFormat="1" ht="25.5">
      <c r="A66" s="2643" t="s">
        <v>2748</v>
      </c>
      <c r="B66" s="2651" t="str">
        <f>估价对象房地状况!C22</f>
        <v>估价对象所在区域基础设施水平</v>
      </c>
      <c r="C66" s="2542"/>
      <c r="D66" s="1368">
        <f t="shared" si="15"/>
        <v>0</v>
      </c>
      <c r="E66" s="831"/>
      <c r="F66" s="2261"/>
      <c r="G66" s="1369"/>
      <c r="H66" s="1373" t="str">
        <f t="shared" si="16"/>
        <v>——</v>
      </c>
      <c r="I66" s="827">
        <v>0.12</v>
      </c>
      <c r="J66" s="1370">
        <f t="shared" si="17"/>
        <v>0</v>
      </c>
      <c r="K66" s="1370">
        <f t="shared" si="18"/>
        <v>0</v>
      </c>
      <c r="L66" s="1370">
        <v>0</v>
      </c>
      <c r="M66" s="1370">
        <f t="shared" si="19"/>
        <v>0</v>
      </c>
      <c r="N66" s="1370">
        <f t="shared" si="19"/>
        <v>0</v>
      </c>
      <c r="O66" s="1454"/>
      <c r="P66" s="1454"/>
      <c r="Q66" s="1454"/>
      <c r="R66" s="1454"/>
      <c r="S66" s="1454"/>
      <c r="T66" s="1454"/>
      <c r="U66" s="1454"/>
      <c r="V66" s="1454"/>
      <c r="W66" s="1454"/>
      <c r="X66" s="1454"/>
      <c r="Y66" s="1454"/>
      <c r="Z66" s="1454"/>
      <c r="AA66" s="1455"/>
      <c r="AB66" s="1455"/>
      <c r="AC66" s="1455"/>
      <c r="AD66" s="1455"/>
      <c r="AE66" s="1455"/>
      <c r="AF66" s="1455"/>
      <c r="AG66" s="1455"/>
      <c r="AH66" s="2633"/>
      <c r="AI66" s="2633"/>
      <c r="AJ66" s="2633"/>
      <c r="AK66" s="2633"/>
    </row>
    <row r="67" spans="1:37" s="2634" customFormat="1" ht="39" thickBot="1">
      <c r="A67" s="2652" t="s">
        <v>2749</v>
      </c>
      <c r="B67" s="2655" t="str">
        <f>估价对象房地状况!C20</f>
        <v>区域自然环境：；人文环境；综合评价环境状况一般</v>
      </c>
      <c r="C67" s="2542"/>
      <c r="D67" s="1368">
        <f t="shared" si="15"/>
        <v>0</v>
      </c>
      <c r="E67" s="837"/>
      <c r="F67" s="2261"/>
      <c r="G67" s="1369"/>
      <c r="H67" s="1373" t="str">
        <f t="shared" si="16"/>
        <v>——</v>
      </c>
      <c r="I67" s="836">
        <v>0.06</v>
      </c>
      <c r="J67" s="1370">
        <f t="shared" si="17"/>
        <v>0</v>
      </c>
      <c r="K67" s="1370">
        <f t="shared" si="18"/>
        <v>0</v>
      </c>
      <c r="L67" s="1370">
        <v>0</v>
      </c>
      <c r="M67" s="1370">
        <f t="shared" si="19"/>
        <v>0</v>
      </c>
      <c r="N67" s="1370">
        <f t="shared" si="19"/>
        <v>0</v>
      </c>
      <c r="O67" s="1454"/>
      <c r="P67" s="1454"/>
      <c r="Q67" s="1454"/>
      <c r="R67" s="1454"/>
      <c r="S67" s="1454"/>
      <c r="T67" s="1454"/>
      <c r="U67" s="1454"/>
      <c r="V67" s="1454"/>
      <c r="W67" s="1454"/>
      <c r="X67" s="1454"/>
      <c r="Y67" s="1454"/>
      <c r="Z67" s="1454"/>
      <c r="AA67" s="1455"/>
      <c r="AB67" s="1455"/>
      <c r="AC67" s="1455"/>
      <c r="AD67" s="1455"/>
      <c r="AE67" s="1455"/>
      <c r="AF67" s="1455"/>
      <c r="AG67" s="1455"/>
      <c r="AH67" s="2633"/>
      <c r="AI67" s="2633"/>
      <c r="AJ67" s="2633"/>
      <c r="AK67" s="2633"/>
    </row>
    <row r="68" spans="1:37" s="2634" customFormat="1" ht="15">
      <c r="A68" s="2638" t="s">
        <v>2755</v>
      </c>
      <c r="B68" s="2654">
        <f>1+E70</f>
        <v>1</v>
      </c>
      <c r="C68" s="816"/>
      <c r="D68" s="816"/>
      <c r="E68" s="817"/>
      <c r="F68" s="2641"/>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33"/>
      <c r="AI68" s="2633"/>
      <c r="AJ68" s="2633"/>
      <c r="AK68" s="2633"/>
    </row>
    <row r="69" spans="1:37" s="2634" customFormat="1" ht="24.75">
      <c r="A69" s="2643" t="s">
        <v>2725</v>
      </c>
      <c r="B69" s="2647"/>
      <c r="C69" s="822" t="s">
        <v>2727</v>
      </c>
      <c r="D69" s="822" t="s">
        <v>2728</v>
      </c>
      <c r="E69" s="823" t="s">
        <v>2729</v>
      </c>
      <c r="F69" s="2644" t="s">
        <v>2730</v>
      </c>
      <c r="G69" s="822" t="s">
        <v>2751</v>
      </c>
      <c r="H69" s="2645" t="s">
        <v>2752</v>
      </c>
      <c r="I69" s="822" t="s">
        <v>2753</v>
      </c>
      <c r="J69" s="587" t="s">
        <v>2387</v>
      </c>
      <c r="K69" s="587" t="s">
        <v>2388</v>
      </c>
      <c r="L69" s="587" t="s">
        <v>2389</v>
      </c>
      <c r="M69" s="587" t="s">
        <v>2390</v>
      </c>
      <c r="N69" s="587" t="s">
        <v>2391</v>
      </c>
      <c r="O69" s="1454"/>
      <c r="P69" s="1454"/>
      <c r="Q69" s="1454"/>
      <c r="R69" s="1454"/>
      <c r="S69" s="1454"/>
      <c r="T69" s="1454"/>
      <c r="U69" s="1454"/>
      <c r="V69" s="1454"/>
      <c r="W69" s="1454"/>
      <c r="X69" s="1454"/>
      <c r="Y69" s="1454"/>
      <c r="Z69" s="1454"/>
      <c r="AA69" s="1455"/>
      <c r="AB69" s="1455"/>
      <c r="AC69" s="1455"/>
      <c r="AD69" s="1455"/>
      <c r="AE69" s="1455"/>
      <c r="AF69" s="1455"/>
      <c r="AG69" s="1455"/>
      <c r="AH69" s="2633"/>
      <c r="AI69" s="2633"/>
      <c r="AJ69" s="2633"/>
      <c r="AK69" s="2633"/>
    </row>
    <row r="70" spans="1:37" s="2634" customFormat="1" ht="51">
      <c r="A70" s="2643" t="s">
        <v>2756</v>
      </c>
      <c r="B70" s="2646" t="str">
        <f>估价对象房地状况!C15</f>
        <v>估价对象周边居住用地比例、居住小区规模和社区发展完善程度，综合评价居住社区成熟度一般</v>
      </c>
      <c r="C70" s="2542"/>
      <c r="D70" s="1368">
        <f t="shared" ref="D70:D78" si="20">SUMIF($J$69:$N$69,C70,J70:N70)</f>
        <v>0</v>
      </c>
      <c r="E70" s="828">
        <f>ROUND(SUM(D70:D78),4)</f>
        <v>0</v>
      </c>
      <c r="F70" s="2261" t="str">
        <f>IF(E2="住宅",SUMIF(L1:L12,G2,N1:N12),"——")</f>
        <v>——</v>
      </c>
      <c r="G70" s="1369"/>
      <c r="H70" s="1373" t="str">
        <f t="shared" ref="H70:H78" si="21">IFERROR(ROUNDDOWN($F$70*I70/2,4),"——")</f>
        <v>——</v>
      </c>
      <c r="I70" s="827">
        <v>0.14000000000000001</v>
      </c>
      <c r="J70" s="1370">
        <f t="shared" ref="J70:J78" si="22">K70+$G70</f>
        <v>0</v>
      </c>
      <c r="K70" s="1370">
        <f t="shared" ref="K70:K78" si="23">$L70+$G70</f>
        <v>0</v>
      </c>
      <c r="L70" s="1370">
        <v>0</v>
      </c>
      <c r="M70" s="1370">
        <f t="shared" ref="M70:N78" si="24">L70-$G70</f>
        <v>0</v>
      </c>
      <c r="N70" s="1370">
        <f t="shared" si="24"/>
        <v>0</v>
      </c>
      <c r="O70" s="1454"/>
      <c r="P70" s="1454"/>
      <c r="Q70" s="1454"/>
      <c r="R70" s="1454"/>
      <c r="S70" s="1454"/>
      <c r="T70" s="1454"/>
      <c r="U70" s="1454"/>
      <c r="V70" s="1454"/>
      <c r="W70" s="1454"/>
      <c r="X70" s="1454"/>
      <c r="Y70" s="1454"/>
      <c r="Z70" s="1454"/>
      <c r="AA70" s="1455"/>
      <c r="AB70" s="1455"/>
      <c r="AC70" s="1455"/>
      <c r="AD70" s="1455"/>
      <c r="AE70" s="1455"/>
      <c r="AF70" s="1455"/>
      <c r="AG70" s="1455"/>
      <c r="AH70" s="2633"/>
      <c r="AI70" s="2633"/>
      <c r="AJ70" s="2633"/>
      <c r="AK70" s="2633"/>
    </row>
    <row r="71" spans="1:37" s="2634" customFormat="1" ht="51">
      <c r="A71" s="2643" t="s">
        <v>2740</v>
      </c>
      <c r="B71" s="2647" t="str">
        <f>估价对象房地状况!C18</f>
        <v>估价对象周边道路状况、公共交通通达情况、停车便捷程度，综合评价交通便捷度较好</v>
      </c>
      <c r="C71" s="2542"/>
      <c r="D71" s="1368">
        <f t="shared" si="20"/>
        <v>0</v>
      </c>
      <c r="E71" s="839"/>
      <c r="F71" s="2656"/>
      <c r="G71" s="1369"/>
      <c r="H71" s="1373" t="str">
        <f t="shared" si="21"/>
        <v>——</v>
      </c>
      <c r="I71" s="827">
        <v>0.3</v>
      </c>
      <c r="J71" s="1370">
        <f t="shared" si="22"/>
        <v>0</v>
      </c>
      <c r="K71" s="1370">
        <f t="shared" si="23"/>
        <v>0</v>
      </c>
      <c r="L71" s="1370">
        <v>0</v>
      </c>
      <c r="M71" s="1370">
        <f t="shared" si="24"/>
        <v>0</v>
      </c>
      <c r="N71" s="1370">
        <f t="shared" si="24"/>
        <v>0</v>
      </c>
      <c r="O71" s="1454"/>
      <c r="P71" s="1454"/>
      <c r="Q71" s="1454"/>
      <c r="R71" s="1454"/>
      <c r="S71" s="1454"/>
      <c r="T71" s="1454"/>
      <c r="U71" s="1454"/>
      <c r="V71" s="1454"/>
      <c r="W71" s="1454"/>
      <c r="X71" s="1454"/>
      <c r="Y71" s="1454"/>
      <c r="Z71" s="1454"/>
      <c r="AA71" s="1455"/>
      <c r="AB71" s="1455"/>
      <c r="AC71" s="1455"/>
      <c r="AD71" s="1455"/>
      <c r="AE71" s="1455"/>
      <c r="AF71" s="1455"/>
      <c r="AG71" s="1455"/>
      <c r="AH71" s="2633"/>
      <c r="AI71" s="2633"/>
      <c r="AJ71" s="2633"/>
      <c r="AK71" s="2633"/>
    </row>
    <row r="72" spans="1:37" s="2634" customFormat="1" ht="24">
      <c r="A72" s="2643" t="s">
        <v>2741</v>
      </c>
      <c r="B72" s="2647">
        <f>估价对象房地状况!C19</f>
        <v>0</v>
      </c>
      <c r="C72" s="2542"/>
      <c r="D72" s="1368">
        <f t="shared" si="20"/>
        <v>0</v>
      </c>
      <c r="E72" s="839"/>
      <c r="F72" s="2656"/>
      <c r="G72" s="1369"/>
      <c r="H72" s="1373" t="str">
        <f t="shared" si="21"/>
        <v>——</v>
      </c>
      <c r="I72" s="827">
        <v>0.08</v>
      </c>
      <c r="J72" s="1370">
        <f t="shared" si="22"/>
        <v>0</v>
      </c>
      <c r="K72" s="1370">
        <f t="shared" si="23"/>
        <v>0</v>
      </c>
      <c r="L72" s="1370">
        <v>0</v>
      </c>
      <c r="M72" s="1370">
        <f t="shared" si="24"/>
        <v>0</v>
      </c>
      <c r="N72" s="1370">
        <f t="shared" si="24"/>
        <v>0</v>
      </c>
      <c r="O72" s="1454"/>
      <c r="P72" s="1454"/>
      <c r="Q72" s="1454"/>
      <c r="R72" s="1454"/>
      <c r="S72" s="1454"/>
      <c r="T72" s="1454"/>
      <c r="U72" s="1454"/>
      <c r="V72" s="1454"/>
      <c r="W72" s="1454"/>
      <c r="X72" s="1454"/>
      <c r="Y72" s="1454"/>
      <c r="Z72" s="1454"/>
      <c r="AA72" s="1455"/>
      <c r="AB72" s="1455"/>
      <c r="AC72" s="1455"/>
      <c r="AD72" s="1455"/>
      <c r="AE72" s="1455"/>
      <c r="AF72" s="1455"/>
      <c r="AG72" s="1455"/>
      <c r="AH72" s="2633"/>
      <c r="AI72" s="2633"/>
      <c r="AJ72" s="2633"/>
      <c r="AK72" s="2633"/>
    </row>
    <row r="73" spans="1:37" s="2634" customFormat="1" ht="14.25">
      <c r="A73" s="2643" t="s">
        <v>2757</v>
      </c>
      <c r="B73" s="2647">
        <f>估价对象房地状况!C24</f>
        <v>0</v>
      </c>
      <c r="C73" s="2542"/>
      <c r="D73" s="1368">
        <f t="shared" si="20"/>
        <v>0</v>
      </c>
      <c r="E73" s="839"/>
      <c r="F73" s="2656"/>
      <c r="G73" s="1369"/>
      <c r="H73" s="1373" t="str">
        <f t="shared" si="21"/>
        <v>——</v>
      </c>
      <c r="I73" s="827">
        <v>0.04</v>
      </c>
      <c r="J73" s="1370">
        <f t="shared" si="22"/>
        <v>0</v>
      </c>
      <c r="K73" s="1370">
        <f t="shared" si="23"/>
        <v>0</v>
      </c>
      <c r="L73" s="1370">
        <v>0</v>
      </c>
      <c r="M73" s="1370">
        <f t="shared" si="24"/>
        <v>0</v>
      </c>
      <c r="N73" s="1370">
        <f t="shared" si="24"/>
        <v>0</v>
      </c>
      <c r="O73" s="1454"/>
      <c r="P73" s="1454"/>
      <c r="Q73" s="1454"/>
      <c r="R73" s="1454"/>
      <c r="S73" s="1454"/>
      <c r="T73" s="1454"/>
      <c r="U73" s="1454"/>
      <c r="V73" s="1454"/>
      <c r="W73" s="1454"/>
      <c r="X73" s="1454"/>
      <c r="Y73" s="1454"/>
      <c r="Z73" s="1454"/>
      <c r="AA73" s="1455"/>
      <c r="AB73" s="1455"/>
      <c r="AC73" s="1455"/>
      <c r="AD73" s="1455"/>
      <c r="AE73" s="1455"/>
      <c r="AF73" s="1455"/>
      <c r="AG73" s="1455"/>
      <c r="AH73" s="2633"/>
      <c r="AI73" s="2633"/>
      <c r="AJ73" s="2633"/>
      <c r="AK73" s="2633"/>
    </row>
    <row r="74" spans="1:37" s="2634" customFormat="1" ht="25.5">
      <c r="A74" s="2643" t="s">
        <v>2747</v>
      </c>
      <c r="B74" s="2651" t="str">
        <f>估价对象房地状况!C21</f>
        <v>估价对象所在区域公共配套设施齐备情况</v>
      </c>
      <c r="C74" s="2542"/>
      <c r="D74" s="1368">
        <f t="shared" si="20"/>
        <v>0</v>
      </c>
      <c r="E74" s="839"/>
      <c r="F74" s="2656"/>
      <c r="G74" s="1369"/>
      <c r="H74" s="1373" t="str">
        <f t="shared" si="21"/>
        <v>——</v>
      </c>
      <c r="I74" s="827">
        <v>0.08</v>
      </c>
      <c r="J74" s="1370">
        <f t="shared" si="22"/>
        <v>0</v>
      </c>
      <c r="K74" s="1370">
        <f t="shared" si="23"/>
        <v>0</v>
      </c>
      <c r="L74" s="1370">
        <v>0</v>
      </c>
      <c r="M74" s="1370">
        <f t="shared" si="24"/>
        <v>0</v>
      </c>
      <c r="N74" s="1370">
        <f t="shared" si="24"/>
        <v>0</v>
      </c>
      <c r="O74" s="1454"/>
      <c r="P74" s="1454"/>
      <c r="Q74" s="1454"/>
      <c r="R74" s="1454"/>
      <c r="S74" s="1454"/>
      <c r="T74" s="1454"/>
      <c r="U74" s="1454"/>
      <c r="V74" s="1454"/>
      <c r="W74" s="1454"/>
      <c r="X74" s="1454"/>
      <c r="Y74" s="1454"/>
      <c r="Z74" s="1454"/>
      <c r="AA74" s="1455"/>
      <c r="AB74" s="1455"/>
      <c r="AC74" s="1455"/>
      <c r="AD74" s="1455"/>
      <c r="AE74" s="1455"/>
      <c r="AF74" s="1455"/>
      <c r="AG74" s="1455"/>
      <c r="AH74" s="2633"/>
      <c r="AI74" s="2633"/>
      <c r="AJ74" s="2633"/>
      <c r="AK74" s="2633"/>
    </row>
    <row r="75" spans="1:37" s="2634" customFormat="1" ht="25.5">
      <c r="A75" s="2643" t="s">
        <v>2748</v>
      </c>
      <c r="B75" s="2651" t="str">
        <f>估价对象房地状况!C22</f>
        <v>估价对象所在区域基础设施水平</v>
      </c>
      <c r="C75" s="2542"/>
      <c r="D75" s="1368">
        <f t="shared" si="20"/>
        <v>0</v>
      </c>
      <c r="E75" s="839"/>
      <c r="F75" s="2656"/>
      <c r="G75" s="1369"/>
      <c r="H75" s="1373" t="str">
        <f t="shared" si="21"/>
        <v>——</v>
      </c>
      <c r="I75" s="827">
        <v>0.12</v>
      </c>
      <c r="J75" s="1370">
        <f t="shared" si="22"/>
        <v>0</v>
      </c>
      <c r="K75" s="1370">
        <f t="shared" si="23"/>
        <v>0</v>
      </c>
      <c r="L75" s="1370">
        <v>0</v>
      </c>
      <c r="M75" s="1370">
        <f t="shared" si="24"/>
        <v>0</v>
      </c>
      <c r="N75" s="1370">
        <f t="shared" si="24"/>
        <v>0</v>
      </c>
      <c r="O75" s="1454"/>
      <c r="P75" s="1454"/>
      <c r="Q75" s="1454"/>
      <c r="R75" s="1454"/>
      <c r="S75" s="1454"/>
      <c r="T75" s="1454"/>
      <c r="U75" s="1454"/>
      <c r="V75" s="1454"/>
      <c r="W75" s="1454"/>
      <c r="X75" s="1454"/>
      <c r="Y75" s="1454"/>
      <c r="Z75" s="1454"/>
      <c r="AA75" s="1455"/>
      <c r="AB75" s="1455"/>
      <c r="AC75" s="1455"/>
      <c r="AD75" s="1455"/>
      <c r="AE75" s="1455"/>
      <c r="AF75" s="1455"/>
      <c r="AG75" s="1455"/>
      <c r="AH75" s="2633"/>
      <c r="AI75" s="2633"/>
      <c r="AJ75" s="2633"/>
      <c r="AK75" s="2633"/>
    </row>
    <row r="76" spans="1:37" ht="24">
      <c r="A76" s="2643" t="s">
        <v>2745</v>
      </c>
      <c r="B76" s="2649" t="s">
        <v>2746</v>
      </c>
      <c r="C76" s="2542"/>
      <c r="D76" s="1368">
        <f t="shared" si="20"/>
        <v>0</v>
      </c>
      <c r="E76" s="839"/>
      <c r="F76" s="2656"/>
      <c r="G76" s="1369"/>
      <c r="H76" s="1373" t="str">
        <f t="shared" si="21"/>
        <v>——</v>
      </c>
      <c r="I76" s="827">
        <v>0.05</v>
      </c>
      <c r="J76" s="1370">
        <f t="shared" si="22"/>
        <v>0</v>
      </c>
      <c r="K76" s="1370">
        <f t="shared" si="23"/>
        <v>0</v>
      </c>
      <c r="L76" s="1370">
        <v>0</v>
      </c>
      <c r="M76" s="1370">
        <f t="shared" si="24"/>
        <v>0</v>
      </c>
      <c r="N76" s="1370">
        <f t="shared" si="24"/>
        <v>0</v>
      </c>
      <c r="Z76" s="2490"/>
      <c r="AA76" s="2557"/>
      <c r="AG76" s="2633"/>
      <c r="AK76" s="2557"/>
    </row>
    <row r="77" spans="1:37" ht="38.25">
      <c r="A77" s="2643" t="s">
        <v>2749</v>
      </c>
      <c r="B77" s="2646" t="str">
        <f>估价对象房地状况!C20</f>
        <v>区域自然环境：；人文环境；综合评价环境状况一般</v>
      </c>
      <c r="C77" s="2542"/>
      <c r="D77" s="1368">
        <f t="shared" si="20"/>
        <v>0</v>
      </c>
      <c r="E77" s="839"/>
      <c r="F77" s="2656"/>
      <c r="G77" s="1369"/>
      <c r="H77" s="1373" t="str">
        <f t="shared" si="21"/>
        <v>——</v>
      </c>
      <c r="I77" s="827">
        <v>0.15</v>
      </c>
      <c r="J77" s="1370">
        <f t="shared" si="22"/>
        <v>0</v>
      </c>
      <c r="K77" s="1370">
        <f t="shared" si="23"/>
        <v>0</v>
      </c>
      <c r="L77" s="1370">
        <v>0</v>
      </c>
      <c r="M77" s="1370">
        <f t="shared" si="24"/>
        <v>0</v>
      </c>
      <c r="N77" s="1370">
        <f t="shared" si="24"/>
        <v>0</v>
      </c>
      <c r="Z77" s="2490"/>
      <c r="AA77" s="2557"/>
      <c r="AG77" s="2633"/>
      <c r="AK77" s="2557"/>
    </row>
    <row r="78" spans="1:37" ht="24.75" thickBot="1">
      <c r="A78" s="2652" t="s">
        <v>2758</v>
      </c>
      <c r="B78" s="2657"/>
      <c r="C78" s="2542"/>
      <c r="D78" s="1368">
        <f t="shared" si="20"/>
        <v>0</v>
      </c>
      <c r="E78" s="840"/>
      <c r="F78" s="2656"/>
      <c r="G78" s="1369"/>
      <c r="H78" s="1373" t="str">
        <f t="shared" si="21"/>
        <v>——</v>
      </c>
      <c r="I78" s="836">
        <v>0.04</v>
      </c>
      <c r="J78" s="1370">
        <f t="shared" si="22"/>
        <v>0</v>
      </c>
      <c r="K78" s="1370">
        <f t="shared" si="23"/>
        <v>0</v>
      </c>
      <c r="L78" s="1370">
        <v>0</v>
      </c>
      <c r="M78" s="1370">
        <f t="shared" si="24"/>
        <v>0</v>
      </c>
      <c r="N78" s="1370">
        <f t="shared" si="24"/>
        <v>0</v>
      </c>
      <c r="Z78" s="2490"/>
      <c r="AA78" s="2557"/>
      <c r="AG78" s="2633"/>
      <c r="AK78" s="2557"/>
    </row>
    <row r="79" spans="1:37" ht="15">
      <c r="A79" s="2638" t="s">
        <v>2759</v>
      </c>
      <c r="B79" s="2654">
        <f>1+E81</f>
        <v>1</v>
      </c>
      <c r="C79" s="816"/>
      <c r="D79" s="816"/>
      <c r="E79" s="817"/>
      <c r="F79" s="2641"/>
      <c r="G79" s="7"/>
      <c r="H79" s="7"/>
      <c r="I79" s="7"/>
      <c r="J79" s="9"/>
      <c r="K79" s="9"/>
      <c r="L79" s="9"/>
      <c r="M79" s="9"/>
      <c r="N79" s="9"/>
      <c r="Z79" s="2490"/>
      <c r="AA79" s="2557"/>
      <c r="AG79" s="2633"/>
      <c r="AK79" s="2557"/>
    </row>
    <row r="80" spans="1:37" ht="24.75">
      <c r="A80" s="2643" t="s">
        <v>2725</v>
      </c>
      <c r="B80" s="2647"/>
      <c r="C80" s="822" t="s">
        <v>2727</v>
      </c>
      <c r="D80" s="822" t="s">
        <v>2728</v>
      </c>
      <c r="E80" s="823" t="s">
        <v>2729</v>
      </c>
      <c r="F80" s="2644" t="s">
        <v>2730</v>
      </c>
      <c r="G80" s="822" t="s">
        <v>2751</v>
      </c>
      <c r="H80" s="2645" t="s">
        <v>2752</v>
      </c>
      <c r="I80" s="822" t="s">
        <v>2753</v>
      </c>
      <c r="J80" s="587" t="s">
        <v>2387</v>
      </c>
      <c r="K80" s="587" t="s">
        <v>2388</v>
      </c>
      <c r="L80" s="587" t="s">
        <v>2389</v>
      </c>
      <c r="M80" s="587" t="s">
        <v>2390</v>
      </c>
      <c r="N80" s="587" t="s">
        <v>2391</v>
      </c>
      <c r="Z80" s="2490"/>
      <c r="AA80" s="2557"/>
      <c r="AG80" s="2633"/>
      <c r="AK80" s="2557"/>
    </row>
    <row r="81" spans="1:37" ht="38.25">
      <c r="A81" s="2643" t="s">
        <v>2760</v>
      </c>
      <c r="B81" s="2647" t="str">
        <f>估价对象房地状况!G15</f>
        <v>估价对象位于XX开发区，园区建设成熟度XX，产业集聚程度XX</v>
      </c>
      <c r="C81" s="2542"/>
      <c r="D81" s="1368">
        <f t="shared" ref="D81:D88" si="25">SUMIF($J$80:$N$80,C81,J81:N81)</f>
        <v>0</v>
      </c>
      <c r="E81" s="828">
        <f>ROUND(SUM(D81:D88),4)</f>
        <v>0</v>
      </c>
      <c r="F81" s="2261" t="str">
        <f>IF(E2="工业",SUMIF(L1:L12,G2,N1:N12),"——")</f>
        <v>——</v>
      </c>
      <c r="G81" s="1369"/>
      <c r="H81" s="1373" t="str">
        <f t="shared" ref="H81:H88" si="26">IFERROR(ROUNDDOWN($F$81*I81/2,4),"——")</f>
        <v>——</v>
      </c>
      <c r="I81" s="827">
        <v>0.26</v>
      </c>
      <c r="J81" s="1370">
        <f t="shared" ref="J81:J88" si="27">K81+$G81</f>
        <v>0</v>
      </c>
      <c r="K81" s="1370">
        <f t="shared" ref="K81:K88" si="28">$L81+$G81</f>
        <v>0</v>
      </c>
      <c r="L81" s="1370">
        <v>0</v>
      </c>
      <c r="M81" s="1370">
        <f t="shared" ref="M81:N88" si="29">L81-$G81</f>
        <v>0</v>
      </c>
      <c r="N81" s="1370">
        <f t="shared" si="29"/>
        <v>0</v>
      </c>
      <c r="Z81" s="2490"/>
      <c r="AA81" s="2557"/>
      <c r="AG81" s="2633"/>
      <c r="AK81" s="2557"/>
    </row>
    <row r="82" spans="1:37" ht="51">
      <c r="A82" s="2643" t="s">
        <v>2740</v>
      </c>
      <c r="B82" s="2647" t="str">
        <f>估价对象房地状况!G16</f>
        <v>估价对象周边道路状况、公共交通通达情况、停车便捷程度，综合评价交通便捷度较好</v>
      </c>
      <c r="C82" s="2542"/>
      <c r="D82" s="1368">
        <f t="shared" si="25"/>
        <v>0</v>
      </c>
      <c r="E82" s="839"/>
      <c r="F82" s="2656"/>
      <c r="G82" s="1369"/>
      <c r="H82" s="1373" t="str">
        <f t="shared" si="26"/>
        <v>——</v>
      </c>
      <c r="I82" s="827">
        <v>0.33</v>
      </c>
      <c r="J82" s="1370">
        <f t="shared" si="27"/>
        <v>0</v>
      </c>
      <c r="K82" s="1370">
        <f t="shared" si="28"/>
        <v>0</v>
      </c>
      <c r="L82" s="1370">
        <v>0</v>
      </c>
      <c r="M82" s="1370">
        <f t="shared" si="29"/>
        <v>0</v>
      </c>
      <c r="N82" s="1370">
        <f t="shared" si="29"/>
        <v>0</v>
      </c>
      <c r="Z82" s="2490"/>
      <c r="AA82" s="2557"/>
      <c r="AG82" s="2633"/>
      <c r="AK82" s="2557"/>
    </row>
    <row r="83" spans="1:37" ht="24">
      <c r="A83" s="2643" t="s">
        <v>2741</v>
      </c>
      <c r="B83" s="2647">
        <f>估价对象房地状况!G17</f>
        <v>0</v>
      </c>
      <c r="C83" s="2542"/>
      <c r="D83" s="1368">
        <f t="shared" si="25"/>
        <v>0</v>
      </c>
      <c r="E83" s="839"/>
      <c r="F83" s="2656"/>
      <c r="G83" s="1369"/>
      <c r="H83" s="1373" t="str">
        <f t="shared" si="26"/>
        <v>——</v>
      </c>
      <c r="I83" s="827">
        <v>0.05</v>
      </c>
      <c r="J83" s="1370">
        <f t="shared" si="27"/>
        <v>0</v>
      </c>
      <c r="K83" s="1370">
        <f t="shared" si="28"/>
        <v>0</v>
      </c>
      <c r="L83" s="1370">
        <v>0</v>
      </c>
      <c r="M83" s="1370">
        <f t="shared" si="29"/>
        <v>0</v>
      </c>
      <c r="N83" s="1370">
        <f t="shared" si="29"/>
        <v>0</v>
      </c>
      <c r="Z83" s="2490"/>
      <c r="AA83" s="2557"/>
      <c r="AG83" s="2633"/>
      <c r="AK83" s="2557"/>
    </row>
    <row r="84" spans="1:37" ht="14.25">
      <c r="A84" s="2643" t="s">
        <v>2757</v>
      </c>
      <c r="B84" s="2647">
        <f>估价对象房地状况!G22</f>
        <v>0</v>
      </c>
      <c r="C84" s="2542"/>
      <c r="D84" s="1368">
        <f t="shared" si="25"/>
        <v>0</v>
      </c>
      <c r="E84" s="839"/>
      <c r="F84" s="2656"/>
      <c r="G84" s="1369"/>
      <c r="H84" s="1373" t="str">
        <f t="shared" si="26"/>
        <v>——</v>
      </c>
      <c r="I84" s="827">
        <v>0.04</v>
      </c>
      <c r="J84" s="1370">
        <f t="shared" si="27"/>
        <v>0</v>
      </c>
      <c r="K84" s="1370">
        <f t="shared" si="28"/>
        <v>0</v>
      </c>
      <c r="L84" s="1370">
        <v>0</v>
      </c>
      <c r="M84" s="1370">
        <f t="shared" si="29"/>
        <v>0</v>
      </c>
      <c r="N84" s="1370">
        <f t="shared" si="29"/>
        <v>0</v>
      </c>
      <c r="Z84" s="2490"/>
      <c r="AA84" s="2557"/>
      <c r="AG84" s="2633"/>
      <c r="AK84" s="2557"/>
    </row>
    <row r="85" spans="1:37" ht="25.5">
      <c r="A85" s="2643" t="s">
        <v>2747</v>
      </c>
      <c r="B85" s="2651" t="str">
        <f>估价对象房地状况!G19</f>
        <v>估价对象所在区域公共配套设施齐备情况</v>
      </c>
      <c r="C85" s="2542"/>
      <c r="D85" s="1368">
        <f t="shared" si="25"/>
        <v>0</v>
      </c>
      <c r="E85" s="839"/>
      <c r="F85" s="2656"/>
      <c r="G85" s="1369"/>
      <c r="H85" s="1373" t="str">
        <f t="shared" si="26"/>
        <v>——</v>
      </c>
      <c r="I85" s="827">
        <v>0.06</v>
      </c>
      <c r="J85" s="1370">
        <f t="shared" si="27"/>
        <v>0</v>
      </c>
      <c r="K85" s="1370">
        <f t="shared" si="28"/>
        <v>0</v>
      </c>
      <c r="L85" s="1370">
        <v>0</v>
      </c>
      <c r="M85" s="1370">
        <f t="shared" si="29"/>
        <v>0</v>
      </c>
      <c r="N85" s="1370">
        <f t="shared" si="29"/>
        <v>0</v>
      </c>
      <c r="Z85" s="2490"/>
      <c r="AA85" s="2557"/>
      <c r="AG85" s="2633"/>
      <c r="AK85" s="2557"/>
    </row>
    <row r="86" spans="1:37" ht="25.5">
      <c r="A86" s="2643" t="s">
        <v>2748</v>
      </c>
      <c r="B86" s="2651" t="str">
        <f>估价对象房地状况!G20</f>
        <v>估价对象所在区域基础设施水平</v>
      </c>
      <c r="C86" s="2542"/>
      <c r="D86" s="1368">
        <f t="shared" si="25"/>
        <v>0</v>
      </c>
      <c r="E86" s="839"/>
      <c r="F86" s="2656"/>
      <c r="G86" s="1369"/>
      <c r="H86" s="1373" t="str">
        <f t="shared" si="26"/>
        <v>——</v>
      </c>
      <c r="I86" s="827">
        <v>0.15</v>
      </c>
      <c r="J86" s="1370">
        <f t="shared" si="27"/>
        <v>0</v>
      </c>
      <c r="K86" s="1370">
        <f t="shared" si="28"/>
        <v>0</v>
      </c>
      <c r="L86" s="1370">
        <v>0</v>
      </c>
      <c r="M86" s="1370">
        <f t="shared" si="29"/>
        <v>0</v>
      </c>
      <c r="N86" s="1370">
        <f t="shared" si="29"/>
        <v>0</v>
      </c>
      <c r="Z86" s="2490"/>
      <c r="AA86" s="2557"/>
      <c r="AG86" s="2633"/>
      <c r="AK86" s="2557"/>
    </row>
    <row r="87" spans="1:37" ht="24">
      <c r="A87" s="2643" t="s">
        <v>2745</v>
      </c>
      <c r="B87" s="2649" t="s">
        <v>2746</v>
      </c>
      <c r="C87" s="2542"/>
      <c r="D87" s="1368">
        <f t="shared" si="25"/>
        <v>0</v>
      </c>
      <c r="E87" s="839"/>
      <c r="F87" s="2656"/>
      <c r="G87" s="1369"/>
      <c r="H87" s="1373" t="str">
        <f t="shared" si="26"/>
        <v>——</v>
      </c>
      <c r="I87" s="827">
        <v>0.05</v>
      </c>
      <c r="J87" s="1370">
        <f t="shared" si="27"/>
        <v>0</v>
      </c>
      <c r="K87" s="1370">
        <f t="shared" si="28"/>
        <v>0</v>
      </c>
      <c r="L87" s="1370">
        <v>0</v>
      </c>
      <c r="M87" s="1370">
        <f t="shared" si="29"/>
        <v>0</v>
      </c>
      <c r="N87" s="1370">
        <f t="shared" si="29"/>
        <v>0</v>
      </c>
      <c r="Z87" s="2490"/>
      <c r="AA87" s="2557"/>
      <c r="AG87" s="2633"/>
      <c r="AK87" s="2557"/>
    </row>
    <row r="88" spans="1:37" ht="39" thickBot="1">
      <c r="A88" s="2652" t="s">
        <v>2761</v>
      </c>
      <c r="B88" s="2658" t="str">
        <f>估价对象房地状况!G18</f>
        <v>该园区内是否有污染型企业，绿化情况，卫生条件，整体环境状况判断</v>
      </c>
      <c r="C88" s="2659"/>
      <c r="D88" s="1374">
        <f t="shared" si="25"/>
        <v>0</v>
      </c>
      <c r="E88" s="840"/>
      <c r="F88" s="2656"/>
      <c r="G88" s="1369"/>
      <c r="H88" s="1373" t="str">
        <f t="shared" si="26"/>
        <v>——</v>
      </c>
      <c r="I88" s="836">
        <v>0.06</v>
      </c>
      <c r="J88" s="1370">
        <f t="shared" si="27"/>
        <v>0</v>
      </c>
      <c r="K88" s="1370">
        <f t="shared" si="28"/>
        <v>0</v>
      </c>
      <c r="L88" s="1370">
        <v>0</v>
      </c>
      <c r="M88" s="1370">
        <f t="shared" si="29"/>
        <v>0</v>
      </c>
      <c r="N88" s="1370">
        <f t="shared" si="29"/>
        <v>0</v>
      </c>
      <c r="Z88" s="2490"/>
      <c r="AA88" s="2557"/>
      <c r="AG88" s="2633"/>
      <c r="AK88" s="2557"/>
    </row>
    <row r="90" spans="1:37">
      <c r="A90" s="3103" t="s">
        <v>2762</v>
      </c>
      <c r="B90" s="3103"/>
      <c r="C90" s="3103"/>
      <c r="D90" s="3103"/>
      <c r="E90" s="3103"/>
      <c r="F90" s="3103"/>
      <c r="G90" s="3103"/>
      <c r="H90" s="3103"/>
      <c r="I90" s="3103"/>
      <c r="J90" s="3103"/>
      <c r="K90" s="2660"/>
      <c r="L90" s="2660"/>
      <c r="M90" s="2660"/>
      <c r="N90" s="2660"/>
    </row>
    <row r="91" spans="1:37">
      <c r="A91" s="3105" t="s">
        <v>2763</v>
      </c>
      <c r="B91" s="3105" t="s">
        <v>2764</v>
      </c>
      <c r="C91" s="2608" t="s">
        <v>2765</v>
      </c>
      <c r="D91" s="2609"/>
      <c r="E91" s="2609"/>
      <c r="F91" s="2609"/>
      <c r="G91" s="2609"/>
      <c r="H91" s="2609"/>
      <c r="I91" s="2609"/>
      <c r="J91" s="2661"/>
      <c r="K91" s="2662"/>
      <c r="L91" s="2662"/>
      <c r="M91" s="2662"/>
      <c r="N91" s="2662"/>
    </row>
    <row r="92" spans="1:37">
      <c r="A92" s="3105"/>
      <c r="B92" s="3105"/>
      <c r="C92" s="967" t="s">
        <v>2618</v>
      </c>
      <c r="D92" s="967" t="s">
        <v>2619</v>
      </c>
      <c r="E92" s="967" t="s">
        <v>2620</v>
      </c>
      <c r="F92" s="967" t="s">
        <v>2621</v>
      </c>
      <c r="G92" s="967" t="s">
        <v>2622</v>
      </c>
      <c r="H92" s="967" t="s">
        <v>2623</v>
      </c>
      <c r="I92" s="967" t="s">
        <v>2624</v>
      </c>
      <c r="J92" s="967" t="s">
        <v>2625</v>
      </c>
      <c r="K92" s="967" t="s">
        <v>2626</v>
      </c>
      <c r="L92" s="967" t="s">
        <v>2627</v>
      </c>
      <c r="M92" s="967" t="s">
        <v>2628</v>
      </c>
      <c r="N92" s="967" t="s">
        <v>2629</v>
      </c>
    </row>
    <row r="93" spans="1:37">
      <c r="A93" s="3106" t="s">
        <v>2766</v>
      </c>
      <c r="B93" s="2663">
        <v>1</v>
      </c>
      <c r="C93" s="2664">
        <v>1.9361999999999999</v>
      </c>
      <c r="D93" s="2664">
        <v>1.9361999999999999</v>
      </c>
      <c r="E93" s="2664">
        <v>1.8629</v>
      </c>
      <c r="F93" s="2664">
        <v>1.8629</v>
      </c>
      <c r="G93" s="2664">
        <v>1.8629</v>
      </c>
      <c r="H93" s="2664">
        <v>1.8629</v>
      </c>
      <c r="I93" s="2664">
        <v>1.8629</v>
      </c>
      <c r="J93" s="2664">
        <v>1.9419999999999999</v>
      </c>
      <c r="K93" s="2664">
        <v>1.9419999999999999</v>
      </c>
      <c r="L93" s="2664">
        <v>1.9419999999999999</v>
      </c>
      <c r="M93" s="2664">
        <v>1.9419999999999999</v>
      </c>
      <c r="N93" s="2664">
        <v>1.9419999999999999</v>
      </c>
    </row>
    <row r="94" spans="1:37">
      <c r="A94" s="3107"/>
      <c r="B94" s="2663">
        <v>2</v>
      </c>
      <c r="C94" s="2664">
        <v>1.4198</v>
      </c>
      <c r="D94" s="2664">
        <v>1.4198</v>
      </c>
      <c r="E94" s="2664">
        <v>1.3371999999999999</v>
      </c>
      <c r="F94" s="2664">
        <v>1.3371999999999999</v>
      </c>
      <c r="G94" s="2664">
        <v>1.3371999999999999</v>
      </c>
      <c r="H94" s="2664">
        <v>1.3371999999999999</v>
      </c>
      <c r="I94" s="2664">
        <v>1.3371999999999999</v>
      </c>
      <c r="J94" s="2664">
        <v>1.2799</v>
      </c>
      <c r="K94" s="2664">
        <v>1.2799</v>
      </c>
      <c r="L94" s="2664">
        <v>1.2799</v>
      </c>
      <c r="M94" s="2664">
        <v>1.2799</v>
      </c>
      <c r="N94" s="2664">
        <v>1.2799</v>
      </c>
    </row>
    <row r="95" spans="1:37">
      <c r="A95" s="3107"/>
      <c r="B95" s="2663">
        <v>3</v>
      </c>
      <c r="C95" s="2664">
        <v>1.1594</v>
      </c>
      <c r="D95" s="2664">
        <v>1.1594</v>
      </c>
      <c r="E95" s="2664">
        <v>1.0788</v>
      </c>
      <c r="F95" s="2664">
        <v>1.0788</v>
      </c>
      <c r="G95" s="2664">
        <v>1.0788</v>
      </c>
      <c r="H95" s="2664">
        <v>1.0788</v>
      </c>
      <c r="I95" s="2664">
        <v>1.0788</v>
      </c>
      <c r="J95" s="2664">
        <v>1.0072000000000001</v>
      </c>
      <c r="K95" s="2664">
        <v>1.0072000000000001</v>
      </c>
      <c r="L95" s="2664">
        <v>1.0072000000000001</v>
      </c>
      <c r="M95" s="2664">
        <v>1.0072000000000001</v>
      </c>
      <c r="N95" s="2664">
        <v>1.0072000000000001</v>
      </c>
    </row>
    <row r="96" spans="1:37">
      <c r="A96" s="3107"/>
      <c r="B96" s="2663">
        <v>4</v>
      </c>
      <c r="C96" s="2664">
        <v>0.96220000000000006</v>
      </c>
      <c r="D96" s="2664">
        <v>0.96220000000000006</v>
      </c>
      <c r="E96" s="2664">
        <v>0.86560000000000004</v>
      </c>
      <c r="F96" s="2664">
        <v>0.86560000000000004</v>
      </c>
      <c r="G96" s="2664">
        <v>0.86560000000000004</v>
      </c>
      <c r="H96" s="2664">
        <v>0.86560000000000004</v>
      </c>
      <c r="I96" s="2664">
        <v>0.86560000000000004</v>
      </c>
      <c r="J96" s="2664">
        <v>0.75249999999999995</v>
      </c>
      <c r="K96" s="2664">
        <v>0.75249999999999995</v>
      </c>
      <c r="L96" s="2664">
        <v>0.75249999999999995</v>
      </c>
      <c r="M96" s="2664">
        <v>0.75249999999999995</v>
      </c>
      <c r="N96" s="2664">
        <v>0.75249999999999995</v>
      </c>
    </row>
    <row r="97" spans="1:14">
      <c r="A97" s="3107"/>
      <c r="B97" s="2663">
        <v>5</v>
      </c>
      <c r="C97" s="2664">
        <v>0.8417</v>
      </c>
      <c r="D97" s="2664">
        <v>0.8417</v>
      </c>
      <c r="E97" s="2664">
        <v>0.73709999999999998</v>
      </c>
      <c r="F97" s="2664">
        <v>0.73709999999999998</v>
      </c>
      <c r="G97" s="2664">
        <v>0.73709999999999998</v>
      </c>
      <c r="H97" s="2664">
        <v>0.73709999999999998</v>
      </c>
      <c r="I97" s="2664">
        <v>0.73709999999999998</v>
      </c>
      <c r="J97" s="2664">
        <v>0.56589999999999996</v>
      </c>
      <c r="K97" s="2664">
        <v>0.56589999999999996</v>
      </c>
      <c r="L97" s="2664">
        <v>0.56589999999999996</v>
      </c>
      <c r="M97" s="2664">
        <v>0.56589999999999996</v>
      </c>
      <c r="N97" s="2664">
        <v>0.56589999999999996</v>
      </c>
    </row>
    <row r="98" spans="1:14">
      <c r="A98" s="3107"/>
      <c r="B98" s="2663">
        <v>6</v>
      </c>
      <c r="C98" s="2664">
        <v>0.76080000000000003</v>
      </c>
      <c r="D98" s="2664">
        <v>0.76080000000000003</v>
      </c>
      <c r="E98" s="2664">
        <v>0.6482</v>
      </c>
      <c r="F98" s="2664">
        <v>0.6482</v>
      </c>
      <c r="G98" s="2664">
        <v>0.6482</v>
      </c>
      <c r="H98" s="2664">
        <v>0.6482</v>
      </c>
      <c r="I98" s="2664">
        <v>0.6482</v>
      </c>
      <c r="J98" s="2664">
        <v>0.45250000000000001</v>
      </c>
      <c r="K98" s="2664">
        <v>0.45250000000000001</v>
      </c>
      <c r="L98" s="2664">
        <v>0.45250000000000001</v>
      </c>
      <c r="M98" s="2664">
        <v>0.45250000000000001</v>
      </c>
      <c r="N98" s="2664">
        <v>0.45250000000000001</v>
      </c>
    </row>
    <row r="99" spans="1:14">
      <c r="A99" s="3107"/>
      <c r="B99" s="2663" t="s">
        <v>2634</v>
      </c>
      <c r="C99" s="2665">
        <f>$I$3</f>
        <v>0</v>
      </c>
      <c r="D99" s="2665">
        <f t="shared" ref="D99:M99" si="30">$I$3</f>
        <v>0</v>
      </c>
      <c r="E99" s="2665">
        <f t="shared" si="30"/>
        <v>0</v>
      </c>
      <c r="F99" s="2665">
        <f t="shared" si="30"/>
        <v>0</v>
      </c>
      <c r="G99" s="2665">
        <f t="shared" si="30"/>
        <v>0</v>
      </c>
      <c r="H99" s="2665">
        <f t="shared" si="30"/>
        <v>0</v>
      </c>
      <c r="I99" s="2665">
        <f t="shared" si="30"/>
        <v>0</v>
      </c>
      <c r="J99" s="2665">
        <f t="shared" si="30"/>
        <v>0</v>
      </c>
      <c r="K99" s="2665">
        <f t="shared" si="30"/>
        <v>0</v>
      </c>
      <c r="L99" s="2665">
        <f t="shared" si="30"/>
        <v>0</v>
      </c>
      <c r="M99" s="2665">
        <f t="shared" si="30"/>
        <v>0</v>
      </c>
      <c r="N99" s="2665">
        <f>$I$3</f>
        <v>0</v>
      </c>
    </row>
    <row r="100" spans="1:14">
      <c r="A100" s="3108"/>
      <c r="B100" s="2663">
        <v>7</v>
      </c>
      <c r="C100" s="2666">
        <f>(-0.163*(C99^2)-0.59*C99+7617)*(10^(-4))</f>
        <v>0.76170000000000004</v>
      </c>
      <c r="D100" s="2666">
        <f>(-0.163*(D99^2)-0.59*D99+7617)*(10^(-4))</f>
        <v>0.76170000000000004</v>
      </c>
      <c r="E100" s="2666">
        <f>(-0.161*(E99^2)-7.509*E99+6533)*(10^(-4))</f>
        <v>0.65329999999999999</v>
      </c>
      <c r="F100" s="2666">
        <f>(-0.161*(F99^2)-7.509*F99+6533)*(10^(-4))</f>
        <v>0.65329999999999999</v>
      </c>
      <c r="G100" s="2666">
        <f>(-0.161*(G99^2)-7.509*G99+6533)*(10^(-4))</f>
        <v>0.65329999999999999</v>
      </c>
      <c r="H100" s="2666">
        <f>(-0.161*(H99^2)-7.509*H99+6533)*(10^(-4))</f>
        <v>0.65329999999999999</v>
      </c>
      <c r="I100" s="2666">
        <f>(-0.161*(I99^2)-7.509*I99+6533)*(10^(-4))</f>
        <v>0.65329999999999999</v>
      </c>
      <c r="J100" s="2666">
        <f>(-0.214*(J99^2)-21.991*J99+4665)*(10^(-4))</f>
        <v>0.46650000000000003</v>
      </c>
      <c r="K100" s="2666">
        <f>(-0.214*(K99^2)-21.991*K99+4665)*(10^(-4))</f>
        <v>0.46650000000000003</v>
      </c>
      <c r="L100" s="2666">
        <f>(-0.214*(L99^2)-21.991*L99+4665)*(10^(-4))</f>
        <v>0.46650000000000003</v>
      </c>
      <c r="M100" s="2666">
        <f>(-0.214*(M99^2)-21.991*M99+4665)*(10^(-4))</f>
        <v>0.46650000000000003</v>
      </c>
      <c r="N100" s="2666">
        <f>(-0.214*(N99^2)-21.991*N99+4665)*(10^(-4))</f>
        <v>0.46650000000000003</v>
      </c>
    </row>
    <row r="101" spans="1:14">
      <c r="A101" s="3106" t="s">
        <v>2767</v>
      </c>
      <c r="B101" s="2667" t="s">
        <v>2768</v>
      </c>
      <c r="C101" s="2668">
        <f>$G$3</f>
        <v>0</v>
      </c>
      <c r="D101" s="2668">
        <f t="shared" ref="D101:N101" si="31">$G$3</f>
        <v>0</v>
      </c>
      <c r="E101" s="2668">
        <f t="shared" si="31"/>
        <v>0</v>
      </c>
      <c r="F101" s="2668">
        <f t="shared" si="31"/>
        <v>0</v>
      </c>
      <c r="G101" s="2668">
        <f t="shared" si="31"/>
        <v>0</v>
      </c>
      <c r="H101" s="2668">
        <f t="shared" si="31"/>
        <v>0</v>
      </c>
      <c r="I101" s="2668">
        <f t="shared" si="31"/>
        <v>0</v>
      </c>
      <c r="J101" s="2668">
        <f t="shared" si="31"/>
        <v>0</v>
      </c>
      <c r="K101" s="2668">
        <f t="shared" si="31"/>
        <v>0</v>
      </c>
      <c r="L101" s="2668">
        <f t="shared" si="31"/>
        <v>0</v>
      </c>
      <c r="M101" s="2668">
        <f t="shared" si="31"/>
        <v>0</v>
      </c>
      <c r="N101" s="2668">
        <f t="shared" si="31"/>
        <v>0</v>
      </c>
    </row>
    <row r="102" spans="1:14">
      <c r="A102" s="3107"/>
      <c r="B102" s="2663">
        <v>1</v>
      </c>
      <c r="C102" s="2664" t="e">
        <f>1.9362/C101</f>
        <v>#DIV/0!</v>
      </c>
      <c r="D102" s="2664" t="e">
        <f>1.9362/D101</f>
        <v>#DIV/0!</v>
      </c>
      <c r="E102" s="2664" t="e">
        <f>1.8629/E101</f>
        <v>#DIV/0!</v>
      </c>
      <c r="F102" s="2664" t="e">
        <f>1.8629/F101</f>
        <v>#DIV/0!</v>
      </c>
      <c r="G102" s="2664" t="e">
        <f>1.8629/G101</f>
        <v>#DIV/0!</v>
      </c>
      <c r="H102" s="2664" t="e">
        <f>1.8629/H101</f>
        <v>#DIV/0!</v>
      </c>
      <c r="I102" s="2664" t="e">
        <f>1.8629/I101</f>
        <v>#DIV/0!</v>
      </c>
      <c r="J102" s="2664" t="e">
        <f>1.942/J101</f>
        <v>#DIV/0!</v>
      </c>
      <c r="K102" s="2664" t="e">
        <f>1.942/K101</f>
        <v>#DIV/0!</v>
      </c>
      <c r="L102" s="2664" t="e">
        <f>1.942/L101</f>
        <v>#DIV/0!</v>
      </c>
      <c r="M102" s="2664" t="e">
        <f>1.942/M101</f>
        <v>#DIV/0!</v>
      </c>
      <c r="N102" s="2664" t="e">
        <f>1.942/N101</f>
        <v>#DIV/0!</v>
      </c>
    </row>
    <row r="103" spans="1:14">
      <c r="A103" s="3107"/>
      <c r="B103" s="2663">
        <v>2</v>
      </c>
      <c r="C103" s="2664" t="e">
        <f>1.4198/C101</f>
        <v>#DIV/0!</v>
      </c>
      <c r="D103" s="2664" t="e">
        <f>1.4198/D101</f>
        <v>#DIV/0!</v>
      </c>
      <c r="E103" s="2664" t="e">
        <f>1.3372/E101</f>
        <v>#DIV/0!</v>
      </c>
      <c r="F103" s="2664" t="e">
        <f>1.3372/F101</f>
        <v>#DIV/0!</v>
      </c>
      <c r="G103" s="2664" t="e">
        <f>1.3372/G101</f>
        <v>#DIV/0!</v>
      </c>
      <c r="H103" s="2664" t="e">
        <f>1.3372/H101</f>
        <v>#DIV/0!</v>
      </c>
      <c r="I103" s="2664" t="e">
        <f>1.3372/I101</f>
        <v>#DIV/0!</v>
      </c>
      <c r="J103" s="2664" t="e">
        <f>1.2799/J101</f>
        <v>#DIV/0!</v>
      </c>
      <c r="K103" s="2664" t="e">
        <f>1.2799/K101</f>
        <v>#DIV/0!</v>
      </c>
      <c r="L103" s="2664" t="e">
        <f>1.2799/L101</f>
        <v>#DIV/0!</v>
      </c>
      <c r="M103" s="2664" t="e">
        <f>1.2799/M101</f>
        <v>#DIV/0!</v>
      </c>
      <c r="N103" s="2664" t="e">
        <f>1.2799/N101</f>
        <v>#DIV/0!</v>
      </c>
    </row>
    <row r="104" spans="1:14">
      <c r="A104" s="3107"/>
      <c r="B104" s="2663">
        <v>3</v>
      </c>
      <c r="C104" s="2664" t="e">
        <f>1.1594/C101</f>
        <v>#DIV/0!</v>
      </c>
      <c r="D104" s="2664" t="e">
        <f>1.1594/D101</f>
        <v>#DIV/0!</v>
      </c>
      <c r="E104" s="2664" t="e">
        <f>1.0788/E101</f>
        <v>#DIV/0!</v>
      </c>
      <c r="F104" s="2664" t="e">
        <f>1.0788/F101</f>
        <v>#DIV/0!</v>
      </c>
      <c r="G104" s="2664" t="e">
        <f>1.0788/G101</f>
        <v>#DIV/0!</v>
      </c>
      <c r="H104" s="2664" t="e">
        <f>1.0788/H101</f>
        <v>#DIV/0!</v>
      </c>
      <c r="I104" s="2664" t="e">
        <f>1.0788/I101</f>
        <v>#DIV/0!</v>
      </c>
      <c r="J104" s="2664" t="e">
        <f>1.0072/J101</f>
        <v>#DIV/0!</v>
      </c>
      <c r="K104" s="2664" t="e">
        <f>1.0072/K101</f>
        <v>#DIV/0!</v>
      </c>
      <c r="L104" s="2664" t="e">
        <f>1.0072/L101</f>
        <v>#DIV/0!</v>
      </c>
      <c r="M104" s="2664" t="e">
        <f>1.0072/M101</f>
        <v>#DIV/0!</v>
      </c>
      <c r="N104" s="2664" t="e">
        <f>1.0072/N101</f>
        <v>#DIV/0!</v>
      </c>
    </row>
    <row r="105" spans="1:14">
      <c r="A105" s="3107"/>
      <c r="B105" s="2663">
        <v>4</v>
      </c>
      <c r="C105" s="2664" t="e">
        <f>0.9622/C101</f>
        <v>#DIV/0!</v>
      </c>
      <c r="D105" s="2664" t="e">
        <f>0.9622/D101</f>
        <v>#DIV/0!</v>
      </c>
      <c r="E105" s="2664" t="e">
        <f>0.8656/E101</f>
        <v>#DIV/0!</v>
      </c>
      <c r="F105" s="2664" t="e">
        <f>0.8656/F101</f>
        <v>#DIV/0!</v>
      </c>
      <c r="G105" s="2664" t="e">
        <f>0.8656/G101</f>
        <v>#DIV/0!</v>
      </c>
      <c r="H105" s="2664" t="e">
        <f>0.8656/H101</f>
        <v>#DIV/0!</v>
      </c>
      <c r="I105" s="2664" t="e">
        <f>0.8656/I101</f>
        <v>#DIV/0!</v>
      </c>
      <c r="J105" s="2664" t="e">
        <f>0.7525/J101</f>
        <v>#DIV/0!</v>
      </c>
      <c r="K105" s="2664" t="e">
        <f>0.7525/K101</f>
        <v>#DIV/0!</v>
      </c>
      <c r="L105" s="2664" t="e">
        <f>0.7525/L101</f>
        <v>#DIV/0!</v>
      </c>
      <c r="M105" s="2664" t="e">
        <f>0.7525/M101</f>
        <v>#DIV/0!</v>
      </c>
      <c r="N105" s="2664" t="e">
        <f>0.7525/N101</f>
        <v>#DIV/0!</v>
      </c>
    </row>
    <row r="106" spans="1:14">
      <c r="A106" s="3107"/>
      <c r="B106" s="2663">
        <v>5</v>
      </c>
      <c r="C106" s="2664" t="e">
        <f>0.8417/C101</f>
        <v>#DIV/0!</v>
      </c>
      <c r="D106" s="2664" t="e">
        <f>0.8417/D101</f>
        <v>#DIV/0!</v>
      </c>
      <c r="E106" s="2664" t="e">
        <f>0.7371/E101</f>
        <v>#DIV/0!</v>
      </c>
      <c r="F106" s="2664" t="e">
        <f>0.7371/F101</f>
        <v>#DIV/0!</v>
      </c>
      <c r="G106" s="2664" t="e">
        <f>0.7371/G101</f>
        <v>#DIV/0!</v>
      </c>
      <c r="H106" s="2664" t="e">
        <f>0.7371/H101</f>
        <v>#DIV/0!</v>
      </c>
      <c r="I106" s="2664" t="e">
        <f>0.7371/I101</f>
        <v>#DIV/0!</v>
      </c>
      <c r="J106" s="2664" t="e">
        <f>0.5659/J101</f>
        <v>#DIV/0!</v>
      </c>
      <c r="K106" s="2664" t="e">
        <f>0.5659/K101</f>
        <v>#DIV/0!</v>
      </c>
      <c r="L106" s="2664" t="e">
        <f>0.5659/L101</f>
        <v>#DIV/0!</v>
      </c>
      <c r="M106" s="2664" t="e">
        <f>0.5659/M101</f>
        <v>#DIV/0!</v>
      </c>
      <c r="N106" s="2664" t="e">
        <f>0.5659/N101</f>
        <v>#DIV/0!</v>
      </c>
    </row>
    <row r="107" spans="1:14">
      <c r="A107" s="3107"/>
      <c r="B107" s="2663">
        <v>6</v>
      </c>
      <c r="C107" s="2664" t="e">
        <f>0.7608/C101</f>
        <v>#DIV/0!</v>
      </c>
      <c r="D107" s="2664" t="e">
        <f>0.7608/D101</f>
        <v>#DIV/0!</v>
      </c>
      <c r="E107" s="2664" t="e">
        <f>0.6482/E101</f>
        <v>#DIV/0!</v>
      </c>
      <c r="F107" s="2664" t="e">
        <f>0.6482/F101</f>
        <v>#DIV/0!</v>
      </c>
      <c r="G107" s="2664" t="e">
        <f>0.6482/G101</f>
        <v>#DIV/0!</v>
      </c>
      <c r="H107" s="2664" t="e">
        <f>0.6482/H101</f>
        <v>#DIV/0!</v>
      </c>
      <c r="I107" s="2664" t="e">
        <f>0.6482/I101</f>
        <v>#DIV/0!</v>
      </c>
      <c r="J107" s="2664" t="e">
        <f>0.4525/J101</f>
        <v>#DIV/0!</v>
      </c>
      <c r="K107" s="2664" t="e">
        <f>0.4525/K101</f>
        <v>#DIV/0!</v>
      </c>
      <c r="L107" s="2664" t="e">
        <f>0.4525/L101</f>
        <v>#DIV/0!</v>
      </c>
      <c r="M107" s="2664" t="e">
        <f>0.4525/M101</f>
        <v>#DIV/0!</v>
      </c>
      <c r="N107" s="2664" t="e">
        <f>0.4525/N101</f>
        <v>#DIV/0!</v>
      </c>
    </row>
    <row r="108" spans="1:14">
      <c r="A108" s="3107"/>
      <c r="B108" s="3109" t="s">
        <v>2769</v>
      </c>
      <c r="C108" s="2665">
        <f>C99</f>
        <v>0</v>
      </c>
      <c r="D108" s="2665">
        <f t="shared" ref="D108:N108" si="32">D99</f>
        <v>0</v>
      </c>
      <c r="E108" s="2665">
        <f t="shared" si="32"/>
        <v>0</v>
      </c>
      <c r="F108" s="2665">
        <f t="shared" si="32"/>
        <v>0</v>
      </c>
      <c r="G108" s="2665">
        <f t="shared" si="32"/>
        <v>0</v>
      </c>
      <c r="H108" s="2665">
        <f t="shared" si="32"/>
        <v>0</v>
      </c>
      <c r="I108" s="2665">
        <f t="shared" si="32"/>
        <v>0</v>
      </c>
      <c r="J108" s="2665">
        <f t="shared" si="32"/>
        <v>0</v>
      </c>
      <c r="K108" s="2665">
        <f t="shared" si="32"/>
        <v>0</v>
      </c>
      <c r="L108" s="2665">
        <f t="shared" si="32"/>
        <v>0</v>
      </c>
      <c r="M108" s="2665">
        <f t="shared" si="32"/>
        <v>0</v>
      </c>
      <c r="N108" s="2665">
        <f t="shared" si="32"/>
        <v>0</v>
      </c>
    </row>
    <row r="109" spans="1:14">
      <c r="A109" s="3108"/>
      <c r="B109" s="3110"/>
      <c r="C109" s="2666" t="e">
        <f>(-0.163*(C108^2)-0.59*C108+7617)*(10^(-4))/C101</f>
        <v>#DIV/0!</v>
      </c>
      <c r="D109" s="2666" t="e">
        <f>(-0.163*(D108^2)-0.59*D108+7617)*(10^(-4))/D101</f>
        <v>#DIV/0!</v>
      </c>
      <c r="E109" s="2666" t="e">
        <f>(-0.161*(E108^2)-7.509*E108+6533)*(10^(-4))/E101</f>
        <v>#DIV/0!</v>
      </c>
      <c r="F109" s="2666" t="e">
        <f>(-0.161*(F108^2)-7.509*F108+6533)*(10^(-4))/F101</f>
        <v>#DIV/0!</v>
      </c>
      <c r="G109" s="2666" t="e">
        <f>(-0.161*(G108^2)-7.509*G108+6533)*(10^(-4))/G101</f>
        <v>#DIV/0!</v>
      </c>
      <c r="H109" s="2666" t="e">
        <f>(-0.161*(H108^2)-7.509*H108+6533)*(10^(-4))/H101</f>
        <v>#DIV/0!</v>
      </c>
      <c r="I109" s="2666" t="e">
        <f>(-0.161*(I108^2)-7.509*I108+6533)*(10^(-4))/I101</f>
        <v>#DIV/0!</v>
      </c>
      <c r="J109" s="2666" t="e">
        <f>(-0.214*(J108^2)-21.991*J108+4665)*(10^(-4))/J101</f>
        <v>#DIV/0!</v>
      </c>
      <c r="K109" s="2666" t="e">
        <f>(-0.214*(K108^2)-21.991*K108+4665)*(10^(-4))/K101</f>
        <v>#DIV/0!</v>
      </c>
      <c r="L109" s="2666" t="e">
        <f>(-0.214*(L108^2)-21.991*L108+4665)*(10^(-4))/L101</f>
        <v>#DIV/0!</v>
      </c>
      <c r="M109" s="2666" t="e">
        <f>(-0.214*(M108^2)-21.991*M108+4665)*(10^(-4))/M101</f>
        <v>#DIV/0!</v>
      </c>
      <c r="N109" s="2666" t="e">
        <f>(-0.214*(N108^2)-21.991*N108+4665)*(10^(-4))/N101</f>
        <v>#DIV/0!</v>
      </c>
    </row>
    <row r="110" spans="1:14">
      <c r="A110" s="3104" t="s">
        <v>2770</v>
      </c>
      <c r="B110" s="3104"/>
      <c r="C110" s="3104"/>
      <c r="D110" s="3104"/>
      <c r="E110" s="3104"/>
      <c r="F110" s="3104"/>
      <c r="G110" s="3104"/>
      <c r="H110" s="3104"/>
      <c r="I110" s="3104"/>
      <c r="J110" s="3104"/>
      <c r="K110" s="2669"/>
      <c r="L110" s="2669"/>
      <c r="M110" s="2669"/>
      <c r="N110" s="2669"/>
    </row>
    <row r="112" spans="1:14" ht="13.5" thickBot="1"/>
    <row r="113" spans="1:13" ht="25.5" thickBot="1">
      <c r="A113" s="927" t="s">
        <v>2771</v>
      </c>
      <c r="B113" s="1371">
        <f>G3</f>
        <v>0</v>
      </c>
      <c r="C113" s="928" t="s">
        <v>2772</v>
      </c>
      <c r="D113" s="929">
        <f>SUMPRODUCT((A115:A118=F113)*(B114:M114=H113)*B115:M118)</f>
        <v>0</v>
      </c>
      <c r="E113" s="2671" t="s">
        <v>2658</v>
      </c>
      <c r="F113" s="2672">
        <f>E2</f>
        <v>0</v>
      </c>
      <c r="G113" s="2671" t="s">
        <v>2592</v>
      </c>
      <c r="H113" s="2672">
        <f>G2</f>
        <v>0</v>
      </c>
      <c r="I113" s="2671"/>
      <c r="J113" s="2673"/>
      <c r="K113" s="2673"/>
      <c r="L113" s="2673"/>
      <c r="M113" s="2673"/>
    </row>
    <row r="114" spans="1:13">
      <c r="A114" s="932"/>
      <c r="B114" s="2674" t="s">
        <v>2773</v>
      </c>
      <c r="C114" s="2674" t="s">
        <v>2774</v>
      </c>
      <c r="D114" s="2674" t="s">
        <v>2775</v>
      </c>
      <c r="E114" s="2675" t="s">
        <v>2776</v>
      </c>
      <c r="F114" s="2675" t="s">
        <v>2777</v>
      </c>
      <c r="G114" s="2675" t="s">
        <v>2778</v>
      </c>
      <c r="H114" s="2676" t="s">
        <v>2779</v>
      </c>
      <c r="I114" s="2676" t="s">
        <v>2780</v>
      </c>
      <c r="J114" s="2677" t="s">
        <v>2781</v>
      </c>
      <c r="K114" s="2677" t="s">
        <v>2782</v>
      </c>
      <c r="L114" s="2677" t="s">
        <v>2783</v>
      </c>
      <c r="M114" s="2678" t="s">
        <v>2784</v>
      </c>
    </row>
    <row r="115" spans="1:13">
      <c r="A115" s="933" t="s">
        <v>2659</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2660</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2661</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2662</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79" customWidth="1"/>
    <col min="2" max="2" width="10.25" style="812" customWidth="1"/>
  </cols>
  <sheetData>
    <row r="1" spans="1:6">
      <c r="A1" s="3127" t="s">
        <v>783</v>
      </c>
      <c r="B1" s="3127"/>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5" t="s">
        <v>790</v>
      </c>
      <c r="B5" s="856" t="s">
        <v>791</v>
      </c>
      <c r="C5" s="1095">
        <v>8.8999999999999996E-2</v>
      </c>
      <c r="D5" s="1095">
        <v>7.3999999999999996E-2</v>
      </c>
      <c r="E5" s="1095">
        <v>7.4999999999999997E-2</v>
      </c>
      <c r="F5" s="1096">
        <v>0.1</v>
      </c>
    </row>
    <row r="6" spans="1:6" ht="14.25" thickBot="1">
      <c r="A6" s="855" t="s">
        <v>161</v>
      </c>
      <c r="B6" s="849" t="s">
        <v>792</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793</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794</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795</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796</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797</v>
      </c>
      <c r="C72" s="1103"/>
      <c r="D72" s="1103"/>
      <c r="E72" s="1103"/>
      <c r="F72" s="1098">
        <v>0.05</v>
      </c>
    </row>
    <row r="73" spans="1:6" ht="14.25" thickBot="1">
      <c r="A73" s="855" t="s">
        <v>87</v>
      </c>
      <c r="B73" s="849" t="s">
        <v>798</v>
      </c>
      <c r="C73" s="1103"/>
      <c r="D73" s="1103"/>
      <c r="E73" s="1103"/>
      <c r="F73" s="1098">
        <v>0.05</v>
      </c>
    </row>
    <row r="74" spans="1:6" ht="14.25" thickBot="1">
      <c r="A74" s="855" t="s">
        <v>87</v>
      </c>
      <c r="B74" s="849" t="s">
        <v>799</v>
      </c>
      <c r="C74" s="1103"/>
      <c r="D74" s="1103"/>
      <c r="E74" s="1103"/>
      <c r="F74" s="1098">
        <v>0.05</v>
      </c>
    </row>
    <row r="75" spans="1:6" ht="14.25" thickBot="1">
      <c r="A75" s="872" t="s">
        <v>87</v>
      </c>
      <c r="B75" s="865" t="s">
        <v>800</v>
      </c>
      <c r="C75" s="1100"/>
      <c r="D75" s="1100"/>
      <c r="E75" s="1100"/>
      <c r="F75" s="1104">
        <v>0.05</v>
      </c>
    </row>
    <row r="76" spans="1:6" ht="14.25" thickBot="1">
      <c r="A76" s="855" t="s">
        <v>480</v>
      </c>
      <c r="B76" s="856" t="s">
        <v>801</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802</v>
      </c>
      <c r="C102" s="1103"/>
      <c r="D102" s="1103"/>
      <c r="E102" s="1103"/>
      <c r="F102" s="1098">
        <v>0.05</v>
      </c>
    </row>
    <row r="103" spans="1:6" ht="24.75" thickBot="1">
      <c r="A103" s="855" t="s">
        <v>480</v>
      </c>
      <c r="B103" s="849" t="s">
        <v>803</v>
      </c>
      <c r="C103" s="1103"/>
      <c r="D103" s="1103"/>
      <c r="E103" s="1103"/>
      <c r="F103" s="1098">
        <v>0.05</v>
      </c>
    </row>
    <row r="104" spans="1:6" ht="14.25" thickBot="1">
      <c r="A104" s="855" t="s">
        <v>480</v>
      </c>
      <c r="B104" s="849" t="s">
        <v>804</v>
      </c>
      <c r="C104" s="1103"/>
      <c r="D104" s="1103"/>
      <c r="E104" s="1103"/>
      <c r="F104" s="1098">
        <v>0.05</v>
      </c>
    </row>
    <row r="105" spans="1:6" ht="14.25" thickBot="1">
      <c r="A105" s="855" t="s">
        <v>480</v>
      </c>
      <c r="B105" s="849" t="s">
        <v>805</v>
      </c>
      <c r="C105" s="1103"/>
      <c r="D105" s="1103"/>
      <c r="E105" s="1103"/>
      <c r="F105" s="1098">
        <v>0.05</v>
      </c>
    </row>
    <row r="106" spans="1:6" ht="14.25" thickBot="1">
      <c r="A106" s="855" t="s">
        <v>480</v>
      </c>
      <c r="B106" s="849" t="s">
        <v>806</v>
      </c>
      <c r="C106" s="1103"/>
      <c r="D106" s="1103"/>
      <c r="E106" s="1103"/>
      <c r="F106" s="1098">
        <v>0.05</v>
      </c>
    </row>
    <row r="107" spans="1:6" ht="24.75" thickBot="1">
      <c r="A107" s="855" t="s">
        <v>480</v>
      </c>
      <c r="B107" s="849" t="s">
        <v>807</v>
      </c>
      <c r="C107" s="1103"/>
      <c r="D107" s="1103"/>
      <c r="E107" s="1103"/>
      <c r="F107" s="1098">
        <v>0.05</v>
      </c>
    </row>
    <row r="108" spans="1:6" ht="24.75" thickBot="1">
      <c r="A108" s="855" t="s">
        <v>480</v>
      </c>
      <c r="B108" s="849" t="s">
        <v>808</v>
      </c>
      <c r="C108" s="1103"/>
      <c r="D108" s="1103"/>
      <c r="E108" s="1103"/>
      <c r="F108" s="1098">
        <v>0.05</v>
      </c>
    </row>
    <row r="109" spans="1:6" ht="24.75" thickBot="1">
      <c r="A109" s="872" t="s">
        <v>480</v>
      </c>
      <c r="B109" s="865" t="s">
        <v>809</v>
      </c>
      <c r="C109" s="1100"/>
      <c r="D109" s="1100"/>
      <c r="E109" s="1100"/>
      <c r="F109" s="1104">
        <v>0.05</v>
      </c>
    </row>
    <row r="110" spans="1:6" ht="14.25" thickBot="1">
      <c r="A110" s="855" t="s">
        <v>70</v>
      </c>
      <c r="B110" s="856" t="s">
        <v>810</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811</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812</v>
      </c>
      <c r="C138" s="1097">
        <v>0.105</v>
      </c>
      <c r="D138" s="1097">
        <v>0.125</v>
      </c>
      <c r="E138" s="1097">
        <v>0.112</v>
      </c>
      <c r="F138" s="1102"/>
    </row>
    <row r="139" spans="1:6" ht="14.25" thickBot="1">
      <c r="A139" s="855" t="s">
        <v>70</v>
      </c>
      <c r="B139" s="849" t="s">
        <v>813</v>
      </c>
      <c r="C139" s="1097">
        <v>0.127</v>
      </c>
      <c r="D139" s="1097">
        <v>0.127</v>
      </c>
      <c r="E139" s="1097">
        <v>0.122</v>
      </c>
      <c r="F139" s="1098">
        <v>0.13</v>
      </c>
    </row>
    <row r="140" spans="1:6" ht="14.25" thickBot="1">
      <c r="A140" s="855" t="s">
        <v>70</v>
      </c>
      <c r="B140" s="849" t="s">
        <v>814</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815</v>
      </c>
      <c r="C144" s="1106">
        <v>0.126</v>
      </c>
      <c r="D144" s="1106">
        <v>0.126</v>
      </c>
      <c r="E144" s="1106">
        <v>0.121</v>
      </c>
      <c r="F144" s="1102"/>
    </row>
    <row r="145" spans="1:6" ht="14.25" thickBot="1">
      <c r="A145" s="872" t="s">
        <v>70</v>
      </c>
      <c r="B145" s="1107" t="s">
        <v>816</v>
      </c>
      <c r="C145" s="1108"/>
      <c r="D145" s="1108"/>
      <c r="E145" s="1108"/>
      <c r="F145" s="1109">
        <v>0.05</v>
      </c>
    </row>
    <row r="146" spans="1:6" ht="24.75" thickBot="1">
      <c r="A146" s="1110" t="s">
        <v>70</v>
      </c>
      <c r="B146" s="863" t="s">
        <v>817</v>
      </c>
      <c r="C146" s="1103"/>
      <c r="D146" s="1103"/>
      <c r="E146" s="1103"/>
      <c r="F146" s="1111">
        <v>0.05</v>
      </c>
    </row>
    <row r="147" spans="1:6" ht="24.75" thickBot="1">
      <c r="A147" s="855" t="s">
        <v>70</v>
      </c>
      <c r="B147" s="849" t="s">
        <v>818</v>
      </c>
      <c r="C147" s="1103"/>
      <c r="D147" s="1103"/>
      <c r="E147" s="1103"/>
      <c r="F147" s="1098">
        <v>0.05</v>
      </c>
    </row>
    <row r="148" spans="1:6" ht="24.75" thickBot="1">
      <c r="A148" s="855" t="s">
        <v>70</v>
      </c>
      <c r="B148" s="849" t="s">
        <v>819</v>
      </c>
      <c r="C148" s="1103"/>
      <c r="D148" s="1103"/>
      <c r="E148" s="1103"/>
      <c r="F148" s="1098">
        <v>0.05</v>
      </c>
    </row>
    <row r="149" spans="1:6" ht="24.75" thickBot="1">
      <c r="A149" s="855" t="s">
        <v>70</v>
      </c>
      <c r="B149" s="849" t="s">
        <v>820</v>
      </c>
      <c r="C149" s="1103"/>
      <c r="D149" s="1103"/>
      <c r="E149" s="1103"/>
      <c r="F149" s="1098">
        <v>0.05</v>
      </c>
    </row>
    <row r="150" spans="1:6" ht="24.75" thickBot="1">
      <c r="A150" s="855" t="s">
        <v>70</v>
      </c>
      <c r="B150" s="849" t="s">
        <v>821</v>
      </c>
      <c r="C150" s="1103"/>
      <c r="D150" s="1103"/>
      <c r="E150" s="1103"/>
      <c r="F150" s="1098">
        <v>0.05</v>
      </c>
    </row>
    <row r="151" spans="1:6" ht="24.75" thickBot="1">
      <c r="A151" s="855" t="s">
        <v>70</v>
      </c>
      <c r="B151" s="849" t="s">
        <v>822</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823</v>
      </c>
      <c r="C153" s="1103"/>
      <c r="D153" s="1103"/>
      <c r="E153" s="1103"/>
      <c r="F153" s="1098">
        <v>0.05</v>
      </c>
    </row>
    <row r="154" spans="1:6" ht="14.25" thickBot="1">
      <c r="A154" s="855" t="s">
        <v>70</v>
      </c>
      <c r="B154" s="849" t="s">
        <v>824</v>
      </c>
      <c r="C154" s="1103"/>
      <c r="D154" s="1103"/>
      <c r="E154" s="1103"/>
      <c r="F154" s="1098">
        <v>0.05</v>
      </c>
    </row>
    <row r="155" spans="1:6" ht="24.75" thickBot="1">
      <c r="A155" s="855" t="s">
        <v>70</v>
      </c>
      <c r="B155" s="849" t="s">
        <v>825</v>
      </c>
      <c r="C155" s="1103"/>
      <c r="D155" s="1103"/>
      <c r="E155" s="1103"/>
      <c r="F155" s="1098">
        <v>0.05</v>
      </c>
    </row>
    <row r="156" spans="1:6" ht="24.75" thickBot="1">
      <c r="A156" s="855" t="s">
        <v>70</v>
      </c>
      <c r="B156" s="849" t="s">
        <v>826</v>
      </c>
      <c r="C156" s="1103"/>
      <c r="D156" s="1103"/>
      <c r="E156" s="1103"/>
      <c r="F156" s="1098">
        <v>0.05</v>
      </c>
    </row>
    <row r="157" spans="1:6" ht="14.25" thickBot="1">
      <c r="A157" s="872" t="s">
        <v>70</v>
      </c>
      <c r="B157" s="865" t="s">
        <v>827</v>
      </c>
      <c r="C157" s="1100"/>
      <c r="D157" s="1100"/>
      <c r="E157" s="1100"/>
      <c r="F157" s="1104">
        <v>0.05</v>
      </c>
    </row>
    <row r="158" spans="1:6" ht="14.25" thickBot="1">
      <c r="A158" s="855" t="s">
        <v>483</v>
      </c>
      <c r="B158" s="856" t="s">
        <v>828</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829</v>
      </c>
      <c r="C171" s="1097">
        <v>0.127</v>
      </c>
      <c r="D171" s="1097">
        <v>0.126</v>
      </c>
      <c r="E171" s="1097">
        <v>0.126</v>
      </c>
      <c r="F171" s="1098">
        <v>0.11799999999999999</v>
      </c>
    </row>
    <row r="172" spans="1:6" ht="14.25" thickBot="1">
      <c r="A172" s="855" t="s">
        <v>483</v>
      </c>
      <c r="B172" s="849" t="s">
        <v>830</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831</v>
      </c>
      <c r="C174" s="1097">
        <v>0.13</v>
      </c>
      <c r="D174" s="1097">
        <v>0.13</v>
      </c>
      <c r="E174" s="1097">
        <v>0.13</v>
      </c>
      <c r="F174" s="1098">
        <v>0.13</v>
      </c>
    </row>
    <row r="175" spans="1:6" ht="14.25" thickBot="1">
      <c r="A175" s="855" t="s">
        <v>483</v>
      </c>
      <c r="B175" s="849" t="s">
        <v>832</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833</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834</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835</v>
      </c>
      <c r="C185" s="1097">
        <v>0.127</v>
      </c>
      <c r="D185" s="1097">
        <v>0.127</v>
      </c>
      <c r="E185" s="1097">
        <v>0.128</v>
      </c>
      <c r="F185" s="1098">
        <v>0.13</v>
      </c>
    </row>
    <row r="186" spans="1:6" ht="24.75" thickBot="1">
      <c r="A186" s="855" t="s">
        <v>483</v>
      </c>
      <c r="B186" s="849" t="s">
        <v>836</v>
      </c>
      <c r="C186" s="1103"/>
      <c r="D186" s="1103"/>
      <c r="E186" s="1103"/>
      <c r="F186" s="1098">
        <v>0.05</v>
      </c>
    </row>
    <row r="187" spans="1:6" ht="14.25" thickBot="1">
      <c r="A187" s="855" t="s">
        <v>483</v>
      </c>
      <c r="B187" s="849" t="s">
        <v>837</v>
      </c>
      <c r="C187" s="1103"/>
      <c r="D187" s="1103"/>
      <c r="E187" s="1103"/>
      <c r="F187" s="1098">
        <v>0.05</v>
      </c>
    </row>
    <row r="188" spans="1:6" ht="14.25" thickBot="1">
      <c r="A188" s="855" t="s">
        <v>483</v>
      </c>
      <c r="B188" s="849" t="s">
        <v>838</v>
      </c>
      <c r="C188" s="1103"/>
      <c r="D188" s="1103"/>
      <c r="E188" s="1103"/>
      <c r="F188" s="1098">
        <v>0.05</v>
      </c>
    </row>
    <row r="189" spans="1:6" ht="24.75" thickBot="1">
      <c r="A189" s="855" t="s">
        <v>483</v>
      </c>
      <c r="B189" s="849" t="s">
        <v>839</v>
      </c>
      <c r="C189" s="1103"/>
      <c r="D189" s="1103"/>
      <c r="E189" s="1103"/>
      <c r="F189" s="1098">
        <v>0.05</v>
      </c>
    </row>
    <row r="190" spans="1:6" ht="24.75" thickBot="1">
      <c r="A190" s="855" t="s">
        <v>483</v>
      </c>
      <c r="B190" s="849" t="s">
        <v>840</v>
      </c>
      <c r="C190" s="1103"/>
      <c r="D190" s="1103"/>
      <c r="E190" s="1103"/>
      <c r="F190" s="1098">
        <v>0.05</v>
      </c>
    </row>
    <row r="191" spans="1:6" ht="24.75" thickBot="1">
      <c r="A191" s="855" t="s">
        <v>483</v>
      </c>
      <c r="B191" s="849" t="s">
        <v>841</v>
      </c>
      <c r="C191" s="1103"/>
      <c r="D191" s="1103"/>
      <c r="E191" s="1103"/>
      <c r="F191" s="1098">
        <v>0.05</v>
      </c>
    </row>
    <row r="192" spans="1:6" ht="24.75" thickBot="1">
      <c r="A192" s="855" t="s">
        <v>483</v>
      </c>
      <c r="B192" s="849" t="s">
        <v>842</v>
      </c>
      <c r="C192" s="1103"/>
      <c r="D192" s="1103"/>
      <c r="E192" s="1103"/>
      <c r="F192" s="1098">
        <v>0.05</v>
      </c>
    </row>
    <row r="193" spans="1:6" ht="24.75" thickBot="1">
      <c r="A193" s="855" t="s">
        <v>483</v>
      </c>
      <c r="B193" s="849" t="s">
        <v>843</v>
      </c>
      <c r="C193" s="1103"/>
      <c r="D193" s="1103"/>
      <c r="E193" s="1103"/>
      <c r="F193" s="1098">
        <v>0.05</v>
      </c>
    </row>
    <row r="194" spans="1:6" ht="24.75" thickBot="1">
      <c r="A194" s="855" t="s">
        <v>483</v>
      </c>
      <c r="B194" s="849" t="s">
        <v>844</v>
      </c>
      <c r="C194" s="1103"/>
      <c r="D194" s="1103"/>
      <c r="E194" s="1103"/>
      <c r="F194" s="1098">
        <v>0.05</v>
      </c>
    </row>
    <row r="195" spans="1:6" ht="14.25" thickBot="1">
      <c r="A195" s="855" t="s">
        <v>483</v>
      </c>
      <c r="B195" s="849" t="s">
        <v>845</v>
      </c>
      <c r="C195" s="1103"/>
      <c r="D195" s="1103"/>
      <c r="E195" s="1103"/>
      <c r="F195" s="1098">
        <v>0.05</v>
      </c>
    </row>
    <row r="196" spans="1:6" ht="24.75" thickBot="1">
      <c r="A196" s="855" t="s">
        <v>483</v>
      </c>
      <c r="B196" s="849" t="s">
        <v>846</v>
      </c>
      <c r="C196" s="1103"/>
      <c r="D196" s="1103"/>
      <c r="E196" s="1103"/>
      <c r="F196" s="1098">
        <v>0.05</v>
      </c>
    </row>
    <row r="197" spans="1:6" ht="24.75" thickBot="1">
      <c r="A197" s="855" t="s">
        <v>483</v>
      </c>
      <c r="B197" s="849" t="s">
        <v>847</v>
      </c>
      <c r="C197" s="1103"/>
      <c r="D197" s="1103"/>
      <c r="E197" s="1103"/>
      <c r="F197" s="1098">
        <v>0.05</v>
      </c>
    </row>
    <row r="198" spans="1:6" ht="24.75" thickBot="1">
      <c r="A198" s="855" t="s">
        <v>483</v>
      </c>
      <c r="B198" s="849" t="s">
        <v>848</v>
      </c>
      <c r="C198" s="1103"/>
      <c r="D198" s="1103"/>
      <c r="E198" s="1103"/>
      <c r="F198" s="1098">
        <v>0.05</v>
      </c>
    </row>
    <row r="199" spans="1:6" ht="24.75" thickBot="1">
      <c r="A199" s="855" t="s">
        <v>483</v>
      </c>
      <c r="B199" s="849" t="s">
        <v>849</v>
      </c>
      <c r="C199" s="1103"/>
      <c r="D199" s="1103"/>
      <c r="E199" s="1103"/>
      <c r="F199" s="1098">
        <v>0.05</v>
      </c>
    </row>
    <row r="200" spans="1:6" ht="24.75" thickBot="1">
      <c r="A200" s="855" t="s">
        <v>483</v>
      </c>
      <c r="B200" s="849" t="s">
        <v>850</v>
      </c>
      <c r="C200" s="1103"/>
      <c r="D200" s="1103"/>
      <c r="E200" s="1103"/>
      <c r="F200" s="1098">
        <v>0.05</v>
      </c>
    </row>
    <row r="201" spans="1:6" ht="24.75" thickBot="1">
      <c r="A201" s="855" t="s">
        <v>483</v>
      </c>
      <c r="B201" s="849" t="s">
        <v>851</v>
      </c>
      <c r="C201" s="1103"/>
      <c r="D201" s="1103"/>
      <c r="E201" s="1103"/>
      <c r="F201" s="1098">
        <v>0.05</v>
      </c>
    </row>
    <row r="202" spans="1:6" ht="24.75" thickBot="1">
      <c r="A202" s="855" t="s">
        <v>483</v>
      </c>
      <c r="B202" s="849" t="s">
        <v>852</v>
      </c>
      <c r="C202" s="1103"/>
      <c r="D202" s="1103"/>
      <c r="E202" s="1103"/>
      <c r="F202" s="1098">
        <v>0.05</v>
      </c>
    </row>
    <row r="203" spans="1:6" ht="24.75" thickBot="1">
      <c r="A203" s="855" t="s">
        <v>483</v>
      </c>
      <c r="B203" s="849" t="s">
        <v>853</v>
      </c>
      <c r="C203" s="1103"/>
      <c r="D203" s="1103"/>
      <c r="E203" s="1103"/>
      <c r="F203" s="1098">
        <v>0.05</v>
      </c>
    </row>
    <row r="204" spans="1:6" ht="14.25" thickBot="1">
      <c r="A204" s="855" t="s">
        <v>483</v>
      </c>
      <c r="B204" s="849" t="s">
        <v>854</v>
      </c>
      <c r="C204" s="1103"/>
      <c r="D204" s="1103"/>
      <c r="E204" s="1103"/>
      <c r="F204" s="1098">
        <v>0.05</v>
      </c>
    </row>
    <row r="205" spans="1:6" ht="14.25" thickBot="1">
      <c r="A205" s="872" t="s">
        <v>483</v>
      </c>
      <c r="B205" s="865" t="s">
        <v>855</v>
      </c>
      <c r="C205" s="1100"/>
      <c r="D205" s="1100"/>
      <c r="E205" s="1100"/>
      <c r="F205" s="1104">
        <v>0.05</v>
      </c>
    </row>
    <row r="206" spans="1:6" ht="14.25" thickBot="1">
      <c r="A206" s="855" t="s">
        <v>485</v>
      </c>
      <c r="B206" s="856" t="s">
        <v>856</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857</v>
      </c>
      <c r="C210" s="1097">
        <v>0.15</v>
      </c>
      <c r="D210" s="1097">
        <v>0.15</v>
      </c>
      <c r="E210" s="1097">
        <v>0.15</v>
      </c>
      <c r="F210" s="1098">
        <v>0.13800000000000001</v>
      </c>
    </row>
    <row r="211" spans="1:6" ht="14.25" thickBot="1">
      <c r="A211" s="855" t="s">
        <v>485</v>
      </c>
      <c r="B211" s="849" t="s">
        <v>858</v>
      </c>
      <c r="C211" s="1097">
        <v>0.13700000000000001</v>
      </c>
      <c r="D211" s="1097">
        <v>0.13500000000000001</v>
      </c>
      <c r="E211" s="1097">
        <v>0.13600000000000001</v>
      </c>
      <c r="F211" s="1098">
        <v>0.1</v>
      </c>
    </row>
    <row r="212" spans="1:6" ht="14.25" thickBot="1">
      <c r="A212" s="855" t="s">
        <v>485</v>
      </c>
      <c r="B212" s="849" t="s">
        <v>859</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860</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861</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862</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863</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864</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865</v>
      </c>
      <c r="C231" s="1097">
        <v>0.128</v>
      </c>
      <c r="D231" s="1097">
        <v>0.125</v>
      </c>
      <c r="E231" s="1097">
        <v>0.13200000000000001</v>
      </c>
      <c r="F231" s="1102"/>
    </row>
    <row r="232" spans="1:6" ht="14.25" thickBot="1">
      <c r="A232" s="855" t="s">
        <v>485</v>
      </c>
      <c r="B232" s="849" t="s">
        <v>866</v>
      </c>
      <c r="C232" s="1097">
        <v>0.14499999999999999</v>
      </c>
      <c r="D232" s="1097">
        <v>0.14399999999999999</v>
      </c>
      <c r="E232" s="1097">
        <v>0.14599999999999999</v>
      </c>
      <c r="F232" s="1098">
        <v>0.13800000000000001</v>
      </c>
    </row>
    <row r="233" spans="1:6" ht="14.25" thickBot="1">
      <c r="A233" s="855" t="s">
        <v>485</v>
      </c>
      <c r="B233" s="849" t="s">
        <v>867</v>
      </c>
      <c r="C233" s="1097">
        <v>0.14499999999999999</v>
      </c>
      <c r="D233" s="1097">
        <v>0.14299999999999999</v>
      </c>
      <c r="E233" s="1097">
        <v>0.14199999999999999</v>
      </c>
      <c r="F233" s="1102"/>
    </row>
    <row r="234" spans="1:6" ht="14.25" thickBot="1">
      <c r="A234" s="855" t="s">
        <v>485</v>
      </c>
      <c r="B234" s="849" t="s">
        <v>868</v>
      </c>
      <c r="C234" s="1097">
        <v>0.14000000000000001</v>
      </c>
      <c r="D234" s="1097">
        <v>0.14000000000000001</v>
      </c>
      <c r="E234" s="1097">
        <v>0.14399999999999999</v>
      </c>
      <c r="F234" s="1102"/>
    </row>
    <row r="235" spans="1:6" ht="14.25" thickBot="1">
      <c r="A235" s="855" t="s">
        <v>485</v>
      </c>
      <c r="B235" s="849" t="s">
        <v>869</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870</v>
      </c>
      <c r="C237" s="1103"/>
      <c r="D237" s="1103"/>
      <c r="E237" s="1103"/>
      <c r="F237" s="1098">
        <v>0.05</v>
      </c>
    </row>
    <row r="238" spans="1:6" ht="24.75" thickBot="1">
      <c r="A238" s="855" t="s">
        <v>485</v>
      </c>
      <c r="B238" s="849" t="s">
        <v>871</v>
      </c>
      <c r="C238" s="1103"/>
      <c r="D238" s="1103"/>
      <c r="E238" s="1103"/>
      <c r="F238" s="1098">
        <v>0.05</v>
      </c>
    </row>
    <row r="239" spans="1:6" ht="24.75" thickBot="1">
      <c r="A239" s="855" t="s">
        <v>485</v>
      </c>
      <c r="B239" s="849" t="s">
        <v>872</v>
      </c>
      <c r="C239" s="1103"/>
      <c r="D239" s="1103"/>
      <c r="E239" s="1103"/>
      <c r="F239" s="1098">
        <v>0.05</v>
      </c>
    </row>
    <row r="240" spans="1:6" ht="24.75" thickBot="1">
      <c r="A240" s="855" t="s">
        <v>485</v>
      </c>
      <c r="B240" s="849" t="s">
        <v>873</v>
      </c>
      <c r="C240" s="1103"/>
      <c r="D240" s="1103"/>
      <c r="E240" s="1103"/>
      <c r="F240" s="1098">
        <v>0.05</v>
      </c>
    </row>
    <row r="241" spans="1:6" ht="24.75" thickBot="1">
      <c r="A241" s="855" t="s">
        <v>485</v>
      </c>
      <c r="B241" s="849" t="s">
        <v>874</v>
      </c>
      <c r="C241" s="1103"/>
      <c r="D241" s="1103"/>
      <c r="E241" s="1103"/>
      <c r="F241" s="1098">
        <v>0.05</v>
      </c>
    </row>
    <row r="242" spans="1:6" ht="24.75" thickBot="1">
      <c r="A242" s="855" t="s">
        <v>485</v>
      </c>
      <c r="B242" s="849" t="s">
        <v>875</v>
      </c>
      <c r="C242" s="1103"/>
      <c r="D242" s="1103"/>
      <c r="E242" s="1103"/>
      <c r="F242" s="1098">
        <v>0.05</v>
      </c>
    </row>
    <row r="243" spans="1:6" ht="24.75" thickBot="1">
      <c r="A243" s="855" t="s">
        <v>485</v>
      </c>
      <c r="B243" s="849" t="s">
        <v>876</v>
      </c>
      <c r="C243" s="1103"/>
      <c r="D243" s="1103"/>
      <c r="E243" s="1103"/>
      <c r="F243" s="1098">
        <v>0.05</v>
      </c>
    </row>
    <row r="244" spans="1:6" ht="24.75" thickBot="1">
      <c r="A244" s="872" t="s">
        <v>485</v>
      </c>
      <c r="B244" s="865" t="s">
        <v>877</v>
      </c>
      <c r="C244" s="1100"/>
      <c r="D244" s="1100"/>
      <c r="E244" s="1100"/>
      <c r="F244" s="1104">
        <v>0.05</v>
      </c>
    </row>
    <row r="245" spans="1:6" ht="14.25" thickBot="1">
      <c r="A245" s="855" t="s">
        <v>487</v>
      </c>
      <c r="B245" s="856" t="s">
        <v>878</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879</v>
      </c>
      <c r="C247" s="1097">
        <v>0.15</v>
      </c>
      <c r="D247" s="1097">
        <v>0.15</v>
      </c>
      <c r="E247" s="1097">
        <v>0.15</v>
      </c>
      <c r="F247" s="1098">
        <v>0.15</v>
      </c>
    </row>
    <row r="248" spans="1:6" ht="14.25" thickBot="1">
      <c r="A248" s="855" t="s">
        <v>487</v>
      </c>
      <c r="B248" s="849" t="s">
        <v>880</v>
      </c>
      <c r="C248" s="1097">
        <v>0.15</v>
      </c>
      <c r="D248" s="1097">
        <v>0.15</v>
      </c>
      <c r="E248" s="1097">
        <v>0.15</v>
      </c>
      <c r="F248" s="1098">
        <v>0.14000000000000001</v>
      </c>
    </row>
    <row r="249" spans="1:6" ht="14.25" thickBot="1">
      <c r="A249" s="855" t="s">
        <v>487</v>
      </c>
      <c r="B249" s="849" t="s">
        <v>881</v>
      </c>
      <c r="C249" s="1097">
        <v>0.15</v>
      </c>
      <c r="D249" s="1097">
        <v>0.14899999999999999</v>
      </c>
      <c r="E249" s="1097">
        <v>0.15</v>
      </c>
      <c r="F249" s="1098">
        <v>0.1</v>
      </c>
    </row>
    <row r="250" spans="1:6" ht="14.25" thickBot="1">
      <c r="A250" s="855" t="s">
        <v>487</v>
      </c>
      <c r="B250" s="849" t="s">
        <v>882</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883</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884</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885</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886</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887</v>
      </c>
      <c r="C273" s="1097">
        <v>0.14199999999999999</v>
      </c>
      <c r="D273" s="1097">
        <v>0.14299999999999999</v>
      </c>
      <c r="E273" s="1097">
        <v>0.15</v>
      </c>
      <c r="F273" s="1098">
        <v>0.1</v>
      </c>
    </row>
    <row r="274" spans="1:6" ht="14.25" thickBot="1">
      <c r="A274" s="855" t="s">
        <v>487</v>
      </c>
      <c r="B274" s="849" t="s">
        <v>888</v>
      </c>
      <c r="C274" s="1097">
        <v>0.14799999999999999</v>
      </c>
      <c r="D274" s="1097">
        <v>0.14799999999999999</v>
      </c>
      <c r="E274" s="1097">
        <v>0.15</v>
      </c>
      <c r="F274" s="1098">
        <v>6.7000000000000004E-2</v>
      </c>
    </row>
    <row r="275" spans="1:6" ht="14.25" thickBot="1">
      <c r="A275" s="855" t="s">
        <v>487</v>
      </c>
      <c r="B275" s="849" t="s">
        <v>889</v>
      </c>
      <c r="C275" s="1097">
        <v>0.15</v>
      </c>
      <c r="D275" s="1097">
        <v>0.15</v>
      </c>
      <c r="E275" s="1097">
        <v>0.15</v>
      </c>
      <c r="F275" s="1098">
        <v>0.15</v>
      </c>
    </row>
    <row r="276" spans="1:6" ht="14.25" thickBot="1">
      <c r="A276" s="855" t="s">
        <v>487</v>
      </c>
      <c r="B276" s="849" t="s">
        <v>890</v>
      </c>
      <c r="C276" s="1097">
        <v>0.14499999999999999</v>
      </c>
      <c r="D276" s="1097">
        <v>0.14299999999999999</v>
      </c>
      <c r="E276" s="1097">
        <v>0.15</v>
      </c>
      <c r="F276" s="1098">
        <v>5.8999999999999997E-2</v>
      </c>
    </row>
    <row r="277" spans="1:6" ht="14.25" thickBot="1">
      <c r="A277" s="855" t="s">
        <v>487</v>
      </c>
      <c r="B277" s="849" t="s">
        <v>891</v>
      </c>
      <c r="C277" s="1097">
        <v>0.15</v>
      </c>
      <c r="D277" s="1097">
        <v>0.15</v>
      </c>
      <c r="E277" s="1097">
        <v>0.15</v>
      </c>
      <c r="F277" s="1098">
        <v>0.121</v>
      </c>
    </row>
    <row r="278" spans="1:6" ht="14.25" thickBot="1">
      <c r="A278" s="855" t="s">
        <v>487</v>
      </c>
      <c r="B278" s="849" t="s">
        <v>892</v>
      </c>
      <c r="C278" s="1097">
        <v>0.15</v>
      </c>
      <c r="D278" s="1097">
        <v>0.15</v>
      </c>
      <c r="E278" s="1097">
        <v>0.15</v>
      </c>
      <c r="F278" s="1098">
        <v>0.13800000000000001</v>
      </c>
    </row>
    <row r="279" spans="1:6" ht="24.75" thickBot="1">
      <c r="A279" s="855" t="s">
        <v>487</v>
      </c>
      <c r="B279" s="849" t="s">
        <v>893</v>
      </c>
      <c r="C279" s="1103"/>
      <c r="D279" s="1103"/>
      <c r="E279" s="1103"/>
      <c r="F279" s="1098">
        <v>0.05</v>
      </c>
    </row>
    <row r="280" spans="1:6" ht="24.75" thickBot="1">
      <c r="A280" s="855" t="s">
        <v>487</v>
      </c>
      <c r="B280" s="849" t="s">
        <v>894</v>
      </c>
      <c r="C280" s="1103"/>
      <c r="D280" s="1103"/>
      <c r="E280" s="1103"/>
      <c r="F280" s="1098">
        <v>0.05</v>
      </c>
    </row>
    <row r="281" spans="1:6" ht="24.75" thickBot="1">
      <c r="A281" s="855" t="s">
        <v>487</v>
      </c>
      <c r="B281" s="849" t="s">
        <v>895</v>
      </c>
      <c r="C281" s="1103"/>
      <c r="D281" s="1103"/>
      <c r="E281" s="1103"/>
      <c r="F281" s="1098">
        <v>0.05</v>
      </c>
    </row>
    <row r="282" spans="1:6" ht="24.75" thickBot="1">
      <c r="A282" s="855" t="s">
        <v>487</v>
      </c>
      <c r="B282" s="849" t="s">
        <v>896</v>
      </c>
      <c r="C282" s="1103"/>
      <c r="D282" s="1103"/>
      <c r="E282" s="1103"/>
      <c r="F282" s="1098">
        <v>0.05</v>
      </c>
    </row>
    <row r="283" spans="1:6" ht="24.75" thickBot="1">
      <c r="A283" s="855" t="s">
        <v>487</v>
      </c>
      <c r="B283" s="849" t="s">
        <v>897</v>
      </c>
      <c r="C283" s="1103"/>
      <c r="D283" s="1103"/>
      <c r="E283" s="1103"/>
      <c r="F283" s="1098">
        <v>0.05</v>
      </c>
    </row>
    <row r="284" spans="1:6" ht="24.75" thickBot="1">
      <c r="A284" s="855" t="s">
        <v>487</v>
      </c>
      <c r="B284" s="849" t="s">
        <v>898</v>
      </c>
      <c r="C284" s="1103"/>
      <c r="D284" s="1103"/>
      <c r="E284" s="1103"/>
      <c r="F284" s="1098">
        <v>0.05</v>
      </c>
    </row>
    <row r="285" spans="1:6" ht="24.75" thickBot="1">
      <c r="A285" s="855" t="s">
        <v>487</v>
      </c>
      <c r="B285" s="849" t="s">
        <v>899</v>
      </c>
      <c r="C285" s="1103"/>
      <c r="D285" s="1103"/>
      <c r="E285" s="1103"/>
      <c r="F285" s="1098">
        <v>0.05</v>
      </c>
    </row>
    <row r="286" spans="1:6" ht="24.75" thickBot="1">
      <c r="A286" s="855" t="s">
        <v>487</v>
      </c>
      <c r="B286" s="849" t="s">
        <v>900</v>
      </c>
      <c r="C286" s="1103"/>
      <c r="D286" s="1103"/>
      <c r="E286" s="1103"/>
      <c r="F286" s="1098">
        <v>0.05</v>
      </c>
    </row>
    <row r="287" spans="1:6" ht="24.75" thickBot="1">
      <c r="A287" s="855" t="s">
        <v>487</v>
      </c>
      <c r="B287" s="849" t="s">
        <v>901</v>
      </c>
      <c r="C287" s="1103"/>
      <c r="D287" s="1103"/>
      <c r="E287" s="1103"/>
      <c r="F287" s="1098">
        <v>0.05</v>
      </c>
    </row>
    <row r="288" spans="1:6" ht="24.75" thickBot="1">
      <c r="A288" s="855" t="s">
        <v>487</v>
      </c>
      <c r="B288" s="849" t="s">
        <v>902</v>
      </c>
      <c r="C288" s="1103"/>
      <c r="D288" s="1103"/>
      <c r="E288" s="1103"/>
      <c r="F288" s="1098">
        <v>0.05</v>
      </c>
    </row>
    <row r="289" spans="1:6" ht="24.75" thickBot="1">
      <c r="A289" s="872" t="s">
        <v>487</v>
      </c>
      <c r="B289" s="865" t="s">
        <v>903</v>
      </c>
      <c r="C289" s="1100"/>
      <c r="D289" s="1100"/>
      <c r="E289" s="1100"/>
      <c r="F289" s="1104">
        <v>0.05</v>
      </c>
    </row>
    <row r="290" spans="1:6" ht="14.25" thickBot="1">
      <c r="A290" s="855" t="s">
        <v>491</v>
      </c>
      <c r="B290" s="856" t="s">
        <v>904</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905</v>
      </c>
      <c r="C292" s="1097">
        <v>0.15</v>
      </c>
      <c r="D292" s="1097">
        <v>0.15</v>
      </c>
      <c r="E292" s="1097">
        <v>0.15</v>
      </c>
      <c r="F292" s="1098">
        <v>0.14699999999999999</v>
      </c>
    </row>
    <row r="293" spans="1:6" ht="14.25" thickBot="1">
      <c r="A293" s="855" t="s">
        <v>491</v>
      </c>
      <c r="B293" s="849" t="s">
        <v>906</v>
      </c>
      <c r="C293" s="1103"/>
      <c r="D293" s="1103"/>
      <c r="E293" s="1103"/>
      <c r="F293" s="1098">
        <v>0.1</v>
      </c>
    </row>
    <row r="294" spans="1:6" ht="14.25" thickBot="1">
      <c r="A294" s="855" t="s">
        <v>491</v>
      </c>
      <c r="B294" s="849" t="s">
        <v>907</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908</v>
      </c>
      <c r="C296" s="1097">
        <v>0.15</v>
      </c>
      <c r="D296" s="1097">
        <v>0.15</v>
      </c>
      <c r="E296" s="1097">
        <v>0.15</v>
      </c>
      <c r="F296" s="1098">
        <v>0.15</v>
      </c>
    </row>
    <row r="297" spans="1:6" ht="14.25" thickBot="1">
      <c r="A297" s="855" t="s">
        <v>491</v>
      </c>
      <c r="B297" s="849" t="s">
        <v>909</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910</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911</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912</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913</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914</v>
      </c>
      <c r="C310" s="1097">
        <v>0.15</v>
      </c>
      <c r="D310" s="1097">
        <v>0.15</v>
      </c>
      <c r="E310" s="1097">
        <v>0.15</v>
      </c>
      <c r="F310" s="1098">
        <v>0.13700000000000001</v>
      </c>
    </row>
    <row r="311" spans="1:6" ht="14.25" thickBot="1">
      <c r="A311" s="855" t="s">
        <v>491</v>
      </c>
      <c r="B311" s="849" t="s">
        <v>915</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916</v>
      </c>
      <c r="C313" s="1097">
        <v>0.15</v>
      </c>
      <c r="D313" s="1097">
        <v>0.15</v>
      </c>
      <c r="E313" s="1097">
        <v>0.15</v>
      </c>
      <c r="F313" s="1098">
        <v>0.15</v>
      </c>
    </row>
    <row r="314" spans="1:6" ht="24.75" thickBot="1">
      <c r="A314" s="855" t="s">
        <v>491</v>
      </c>
      <c r="B314" s="849" t="s">
        <v>917</v>
      </c>
      <c r="C314" s="1103"/>
      <c r="D314" s="1103"/>
      <c r="E314" s="1103"/>
      <c r="F314" s="1098">
        <v>0.05</v>
      </c>
    </row>
    <row r="315" spans="1:6" ht="24.75" thickBot="1">
      <c r="A315" s="855" t="s">
        <v>491</v>
      </c>
      <c r="B315" s="849" t="s">
        <v>918</v>
      </c>
      <c r="C315" s="1103"/>
      <c r="D315" s="1103"/>
      <c r="E315" s="1103"/>
      <c r="F315" s="1098">
        <v>0.05</v>
      </c>
    </row>
    <row r="316" spans="1:6" ht="24.75" thickBot="1">
      <c r="A316" s="872" t="s">
        <v>491</v>
      </c>
      <c r="B316" s="865" t="s">
        <v>919</v>
      </c>
      <c r="C316" s="1100"/>
      <c r="D316" s="1100"/>
      <c r="E316" s="1100"/>
      <c r="F316" s="1104">
        <v>0.05</v>
      </c>
    </row>
    <row r="317" spans="1:6" ht="14.25" thickBot="1">
      <c r="A317" s="855" t="s">
        <v>920</v>
      </c>
      <c r="B317" s="856" t="s">
        <v>921</v>
      </c>
      <c r="C317" s="1095">
        <v>0.15</v>
      </c>
      <c r="D317" s="1095">
        <v>0.15</v>
      </c>
      <c r="E317" s="1095">
        <v>0.15</v>
      </c>
      <c r="F317" s="1096">
        <v>0.15</v>
      </c>
    </row>
    <row r="318" spans="1:6" ht="14.25" thickBot="1">
      <c r="A318" s="855" t="s">
        <v>920</v>
      </c>
      <c r="B318" s="849" t="s">
        <v>922</v>
      </c>
      <c r="C318" s="1097">
        <v>0.107</v>
      </c>
      <c r="D318" s="1097">
        <v>0.11</v>
      </c>
      <c r="E318" s="1097">
        <v>0.112</v>
      </c>
      <c r="F318" s="1102"/>
    </row>
    <row r="319" spans="1:6" ht="14.25" thickBot="1">
      <c r="A319" s="855" t="s">
        <v>920</v>
      </c>
      <c r="B319" s="849" t="s">
        <v>923</v>
      </c>
      <c r="C319" s="1097">
        <v>0.15</v>
      </c>
      <c r="D319" s="1097">
        <v>0.15</v>
      </c>
      <c r="E319" s="1097">
        <v>0.15</v>
      </c>
      <c r="F319" s="1098">
        <v>0.15</v>
      </c>
    </row>
    <row r="320" spans="1:6" ht="14.25" thickBot="1">
      <c r="A320" s="855" t="s">
        <v>920</v>
      </c>
      <c r="B320" s="849" t="s">
        <v>172</v>
      </c>
      <c r="C320" s="1097">
        <v>0.15</v>
      </c>
      <c r="D320" s="1097">
        <v>0.15</v>
      </c>
      <c r="E320" s="1097">
        <v>0.15</v>
      </c>
      <c r="F320" s="1102"/>
    </row>
    <row r="321" spans="1:6" ht="14.25" thickBot="1">
      <c r="A321" s="855" t="s">
        <v>920</v>
      </c>
      <c r="B321" s="849" t="s">
        <v>924</v>
      </c>
      <c r="C321" s="1097">
        <v>0.15</v>
      </c>
      <c r="D321" s="1097">
        <v>0.15</v>
      </c>
      <c r="E321" s="1097">
        <v>0.15</v>
      </c>
      <c r="F321" s="1102"/>
    </row>
    <row r="322" spans="1:6" ht="14.25" thickBot="1">
      <c r="A322" s="855" t="s">
        <v>920</v>
      </c>
      <c r="B322" s="849" t="s">
        <v>925</v>
      </c>
      <c r="C322" s="1097">
        <v>0.15</v>
      </c>
      <c r="D322" s="1097">
        <v>0.15</v>
      </c>
      <c r="E322" s="1097">
        <v>0.15</v>
      </c>
      <c r="F322" s="1098">
        <v>0.15</v>
      </c>
    </row>
    <row r="323" spans="1:6" ht="14.25" thickBot="1">
      <c r="A323" s="855" t="s">
        <v>920</v>
      </c>
      <c r="B323" s="849" t="s">
        <v>926</v>
      </c>
      <c r="C323" s="1097">
        <v>0.15</v>
      </c>
      <c r="D323" s="1097">
        <v>0.15</v>
      </c>
      <c r="E323" s="1097">
        <v>0.15</v>
      </c>
      <c r="F323" s="1102"/>
    </row>
    <row r="324" spans="1:6" ht="14.25" thickBot="1">
      <c r="A324" s="855" t="s">
        <v>920</v>
      </c>
      <c r="B324" s="849" t="s">
        <v>927</v>
      </c>
      <c r="C324" s="1097">
        <v>0.15</v>
      </c>
      <c r="D324" s="1097">
        <v>0.15</v>
      </c>
      <c r="E324" s="1097">
        <v>0.15</v>
      </c>
      <c r="F324" s="1102"/>
    </row>
    <row r="325" spans="1:6" ht="14.25" thickBot="1">
      <c r="A325" s="855" t="s">
        <v>920</v>
      </c>
      <c r="B325" s="849" t="s">
        <v>928</v>
      </c>
      <c r="C325" s="1097">
        <v>0.15</v>
      </c>
      <c r="D325" s="1097">
        <v>0.15</v>
      </c>
      <c r="E325" s="1097">
        <v>0.15</v>
      </c>
      <c r="F325" s="1098">
        <v>0.14699999999999999</v>
      </c>
    </row>
    <row r="326" spans="1:6" ht="14.25" thickBot="1">
      <c r="A326" s="855" t="s">
        <v>920</v>
      </c>
      <c r="B326" s="849" t="s">
        <v>244</v>
      </c>
      <c r="C326" s="1097">
        <v>0.15</v>
      </c>
      <c r="D326" s="1097">
        <v>0.15</v>
      </c>
      <c r="E326" s="1097">
        <v>0.15</v>
      </c>
      <c r="F326" s="1102"/>
    </row>
    <row r="327" spans="1:6" ht="14.25" thickBot="1">
      <c r="A327" s="855" t="s">
        <v>920</v>
      </c>
      <c r="B327" s="849" t="s">
        <v>929</v>
      </c>
      <c r="C327" s="1097">
        <v>0.15</v>
      </c>
      <c r="D327" s="1097">
        <v>0.15</v>
      </c>
      <c r="E327" s="1097">
        <v>0.15</v>
      </c>
      <c r="F327" s="1098">
        <v>0.15</v>
      </c>
    </row>
    <row r="328" spans="1:6" ht="14.25" thickBot="1">
      <c r="A328" s="855" t="s">
        <v>920</v>
      </c>
      <c r="B328" s="849" t="s">
        <v>266</v>
      </c>
      <c r="C328" s="1097">
        <v>0.15</v>
      </c>
      <c r="D328" s="1097">
        <v>0.15</v>
      </c>
      <c r="E328" s="1097">
        <v>0.15</v>
      </c>
      <c r="F328" s="1098">
        <v>0.14099999999999999</v>
      </c>
    </row>
    <row r="329" spans="1:6" ht="14.25" thickBot="1">
      <c r="A329" s="855" t="s">
        <v>920</v>
      </c>
      <c r="B329" s="849" t="s">
        <v>277</v>
      </c>
      <c r="C329" s="1097">
        <v>0.15</v>
      </c>
      <c r="D329" s="1097">
        <v>0.15</v>
      </c>
      <c r="E329" s="1097">
        <v>0.15</v>
      </c>
      <c r="F329" s="1098">
        <v>0.15</v>
      </c>
    </row>
    <row r="330" spans="1:6" ht="14.25" thickBot="1">
      <c r="A330" s="855" t="s">
        <v>920</v>
      </c>
      <c r="B330" s="849" t="s">
        <v>288</v>
      </c>
      <c r="C330" s="1097">
        <v>0.15</v>
      </c>
      <c r="D330" s="1097">
        <v>0.15</v>
      </c>
      <c r="E330" s="1097">
        <v>0.15</v>
      </c>
      <c r="F330" s="1102"/>
    </row>
    <row r="331" spans="1:6" ht="14.25" thickBot="1">
      <c r="A331" s="855" t="s">
        <v>920</v>
      </c>
      <c r="B331" s="849" t="s">
        <v>930</v>
      </c>
      <c r="C331" s="1097">
        <v>0.15</v>
      </c>
      <c r="D331" s="1097">
        <v>0.15</v>
      </c>
      <c r="E331" s="1097">
        <v>0.15</v>
      </c>
      <c r="F331" s="1098">
        <v>0.15</v>
      </c>
    </row>
    <row r="332" spans="1:6" ht="14.25" thickBot="1">
      <c r="A332" s="855" t="s">
        <v>920</v>
      </c>
      <c r="B332" s="849" t="s">
        <v>309</v>
      </c>
      <c r="C332" s="1097">
        <v>0.15</v>
      </c>
      <c r="D332" s="1097">
        <v>0.15</v>
      </c>
      <c r="E332" s="1097">
        <v>0.15</v>
      </c>
      <c r="F332" s="1098">
        <v>0.15</v>
      </c>
    </row>
    <row r="333" spans="1:6" ht="14.25" thickBot="1">
      <c r="A333" s="855" t="s">
        <v>920</v>
      </c>
      <c r="B333" s="849" t="s">
        <v>931</v>
      </c>
      <c r="C333" s="1097">
        <v>0.15</v>
      </c>
      <c r="D333" s="1097">
        <v>0.15</v>
      </c>
      <c r="E333" s="1097">
        <v>0.15</v>
      </c>
      <c r="F333" s="1098">
        <v>0.14099999999999999</v>
      </c>
    </row>
    <row r="334" spans="1:6" ht="14.25" thickBot="1">
      <c r="A334" s="855" t="s">
        <v>920</v>
      </c>
      <c r="B334" s="849" t="s">
        <v>329</v>
      </c>
      <c r="C334" s="1097">
        <v>0.15</v>
      </c>
      <c r="D334" s="1097">
        <v>0.15</v>
      </c>
      <c r="E334" s="1097">
        <v>0.15</v>
      </c>
      <c r="F334" s="1098">
        <v>0.15</v>
      </c>
    </row>
    <row r="335" spans="1:6" ht="14.25" thickBot="1">
      <c r="A335" s="855" t="s">
        <v>920</v>
      </c>
      <c r="B335" s="849" t="s">
        <v>339</v>
      </c>
      <c r="C335" s="1097">
        <v>0.15</v>
      </c>
      <c r="D335" s="1097">
        <v>0.15</v>
      </c>
      <c r="E335" s="1097">
        <v>0.15</v>
      </c>
      <c r="F335" s="1102"/>
    </row>
    <row r="336" spans="1:6" ht="14.25" thickBot="1">
      <c r="A336" s="855" t="s">
        <v>920</v>
      </c>
      <c r="B336" s="849" t="s">
        <v>932</v>
      </c>
      <c r="C336" s="1097">
        <v>0.15</v>
      </c>
      <c r="D336" s="1097">
        <v>0.15</v>
      </c>
      <c r="E336" s="1097">
        <v>0.15</v>
      </c>
      <c r="F336" s="1098">
        <v>0.11799999999999999</v>
      </c>
    </row>
    <row r="337" spans="1:6" ht="14.25" thickBot="1">
      <c r="A337" s="872" t="s">
        <v>920</v>
      </c>
      <c r="B337" s="865" t="s">
        <v>357</v>
      </c>
      <c r="C337" s="1100"/>
      <c r="D337" s="1100"/>
      <c r="E337" s="1100"/>
      <c r="F337" s="1104">
        <v>0.14299999999999999</v>
      </c>
    </row>
    <row r="338" spans="1:6" ht="14.25" thickBot="1">
      <c r="A338" s="855" t="s">
        <v>933</v>
      </c>
      <c r="B338" s="856" t="s">
        <v>934</v>
      </c>
      <c r="C338" s="1095">
        <v>0.15</v>
      </c>
      <c r="D338" s="1095">
        <v>0.15</v>
      </c>
      <c r="E338" s="1095">
        <v>0.15</v>
      </c>
      <c r="F338" s="1112"/>
    </row>
    <row r="339" spans="1:6" ht="14.25" thickBot="1">
      <c r="A339" s="855" t="s">
        <v>933</v>
      </c>
      <c r="B339" s="849" t="s">
        <v>935</v>
      </c>
      <c r="C339" s="1097">
        <v>0.15</v>
      </c>
      <c r="D339" s="1097">
        <v>0.15</v>
      </c>
      <c r="E339" s="1097">
        <v>0.15</v>
      </c>
      <c r="F339" s="1102"/>
    </row>
    <row r="340" spans="1:6" ht="14.25" thickBot="1">
      <c r="A340" s="855" t="s">
        <v>933</v>
      </c>
      <c r="B340" s="849" t="s">
        <v>936</v>
      </c>
      <c r="C340" s="1097">
        <v>0.15</v>
      </c>
      <c r="D340" s="1097">
        <v>0.15</v>
      </c>
      <c r="E340" s="1097">
        <v>0.15</v>
      </c>
      <c r="F340" s="1102"/>
    </row>
    <row r="341" spans="1:6" ht="14.25" thickBot="1">
      <c r="A341" s="855" t="s">
        <v>933</v>
      </c>
      <c r="B341" s="849" t="s">
        <v>937</v>
      </c>
      <c r="C341" s="1097">
        <v>0.15</v>
      </c>
      <c r="D341" s="1097">
        <v>0.15</v>
      </c>
      <c r="E341" s="1097">
        <v>0.15</v>
      </c>
      <c r="F341" s="1098">
        <v>0.15</v>
      </c>
    </row>
    <row r="342" spans="1:6" ht="14.25" thickBot="1">
      <c r="A342" s="855" t="s">
        <v>933</v>
      </c>
      <c r="B342" s="849" t="s">
        <v>938</v>
      </c>
      <c r="C342" s="1097">
        <v>0.15</v>
      </c>
      <c r="D342" s="1097">
        <v>0.15</v>
      </c>
      <c r="E342" s="1097">
        <v>0.15</v>
      </c>
      <c r="F342" s="1098">
        <v>0.15</v>
      </c>
    </row>
    <row r="343" spans="1:6" ht="14.25" thickBot="1">
      <c r="A343" s="855" t="s">
        <v>933</v>
      </c>
      <c r="B343" s="849" t="s">
        <v>939</v>
      </c>
      <c r="C343" s="1097">
        <v>0.15</v>
      </c>
      <c r="D343" s="1097">
        <v>0.15</v>
      </c>
      <c r="E343" s="1097">
        <v>0.15</v>
      </c>
      <c r="F343" s="1098">
        <v>0.15</v>
      </c>
    </row>
    <row r="344" spans="1:6" ht="14.2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7" t="s">
        <v>105</v>
      </c>
      <c r="B1" s="3127"/>
      <c r="C1" s="3127"/>
      <c r="D1" s="3127"/>
      <c r="E1" s="3127"/>
      <c r="F1" s="312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8" t="s">
        <v>118</v>
      </c>
      <c r="B2" s="3128"/>
      <c r="C2" s="3128"/>
      <c r="D2" s="3128"/>
      <c r="E2" s="3128"/>
      <c r="F2" s="312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2805</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1" t="s">
        <v>132</v>
      </c>
      <c r="B18" s="906" t="s">
        <v>517</v>
      </c>
      <c r="C18" s="907" t="s">
        <v>518</v>
      </c>
      <c r="D18" s="908"/>
      <c r="E18" s="906">
        <v>1</v>
      </c>
      <c r="F18" s="909" t="s">
        <v>519</v>
      </c>
      <c r="G18" s="910"/>
      <c r="H18" s="902"/>
      <c r="I18" s="902"/>
    </row>
    <row r="19" spans="1:9" s="911" customFormat="1" ht="19.5" customHeight="1">
      <c r="A19" s="3131"/>
      <c r="B19" s="3131" t="s">
        <v>520</v>
      </c>
      <c r="C19" s="907" t="s">
        <v>521</v>
      </c>
      <c r="D19" s="908"/>
      <c r="E19" s="906">
        <v>0.9</v>
      </c>
      <c r="F19" s="909" t="s">
        <v>522</v>
      </c>
      <c r="G19" s="910"/>
      <c r="H19" s="902"/>
      <c r="I19" s="902"/>
    </row>
    <row r="20" spans="1:9" s="911" customFormat="1" ht="19.5" customHeight="1">
      <c r="A20" s="3131"/>
      <c r="B20" s="3131"/>
      <c r="C20" s="907" t="s">
        <v>523</v>
      </c>
      <c r="D20" s="908"/>
      <c r="E20" s="906">
        <v>1.1000000000000001</v>
      </c>
      <c r="F20" s="909" t="s">
        <v>524</v>
      </c>
      <c r="G20" s="910"/>
      <c r="H20" s="902"/>
      <c r="I20" s="902"/>
    </row>
    <row r="21" spans="1:9" s="911" customFormat="1" ht="19.5" customHeight="1">
      <c r="A21" s="3131"/>
      <c r="B21" s="3131"/>
      <c r="C21" s="907" t="s">
        <v>525</v>
      </c>
      <c r="D21" s="908"/>
      <c r="E21" s="906">
        <v>0.8</v>
      </c>
      <c r="F21" s="909" t="s">
        <v>526</v>
      </c>
      <c r="G21" s="910"/>
      <c r="H21" s="902"/>
      <c r="I21" s="902"/>
    </row>
    <row r="22" spans="1:9" s="911" customFormat="1" ht="19.5" customHeight="1">
      <c r="A22" s="3131"/>
      <c r="B22" s="3131"/>
      <c r="C22" s="907" t="s">
        <v>527</v>
      </c>
      <c r="D22" s="908"/>
      <c r="E22" s="906">
        <v>0.5</v>
      </c>
      <c r="F22" s="909"/>
      <c r="G22" s="910"/>
      <c r="H22" s="902"/>
      <c r="I22" s="902"/>
    </row>
    <row r="23" spans="1:9" s="911" customFormat="1" ht="19.5" customHeight="1">
      <c r="A23" s="3131" t="s">
        <v>133</v>
      </c>
      <c r="B23" s="906" t="s">
        <v>517</v>
      </c>
      <c r="C23" s="907" t="s">
        <v>528</v>
      </c>
      <c r="D23" s="908"/>
      <c r="E23" s="906">
        <v>1</v>
      </c>
      <c r="F23" s="909" t="s">
        <v>529</v>
      </c>
      <c r="G23" s="910"/>
      <c r="H23" s="902"/>
      <c r="I23" s="902"/>
    </row>
    <row r="24" spans="1:9" s="911" customFormat="1" ht="19.5" customHeight="1">
      <c r="A24" s="3131"/>
      <c r="B24" s="3131" t="s">
        <v>520</v>
      </c>
      <c r="C24" s="907" t="s">
        <v>530</v>
      </c>
      <c r="D24" s="908"/>
      <c r="E24" s="906">
        <v>0.5</v>
      </c>
      <c r="F24" s="909"/>
      <c r="G24" s="910"/>
      <c r="H24" s="902"/>
      <c r="I24" s="902"/>
    </row>
    <row r="25" spans="1:9" s="911" customFormat="1" ht="19.5" customHeight="1">
      <c r="A25" s="3131"/>
      <c r="B25" s="3131"/>
      <c r="C25" s="907" t="s">
        <v>531</v>
      </c>
      <c r="D25" s="908"/>
      <c r="E25" s="906">
        <v>1.1000000000000001</v>
      </c>
      <c r="F25" s="909"/>
      <c r="G25" s="910"/>
      <c r="H25" s="902"/>
      <c r="I25" s="902"/>
    </row>
    <row r="26" spans="1:9" s="911" customFormat="1" ht="19.5" customHeight="1">
      <c r="A26" s="3131"/>
      <c r="B26" s="3131"/>
      <c r="C26" s="907" t="s">
        <v>532</v>
      </c>
      <c r="D26" s="908"/>
      <c r="E26" s="906">
        <v>1.1000000000000001</v>
      </c>
      <c r="F26" s="909"/>
      <c r="G26" s="910"/>
      <c r="H26" s="902"/>
      <c r="I26" s="902"/>
    </row>
    <row r="27" spans="1:9" s="911" customFormat="1" ht="19.5" customHeight="1">
      <c r="A27" s="3131"/>
      <c r="B27" s="3131"/>
      <c r="C27" s="907" t="s">
        <v>533</v>
      </c>
      <c r="D27" s="908"/>
      <c r="E27" s="906">
        <v>0.9</v>
      </c>
      <c r="F27" s="909" t="s">
        <v>534</v>
      </c>
      <c r="G27" s="910"/>
      <c r="H27" s="902"/>
      <c r="I27" s="902"/>
    </row>
    <row r="28" spans="1:9" s="911" customFormat="1" ht="19.5" customHeight="1">
      <c r="A28" s="3131"/>
      <c r="B28" s="3131"/>
      <c r="C28" s="907" t="s">
        <v>535</v>
      </c>
      <c r="D28" s="908"/>
      <c r="E28" s="906">
        <v>0.9</v>
      </c>
      <c r="F28" s="909" t="s">
        <v>536</v>
      </c>
      <c r="G28" s="910"/>
      <c r="H28" s="902"/>
      <c r="I28" s="902"/>
    </row>
    <row r="29" spans="1:9" s="911" customFormat="1" ht="19.5" customHeight="1">
      <c r="A29" s="3131"/>
      <c r="B29" s="3131"/>
      <c r="C29" s="907" t="s">
        <v>537</v>
      </c>
      <c r="D29" s="908"/>
      <c r="E29" s="906">
        <v>0.9</v>
      </c>
      <c r="F29" s="909" t="s">
        <v>538</v>
      </c>
      <c r="G29" s="910"/>
      <c r="H29" s="902"/>
      <c r="I29" s="902"/>
    </row>
    <row r="30" spans="1:9" s="911" customFormat="1" ht="19.5" customHeight="1">
      <c r="A30" s="3131"/>
      <c r="B30" s="3131"/>
      <c r="C30" s="907" t="s">
        <v>539</v>
      </c>
      <c r="D30" s="908"/>
      <c r="E30" s="906">
        <v>0.9</v>
      </c>
      <c r="F30" s="909" t="s">
        <v>540</v>
      </c>
      <c r="G30" s="910"/>
      <c r="H30" s="902"/>
      <c r="I30" s="902"/>
    </row>
    <row r="31" spans="1:9" s="911" customFormat="1" ht="19.5" customHeight="1">
      <c r="A31" s="3131"/>
      <c r="B31" s="3131"/>
      <c r="C31" s="907" t="s">
        <v>541</v>
      </c>
      <c r="D31" s="908"/>
      <c r="E31" s="906">
        <v>0.8</v>
      </c>
      <c r="F31" s="909" t="s">
        <v>542</v>
      </c>
      <c r="G31" s="910"/>
      <c r="H31" s="902"/>
      <c r="I31" s="902"/>
    </row>
    <row r="32" spans="1:9" s="911" customFormat="1" ht="19.5" customHeight="1">
      <c r="A32" s="3131"/>
      <c r="B32" s="3131"/>
      <c r="C32" s="907" t="s">
        <v>543</v>
      </c>
      <c r="D32" s="908"/>
      <c r="E32" s="906">
        <v>0.8</v>
      </c>
      <c r="F32" s="909" t="s">
        <v>544</v>
      </c>
      <c r="G32" s="910"/>
      <c r="H32" s="902"/>
      <c r="I32" s="902"/>
    </row>
    <row r="33" spans="1:9" s="911" customFormat="1" ht="19.5" customHeight="1">
      <c r="A33" s="3131" t="s">
        <v>134</v>
      </c>
      <c r="B33" s="906" t="s">
        <v>517</v>
      </c>
      <c r="C33" s="907" t="s">
        <v>545</v>
      </c>
      <c r="D33" s="908"/>
      <c r="E33" s="906">
        <v>1</v>
      </c>
      <c r="F33" s="909" t="s">
        <v>546</v>
      </c>
      <c r="G33" s="910"/>
      <c r="H33" s="902"/>
      <c r="I33" s="902"/>
    </row>
    <row r="34" spans="1:9" s="911" customFormat="1" ht="19.5" customHeight="1">
      <c r="A34" s="3131"/>
      <c r="B34" s="906" t="s">
        <v>520</v>
      </c>
      <c r="C34" s="907" t="s">
        <v>547</v>
      </c>
      <c r="D34" s="908"/>
      <c r="E34" s="906">
        <v>1.5</v>
      </c>
      <c r="F34" s="909" t="s">
        <v>548</v>
      </c>
      <c r="G34" s="910"/>
      <c r="H34" s="902"/>
      <c r="I34" s="902"/>
    </row>
    <row r="35" spans="1:9" s="911" customFormat="1" ht="19.5" customHeight="1">
      <c r="A35" s="3131" t="s">
        <v>135</v>
      </c>
      <c r="B35" s="906" t="s">
        <v>517</v>
      </c>
      <c r="C35" s="907" t="s">
        <v>549</v>
      </c>
      <c r="D35" s="908"/>
      <c r="E35" s="906">
        <v>1</v>
      </c>
      <c r="F35" s="909" t="s">
        <v>550</v>
      </c>
      <c r="G35" s="910"/>
      <c r="H35" s="902"/>
      <c r="I35" s="902"/>
    </row>
    <row r="36" spans="1:9" s="911" customFormat="1" ht="19.5" customHeight="1">
      <c r="A36" s="3131"/>
      <c r="B36" s="3131" t="s">
        <v>520</v>
      </c>
      <c r="C36" s="907" t="s">
        <v>551</v>
      </c>
      <c r="D36" s="908"/>
      <c r="E36" s="906">
        <v>1</v>
      </c>
      <c r="F36" s="909" t="s">
        <v>552</v>
      </c>
      <c r="G36" s="910"/>
      <c r="H36" s="902"/>
      <c r="I36" s="902"/>
    </row>
    <row r="37" spans="1:9" s="911" customFormat="1" ht="19.5" customHeight="1">
      <c r="A37" s="3131"/>
      <c r="B37" s="3131"/>
      <c r="C37" s="907" t="s">
        <v>553</v>
      </c>
      <c r="D37" s="908"/>
      <c r="E37" s="906">
        <v>1.5</v>
      </c>
      <c r="F37" s="909" t="s">
        <v>554</v>
      </c>
      <c r="G37" s="910"/>
      <c r="H37" s="902"/>
      <c r="I37" s="902"/>
    </row>
    <row r="38" spans="1:9" s="911" customFormat="1" ht="19.5" customHeight="1">
      <c r="A38" s="3131"/>
      <c r="B38" s="3131"/>
      <c r="C38" s="907" t="s">
        <v>555</v>
      </c>
      <c r="D38" s="908"/>
      <c r="E38" s="906">
        <v>1</v>
      </c>
      <c r="F38" s="909" t="s">
        <v>556</v>
      </c>
      <c r="G38" s="910"/>
      <c r="H38" s="902"/>
      <c r="I38" s="902"/>
    </row>
    <row r="39" spans="1:9" s="911" customFormat="1" ht="19.5" customHeight="1">
      <c r="A39" s="3131"/>
      <c r="B39" s="313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1" t="s">
        <v>571</v>
      </c>
      <c r="C61" s="820" t="s">
        <v>572</v>
      </c>
      <c r="D61" s="820" t="s">
        <v>573</v>
      </c>
      <c r="E61" s="919">
        <v>0.5</v>
      </c>
      <c r="F61" s="906">
        <v>80</v>
      </c>
    </row>
    <row r="62" spans="1:8" s="902" customFormat="1" ht="24">
      <c r="A62" s="906">
        <v>2</v>
      </c>
      <c r="B62" s="3131"/>
      <c r="C62" s="820" t="s">
        <v>574</v>
      </c>
      <c r="D62" s="820" t="s">
        <v>575</v>
      </c>
      <c r="E62" s="919">
        <v>0.5</v>
      </c>
      <c r="F62" s="906">
        <v>80</v>
      </c>
    </row>
    <row r="63" spans="1:8" s="902" customFormat="1" ht="36">
      <c r="A63" s="906">
        <v>3</v>
      </c>
      <c r="B63" s="3131"/>
      <c r="C63" s="820" t="s">
        <v>576</v>
      </c>
      <c r="D63" s="820" t="s">
        <v>577</v>
      </c>
      <c r="E63" s="919">
        <v>0.5</v>
      </c>
      <c r="F63" s="906">
        <v>80</v>
      </c>
    </row>
    <row r="64" spans="1:8" s="902" customFormat="1" ht="36">
      <c r="A64" s="906">
        <v>4</v>
      </c>
      <c r="B64" s="3131"/>
      <c r="C64" s="820" t="s">
        <v>578</v>
      </c>
      <c r="D64" s="820" t="s">
        <v>579</v>
      </c>
      <c r="E64" s="919">
        <v>0.4</v>
      </c>
      <c r="F64" s="906">
        <v>60</v>
      </c>
    </row>
    <row r="65" spans="1:6" s="902" customFormat="1" ht="36">
      <c r="A65" s="906">
        <v>5</v>
      </c>
      <c r="B65" s="3131"/>
      <c r="C65" s="820" t="s">
        <v>580</v>
      </c>
      <c r="D65" s="820" t="s">
        <v>581</v>
      </c>
      <c r="E65" s="919">
        <v>0.2</v>
      </c>
      <c r="F65" s="906">
        <v>30</v>
      </c>
    </row>
    <row r="66" spans="1:6" s="902" customFormat="1" ht="36">
      <c r="A66" s="906">
        <v>6</v>
      </c>
      <c r="B66" s="3131"/>
      <c r="C66" s="820" t="s">
        <v>582</v>
      </c>
      <c r="D66" s="820" t="s">
        <v>583</v>
      </c>
      <c r="E66" s="919">
        <v>0.3</v>
      </c>
      <c r="F66" s="906">
        <v>50</v>
      </c>
    </row>
    <row r="67" spans="1:6" s="902" customFormat="1" ht="36">
      <c r="A67" s="906">
        <v>7</v>
      </c>
      <c r="B67" s="3131"/>
      <c r="C67" s="820" t="s">
        <v>584</v>
      </c>
      <c r="D67" s="820" t="s">
        <v>585</v>
      </c>
      <c r="E67" s="919">
        <v>0.2</v>
      </c>
      <c r="F67" s="906">
        <v>30</v>
      </c>
    </row>
    <row r="68" spans="1:6" s="902" customFormat="1" ht="36">
      <c r="A68" s="906">
        <v>8</v>
      </c>
      <c r="B68" s="3131"/>
      <c r="C68" s="820" t="s">
        <v>586</v>
      </c>
      <c r="D68" s="820" t="s">
        <v>587</v>
      </c>
      <c r="E68" s="919">
        <v>0.2</v>
      </c>
      <c r="F68" s="906">
        <v>30</v>
      </c>
    </row>
    <row r="69" spans="1:6" s="902" customFormat="1" ht="36">
      <c r="A69" s="906">
        <v>9</v>
      </c>
      <c r="B69" s="3131"/>
      <c r="C69" s="820" t="s">
        <v>588</v>
      </c>
      <c r="D69" s="820" t="s">
        <v>589</v>
      </c>
      <c r="E69" s="919">
        <v>0.2</v>
      </c>
      <c r="F69" s="906">
        <v>30</v>
      </c>
    </row>
    <row r="70" spans="1:6" s="902" customFormat="1" ht="48">
      <c r="A70" s="906">
        <v>10</v>
      </c>
      <c r="B70" s="3131"/>
      <c r="C70" s="820" t="s">
        <v>590</v>
      </c>
      <c r="D70" s="820" t="s">
        <v>591</v>
      </c>
      <c r="E70" s="919">
        <v>0.2</v>
      </c>
      <c r="F70" s="906">
        <v>30</v>
      </c>
    </row>
    <row r="71" spans="1:6" s="902" customFormat="1" ht="48">
      <c r="A71" s="906">
        <v>11</v>
      </c>
      <c r="B71" s="3131"/>
      <c r="C71" s="820" t="s">
        <v>592</v>
      </c>
      <c r="D71" s="820" t="s">
        <v>593</v>
      </c>
      <c r="E71" s="919">
        <v>0.2</v>
      </c>
      <c r="F71" s="906">
        <v>30</v>
      </c>
    </row>
    <row r="72" spans="1:6" s="902" customFormat="1" ht="36">
      <c r="A72" s="906">
        <v>12</v>
      </c>
      <c r="B72" s="3131"/>
      <c r="C72" s="820" t="s">
        <v>594</v>
      </c>
      <c r="D72" s="820" t="s">
        <v>595</v>
      </c>
      <c r="E72" s="919">
        <v>0.5</v>
      </c>
      <c r="F72" s="906">
        <v>80</v>
      </c>
    </row>
    <row r="73" spans="1:6" s="902" customFormat="1" ht="24">
      <c r="A73" s="906">
        <v>13</v>
      </c>
      <c r="B73" s="3131"/>
      <c r="C73" s="820" t="s">
        <v>596</v>
      </c>
      <c r="D73" s="820" t="s">
        <v>597</v>
      </c>
      <c r="E73" s="919">
        <v>0.4</v>
      </c>
      <c r="F73" s="906">
        <v>60</v>
      </c>
    </row>
    <row r="74" spans="1:6" s="902" customFormat="1" ht="24">
      <c r="A74" s="906">
        <v>14</v>
      </c>
      <c r="B74" s="3131"/>
      <c r="C74" s="820" t="s">
        <v>598</v>
      </c>
      <c r="D74" s="820" t="s">
        <v>599</v>
      </c>
      <c r="E74" s="919">
        <v>0.2</v>
      </c>
      <c r="F74" s="906">
        <v>30</v>
      </c>
    </row>
    <row r="75" spans="1:6" s="902" customFormat="1" ht="24">
      <c r="A75" s="906">
        <v>15</v>
      </c>
      <c r="B75" s="3131"/>
      <c r="C75" s="820" t="s">
        <v>600</v>
      </c>
      <c r="D75" s="820" t="s">
        <v>601</v>
      </c>
      <c r="E75" s="919">
        <v>0.2</v>
      </c>
      <c r="F75" s="906">
        <v>30</v>
      </c>
    </row>
    <row r="76" spans="1:6" s="902" customFormat="1" ht="24">
      <c r="A76" s="906">
        <v>16</v>
      </c>
      <c r="B76" s="3131" t="s">
        <v>602</v>
      </c>
      <c r="C76" s="820" t="s">
        <v>603</v>
      </c>
      <c r="D76" s="820" t="s">
        <v>604</v>
      </c>
      <c r="E76" s="919">
        <v>0.5</v>
      </c>
      <c r="F76" s="906">
        <v>80</v>
      </c>
    </row>
    <row r="77" spans="1:6" s="902" customFormat="1" ht="24">
      <c r="A77" s="906">
        <v>17</v>
      </c>
      <c r="B77" s="3131"/>
      <c r="C77" s="820" t="s">
        <v>605</v>
      </c>
      <c r="D77" s="820" t="s">
        <v>606</v>
      </c>
      <c r="E77" s="919">
        <v>0.5</v>
      </c>
      <c r="F77" s="906">
        <v>80</v>
      </c>
    </row>
    <row r="78" spans="1:6" s="902" customFormat="1" ht="24">
      <c r="A78" s="906">
        <v>18</v>
      </c>
      <c r="B78" s="3131"/>
      <c r="C78" s="820" t="s">
        <v>607</v>
      </c>
      <c r="D78" s="820" t="s">
        <v>608</v>
      </c>
      <c r="E78" s="919">
        <v>0.2</v>
      </c>
      <c r="F78" s="906">
        <v>30</v>
      </c>
    </row>
    <row r="79" spans="1:6" s="902" customFormat="1" ht="24">
      <c r="A79" s="906">
        <v>19</v>
      </c>
      <c r="B79" s="3131"/>
      <c r="C79" s="820" t="s">
        <v>609</v>
      </c>
      <c r="D79" s="820" t="s">
        <v>610</v>
      </c>
      <c r="E79" s="919">
        <v>0.5</v>
      </c>
      <c r="F79" s="906">
        <v>80</v>
      </c>
    </row>
    <row r="80" spans="1:6" s="902" customFormat="1" ht="36">
      <c r="A80" s="906">
        <v>20</v>
      </c>
      <c r="B80" s="3131"/>
      <c r="C80" s="820" t="s">
        <v>611</v>
      </c>
      <c r="D80" s="820" t="s">
        <v>612</v>
      </c>
      <c r="E80" s="919">
        <v>0.2</v>
      </c>
      <c r="F80" s="906">
        <v>30</v>
      </c>
    </row>
    <row r="81" spans="1:6" s="902" customFormat="1" ht="36">
      <c r="A81" s="906">
        <v>21</v>
      </c>
      <c r="B81" s="3131"/>
      <c r="C81" s="820" t="s">
        <v>613</v>
      </c>
      <c r="D81" s="820" t="s">
        <v>614</v>
      </c>
      <c r="E81" s="919">
        <v>0.2</v>
      </c>
      <c r="F81" s="906">
        <v>30</v>
      </c>
    </row>
    <row r="82" spans="1:6" s="902" customFormat="1" ht="48">
      <c r="A82" s="906">
        <v>22</v>
      </c>
      <c r="B82" s="3131"/>
      <c r="C82" s="820" t="s">
        <v>615</v>
      </c>
      <c r="D82" s="820" t="s">
        <v>616</v>
      </c>
      <c r="E82" s="919">
        <v>0.2</v>
      </c>
      <c r="F82" s="906">
        <v>30</v>
      </c>
    </row>
    <row r="83" spans="1:6" s="902" customFormat="1" ht="48">
      <c r="A83" s="906">
        <v>23</v>
      </c>
      <c r="B83" s="3131"/>
      <c r="C83" s="820" t="s">
        <v>617</v>
      </c>
      <c r="D83" s="820" t="s">
        <v>618</v>
      </c>
      <c r="E83" s="919">
        <v>0.2</v>
      </c>
      <c r="F83" s="906">
        <v>30</v>
      </c>
    </row>
    <row r="84" spans="1:6" s="902" customFormat="1" ht="36">
      <c r="A84" s="906">
        <v>24</v>
      </c>
      <c r="B84" s="3131"/>
      <c r="C84" s="820" t="s">
        <v>619</v>
      </c>
      <c r="D84" s="820" t="s">
        <v>620</v>
      </c>
      <c r="E84" s="919">
        <v>0.2</v>
      </c>
      <c r="F84" s="906">
        <v>30</v>
      </c>
    </row>
    <row r="85" spans="1:6" s="902" customFormat="1" ht="36">
      <c r="A85" s="906">
        <v>25</v>
      </c>
      <c r="B85" s="3131"/>
      <c r="C85" s="820" t="s">
        <v>621</v>
      </c>
      <c r="D85" s="820" t="s">
        <v>622</v>
      </c>
      <c r="E85" s="919">
        <v>0.5</v>
      </c>
      <c r="F85" s="906">
        <v>80</v>
      </c>
    </row>
    <row r="86" spans="1:6" s="902" customFormat="1" ht="36">
      <c r="A86" s="906">
        <v>26</v>
      </c>
      <c r="B86" s="3131"/>
      <c r="C86" s="820" t="s">
        <v>623</v>
      </c>
      <c r="D86" s="820" t="s">
        <v>624</v>
      </c>
      <c r="E86" s="919">
        <v>0.2</v>
      </c>
      <c r="F86" s="906">
        <v>30</v>
      </c>
    </row>
    <row r="87" spans="1:6" s="902" customFormat="1" ht="36">
      <c r="A87" s="906">
        <v>27</v>
      </c>
      <c r="B87" s="3131"/>
      <c r="C87" s="820" t="s">
        <v>625</v>
      </c>
      <c r="D87" s="820" t="s">
        <v>626</v>
      </c>
      <c r="E87" s="919">
        <v>0.2</v>
      </c>
      <c r="F87" s="906">
        <v>30</v>
      </c>
    </row>
    <row r="88" spans="1:6" s="902" customFormat="1" ht="36">
      <c r="A88" s="906">
        <v>28</v>
      </c>
      <c r="B88" s="3131"/>
      <c r="C88" s="820" t="s">
        <v>627</v>
      </c>
      <c r="D88" s="820" t="s">
        <v>628</v>
      </c>
      <c r="E88" s="919">
        <v>0.2</v>
      </c>
      <c r="F88" s="906">
        <v>30</v>
      </c>
    </row>
    <row r="89" spans="1:6" s="902" customFormat="1" ht="24">
      <c r="A89" s="906">
        <v>29</v>
      </c>
      <c r="B89" s="3131"/>
      <c r="C89" s="820" t="s">
        <v>629</v>
      </c>
      <c r="D89" s="820" t="s">
        <v>630</v>
      </c>
      <c r="E89" s="919">
        <v>0.2</v>
      </c>
      <c r="F89" s="906">
        <v>30</v>
      </c>
    </row>
    <row r="90" spans="1:6" s="902" customFormat="1" ht="24">
      <c r="A90" s="906">
        <v>30</v>
      </c>
      <c r="B90" s="3131"/>
      <c r="C90" s="820" t="s">
        <v>631</v>
      </c>
      <c r="D90" s="820" t="s">
        <v>632</v>
      </c>
      <c r="E90" s="919">
        <v>0.2</v>
      </c>
      <c r="F90" s="906">
        <v>30</v>
      </c>
    </row>
    <row r="91" spans="1:6" s="902" customFormat="1" ht="36">
      <c r="A91" s="906">
        <v>31</v>
      </c>
      <c r="B91" s="3131"/>
      <c r="C91" s="820" t="s">
        <v>633</v>
      </c>
      <c r="D91" s="820" t="s">
        <v>634</v>
      </c>
      <c r="E91" s="919">
        <v>0.2</v>
      </c>
      <c r="F91" s="906">
        <v>30</v>
      </c>
    </row>
    <row r="92" spans="1:6" s="902" customFormat="1" ht="24">
      <c r="A92" s="906">
        <v>32</v>
      </c>
      <c r="B92" s="3131" t="s">
        <v>635</v>
      </c>
      <c r="C92" s="906" t="s">
        <v>636</v>
      </c>
      <c r="D92" s="820" t="s">
        <v>637</v>
      </c>
      <c r="E92" s="919">
        <v>0.2</v>
      </c>
      <c r="F92" s="906">
        <v>30</v>
      </c>
    </row>
    <row r="93" spans="1:6" s="902" customFormat="1" ht="36">
      <c r="A93" s="906">
        <v>33</v>
      </c>
      <c r="B93" s="3131"/>
      <c r="C93" s="906" t="s">
        <v>638</v>
      </c>
      <c r="D93" s="820" t="s">
        <v>639</v>
      </c>
      <c r="E93" s="919">
        <v>0.2</v>
      </c>
      <c r="F93" s="906">
        <v>30</v>
      </c>
    </row>
    <row r="94" spans="1:6" s="902" customFormat="1" ht="48">
      <c r="A94" s="906">
        <v>34</v>
      </c>
      <c r="B94" s="3131"/>
      <c r="C94" s="906" t="s">
        <v>640</v>
      </c>
      <c r="D94" s="820" t="s">
        <v>641</v>
      </c>
      <c r="E94" s="919">
        <v>0.2</v>
      </c>
      <c r="F94" s="906">
        <v>30</v>
      </c>
    </row>
    <row r="95" spans="1:6" s="902" customFormat="1" ht="36">
      <c r="A95" s="906">
        <v>35</v>
      </c>
      <c r="B95" s="3131"/>
      <c r="C95" s="906" t="s">
        <v>642</v>
      </c>
      <c r="D95" s="820" t="s">
        <v>643</v>
      </c>
      <c r="E95" s="919">
        <v>0.2</v>
      </c>
      <c r="F95" s="906">
        <v>30</v>
      </c>
    </row>
    <row r="96" spans="1:6" s="902" customFormat="1" ht="48">
      <c r="A96" s="906">
        <v>36</v>
      </c>
      <c r="B96" s="3131"/>
      <c r="C96" s="820" t="s">
        <v>644</v>
      </c>
      <c r="D96" s="820" t="s">
        <v>645</v>
      </c>
      <c r="E96" s="919">
        <v>0.2</v>
      </c>
      <c r="F96" s="906">
        <v>30</v>
      </c>
    </row>
    <row r="97" spans="1:6" s="902" customFormat="1" ht="36">
      <c r="A97" s="906">
        <v>37</v>
      </c>
      <c r="B97" s="3131"/>
      <c r="C97" s="906" t="s">
        <v>646</v>
      </c>
      <c r="D97" s="820" t="s">
        <v>647</v>
      </c>
      <c r="E97" s="919">
        <v>0.2</v>
      </c>
      <c r="F97" s="906">
        <v>30</v>
      </c>
    </row>
    <row r="98" spans="1:6" s="902" customFormat="1" ht="36">
      <c r="A98" s="906">
        <v>38</v>
      </c>
      <c r="B98" s="3131"/>
      <c r="C98" s="906" t="s">
        <v>648</v>
      </c>
      <c r="D98" s="820" t="s">
        <v>649</v>
      </c>
      <c r="E98" s="919">
        <v>0.2</v>
      </c>
      <c r="F98" s="906">
        <v>30</v>
      </c>
    </row>
    <row r="99" spans="1:6" s="902" customFormat="1" ht="36">
      <c r="A99" s="906">
        <v>39</v>
      </c>
      <c r="B99" s="3131" t="s">
        <v>650</v>
      </c>
      <c r="C99" s="906" t="s">
        <v>651</v>
      </c>
      <c r="D99" s="820" t="s">
        <v>652</v>
      </c>
      <c r="E99" s="919">
        <v>0.3</v>
      </c>
      <c r="F99" s="906">
        <v>50</v>
      </c>
    </row>
    <row r="100" spans="1:6" s="902" customFormat="1" ht="24">
      <c r="A100" s="906">
        <v>40</v>
      </c>
      <c r="B100" s="3131"/>
      <c r="C100" s="906" t="s">
        <v>653</v>
      </c>
      <c r="D100" s="820" t="s">
        <v>654</v>
      </c>
      <c r="E100" s="919">
        <v>0.2</v>
      </c>
      <c r="F100" s="906">
        <v>30</v>
      </c>
    </row>
    <row r="101" spans="1:6" s="902" customFormat="1" ht="36">
      <c r="A101" s="906">
        <v>41</v>
      </c>
      <c r="B101" s="313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1" t="s">
        <v>665</v>
      </c>
      <c r="C105" s="906" t="s">
        <v>666</v>
      </c>
      <c r="D105" s="820" t="s">
        <v>667</v>
      </c>
      <c r="E105" s="919">
        <v>0.2</v>
      </c>
      <c r="F105" s="906">
        <v>30</v>
      </c>
    </row>
    <row r="106" spans="1:6" s="902" customFormat="1" ht="36">
      <c r="A106" s="906">
        <v>46</v>
      </c>
      <c r="B106" s="3131"/>
      <c r="C106" s="906" t="s">
        <v>668</v>
      </c>
      <c r="D106" s="820" t="s">
        <v>669</v>
      </c>
      <c r="E106" s="919">
        <v>0.2</v>
      </c>
      <c r="F106" s="906">
        <v>30</v>
      </c>
    </row>
    <row r="107" spans="1:6" s="902" customFormat="1" ht="36">
      <c r="A107" s="906">
        <v>47</v>
      </c>
      <c r="B107" s="3131" t="s">
        <v>670</v>
      </c>
      <c r="C107" s="906" t="s">
        <v>671</v>
      </c>
      <c r="D107" s="820" t="s">
        <v>672</v>
      </c>
      <c r="E107" s="919">
        <v>0.3</v>
      </c>
      <c r="F107" s="906">
        <v>50</v>
      </c>
    </row>
    <row r="108" spans="1:6" s="902" customFormat="1" ht="36">
      <c r="A108" s="906">
        <v>48</v>
      </c>
      <c r="B108" s="313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1" t="s">
        <v>681</v>
      </c>
      <c r="C111" s="906" t="s">
        <v>682</v>
      </c>
      <c r="D111" s="820" t="s">
        <v>683</v>
      </c>
      <c r="E111" s="919">
        <v>0.2</v>
      </c>
      <c r="F111" s="906">
        <v>30</v>
      </c>
    </row>
    <row r="112" spans="1:6" s="902" customFormat="1" ht="24">
      <c r="A112" s="906">
        <v>52</v>
      </c>
      <c r="B112" s="3131"/>
      <c r="C112" s="906" t="s">
        <v>684</v>
      </c>
      <c r="D112" s="820" t="s">
        <v>685</v>
      </c>
      <c r="E112" s="919">
        <v>0.2</v>
      </c>
      <c r="F112" s="906">
        <v>30</v>
      </c>
    </row>
    <row r="113" spans="1:6" s="902" customFormat="1" ht="24">
      <c r="A113" s="906">
        <v>53</v>
      </c>
      <c r="B113" s="313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1" t="s">
        <v>694</v>
      </c>
      <c r="C116" s="906" t="s">
        <v>695</v>
      </c>
      <c r="D116" s="820" t="s">
        <v>696</v>
      </c>
      <c r="E116" s="919">
        <v>0.2</v>
      </c>
      <c r="F116" s="906">
        <v>30</v>
      </c>
    </row>
    <row r="117" spans="1:6" ht="36">
      <c r="A117" s="906">
        <v>57</v>
      </c>
      <c r="B117" s="313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48"/>
  <sheetViews>
    <sheetView topLeftCell="A25" zoomScale="90" zoomScaleNormal="90" workbookViewId="0">
      <selection activeCell="K44" sqref="K4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2321</v>
      </c>
      <c r="B1" s="1726" t="s">
        <v>2322</v>
      </c>
      <c r="C1" s="1718" t="s">
        <v>2859</v>
      </c>
      <c r="D1" s="2365"/>
      <c r="E1" s="2366" t="s">
        <v>1231</v>
      </c>
      <c r="F1" s="1732" t="s">
        <v>2323</v>
      </c>
      <c r="G1" s="1731"/>
      <c r="H1" s="1731"/>
      <c r="I1" s="1731"/>
      <c r="J1" s="1731"/>
      <c r="K1" s="1733"/>
      <c r="L1" s="1725"/>
      <c r="M1" s="1726"/>
      <c r="N1" s="1726"/>
      <c r="O1" s="1726"/>
      <c r="P1" s="2367"/>
      <c r="Q1" s="1727"/>
      <c r="R1" s="1727"/>
      <c r="S1" s="1727"/>
      <c r="T1" s="1727"/>
      <c r="U1" s="1727"/>
      <c r="V1" s="1727"/>
      <c r="W1" s="1727"/>
      <c r="X1" s="1727"/>
      <c r="Y1" s="1727"/>
      <c r="Z1" s="1727"/>
      <c r="AA1" s="1727"/>
      <c r="AB1" s="1727"/>
      <c r="AC1" s="1728"/>
    </row>
    <row r="2" spans="1:29" s="372" customFormat="1" ht="28.5" customHeight="1" thickTop="1">
      <c r="A2" s="1719" t="s">
        <v>1297</v>
      </c>
      <c r="B2" s="1717">
        <f>IF(D2="——",IF(C2="元",ROUND(C49*D3,0),ROUND(C49*D3/10000,0)),IF(C2="元",ROUND(C49*D3,0),ROUND(C49*D3/10000,0))-E2)</f>
        <v>20</v>
      </c>
      <c r="C2" s="163" t="str">
        <f>'数据-取费表'!B3</f>
        <v>万元</v>
      </c>
      <c r="D2" s="2368" t="s">
        <v>1248</v>
      </c>
      <c r="E2" s="1827" t="e">
        <f ca="1">SUMIF(INDIRECT("'"&amp;G2&amp;"'"&amp;"!A:A"),"承租人权益价值",INDIRECT("'"&amp;G2&amp;"'"&amp;"!c:c"))</f>
        <v>#REF!</v>
      </c>
      <c r="F2" s="2369" t="str">
        <f>C2</f>
        <v>万元</v>
      </c>
      <c r="G2" s="2370"/>
      <c r="H2" s="975"/>
      <c r="I2" s="975"/>
      <c r="J2" s="975"/>
      <c r="K2" s="2371"/>
      <c r="L2" s="2372"/>
      <c r="M2" s="2373"/>
      <c r="N2" s="2373"/>
      <c r="O2" s="2373"/>
      <c r="P2" s="2374"/>
      <c r="Q2" s="2375"/>
      <c r="R2" s="2375"/>
      <c r="S2" s="2375"/>
      <c r="T2" s="2375"/>
      <c r="U2" s="2375"/>
      <c r="V2" s="2375"/>
      <c r="W2" s="2375"/>
      <c r="X2" s="2375"/>
      <c r="Y2" s="2375"/>
      <c r="Z2" s="2375"/>
      <c r="AA2" s="2375"/>
      <c r="AB2" s="2375"/>
      <c r="AC2" s="2376"/>
    </row>
    <row r="3" spans="1:29" s="372" customFormat="1" ht="28.5" customHeight="1" thickBot="1">
      <c r="A3" s="167" t="s">
        <v>1298</v>
      </c>
      <c r="B3" s="378">
        <f>ROUND(IF(D2="——",C49,IF(C2="万元",B2*10000/D3,B2/D3)),0)</f>
        <v>2001</v>
      </c>
      <c r="C3" s="379" t="s">
        <v>2324</v>
      </c>
      <c r="D3" s="378">
        <f>IF(C1="仅计算典型户型",'数据-取费表'!E5,'数据-取费表'!B5)</f>
        <v>99.45</v>
      </c>
      <c r="E3" s="975"/>
      <c r="F3" s="2377"/>
      <c r="G3" s="975"/>
      <c r="H3" s="975"/>
      <c r="I3" s="975"/>
      <c r="J3" s="975"/>
      <c r="K3" s="2371"/>
      <c r="L3" s="2372"/>
      <c r="M3" s="2373"/>
      <c r="N3" s="2373"/>
      <c r="O3" s="2373"/>
      <c r="P3" s="2378"/>
      <c r="Q3" s="2375"/>
      <c r="R3" s="2375"/>
      <c r="S3" s="2375"/>
      <c r="T3" s="2375"/>
      <c r="U3" s="2375"/>
      <c r="V3" s="2375"/>
      <c r="W3" s="2375"/>
      <c r="X3" s="2375"/>
      <c r="Y3" s="2375"/>
      <c r="Z3" s="2375"/>
      <c r="AA3" s="2375"/>
      <c r="AB3" s="2375"/>
      <c r="AC3" s="1350"/>
    </row>
    <row r="4" spans="1:29" ht="15">
      <c r="A4" s="380" t="s">
        <v>2325</v>
      </c>
      <c r="B4" s="381"/>
      <c r="C4" s="3045" t="s">
        <v>2326</v>
      </c>
      <c r="D4" s="3046"/>
      <c r="E4" s="3047" t="s">
        <v>2327</v>
      </c>
      <c r="F4" s="3048"/>
      <c r="G4" s="3045" t="s">
        <v>2328</v>
      </c>
      <c r="H4" s="3046"/>
      <c r="I4" s="3045" t="s">
        <v>2329</v>
      </c>
      <c r="J4" s="3046"/>
      <c r="K4" s="2379" t="s">
        <v>2330</v>
      </c>
      <c r="L4" s="1235"/>
      <c r="M4" s="1236"/>
      <c r="N4" s="1236"/>
      <c r="O4" s="1236"/>
      <c r="P4" s="3049" t="s">
        <v>2331</v>
      </c>
      <c r="Q4" s="3050"/>
      <c r="R4" s="3055" t="s">
        <v>2327</v>
      </c>
      <c r="S4" s="3056"/>
      <c r="T4" s="3055" t="s">
        <v>2328</v>
      </c>
      <c r="U4" s="3056"/>
      <c r="V4" s="3061" t="s">
        <v>2329</v>
      </c>
      <c r="W4" s="3061"/>
      <c r="X4" s="2749"/>
      <c r="Y4" s="3055" t="s">
        <v>2331</v>
      </c>
      <c r="Z4" s="3056"/>
      <c r="AA4" s="3042" t="s">
        <v>2327</v>
      </c>
      <c r="AB4" s="3042" t="s">
        <v>2328</v>
      </c>
      <c r="AC4" s="3042" t="s">
        <v>2329</v>
      </c>
    </row>
    <row r="5" spans="1:29" ht="15">
      <c r="A5" s="383"/>
      <c r="B5" s="384"/>
      <c r="C5" s="3064" t="s">
        <v>2332</v>
      </c>
      <c r="D5" s="3065"/>
      <c r="E5" s="3062" t="s">
        <v>2873</v>
      </c>
      <c r="F5" s="3063"/>
      <c r="G5" s="3064" t="s">
        <v>2334</v>
      </c>
      <c r="H5" s="3065"/>
      <c r="I5" s="3064" t="s">
        <v>2335</v>
      </c>
      <c r="J5" s="3065"/>
      <c r="K5" s="2380"/>
      <c r="L5" s="1235"/>
      <c r="M5" s="1236"/>
      <c r="N5" s="1236"/>
      <c r="O5" s="1236"/>
      <c r="P5" s="3051"/>
      <c r="Q5" s="3052"/>
      <c r="R5" s="3057"/>
      <c r="S5" s="3058"/>
      <c r="T5" s="3057"/>
      <c r="U5" s="3058"/>
      <c r="V5" s="3061"/>
      <c r="W5" s="3061"/>
      <c r="X5" s="2749"/>
      <c r="Y5" s="3057"/>
      <c r="Z5" s="3058"/>
      <c r="AA5" s="3043"/>
      <c r="AB5" s="3043"/>
      <c r="AC5" s="3043"/>
    </row>
    <row r="6" spans="1:29" ht="15.75" thickBot="1">
      <c r="A6" s="385"/>
      <c r="B6" s="386"/>
      <c r="C6" s="3066" t="s">
        <v>2336</v>
      </c>
      <c r="D6" s="3067"/>
      <c r="E6" s="3068" t="s">
        <v>2336</v>
      </c>
      <c r="F6" s="3069"/>
      <c r="G6" s="3066" t="s">
        <v>2336</v>
      </c>
      <c r="H6" s="3067"/>
      <c r="I6" s="3066" t="s">
        <v>2336</v>
      </c>
      <c r="J6" s="3067"/>
      <c r="K6" s="2380" t="s">
        <v>2337</v>
      </c>
      <c r="L6" s="1235"/>
      <c r="M6" s="1236"/>
      <c r="N6" s="1236"/>
      <c r="O6" s="1236"/>
      <c r="P6" s="3053"/>
      <c r="Q6" s="3054"/>
      <c r="R6" s="3057"/>
      <c r="S6" s="3058"/>
      <c r="T6" s="3059"/>
      <c r="U6" s="3060"/>
      <c r="V6" s="3061"/>
      <c r="W6" s="3061"/>
      <c r="X6" s="2749"/>
      <c r="Y6" s="3059"/>
      <c r="Z6" s="3060"/>
      <c r="AA6" s="3044"/>
      <c r="AB6" s="3044"/>
      <c r="AC6" s="3044"/>
    </row>
    <row r="7" spans="1:29" s="35" customFormat="1" ht="15.75" thickBot="1">
      <c r="A7" s="387" t="s">
        <v>2338</v>
      </c>
      <c r="B7" s="388"/>
      <c r="C7" s="389">
        <f>'数据-取费表'!B2</f>
        <v>43999</v>
      </c>
      <c r="D7" s="390">
        <v>100</v>
      </c>
      <c r="E7" s="391">
        <v>43955</v>
      </c>
      <c r="F7" s="392">
        <f>SUMIF(58:58,YEAR(E7)&amp;"-"&amp;MONTH(E7),59:59)</f>
        <v>100</v>
      </c>
      <c r="G7" s="391">
        <v>43952</v>
      </c>
      <c r="H7" s="390">
        <f>SUMIF(58:58,YEAR(G7)&amp;"-"&amp;MONTH(G7),59:59)</f>
        <v>100</v>
      </c>
      <c r="I7" s="391">
        <v>43955</v>
      </c>
      <c r="J7" s="390">
        <f>SUMIF(58:58,YEAR(I7)&amp;"-"&amp;MONTH(I7),59:59)</f>
        <v>100</v>
      </c>
      <c r="K7" s="2381"/>
      <c r="L7" s="1237"/>
      <c r="M7" s="1238"/>
      <c r="N7" s="1238"/>
      <c r="O7" s="1238"/>
      <c r="P7" s="3077" t="s">
        <v>2339</v>
      </c>
      <c r="Q7" s="3079"/>
      <c r="R7" s="748" t="s">
        <v>34</v>
      </c>
      <c r="S7" s="749">
        <f t="shared" ref="S7:S15" si="0">F7</f>
        <v>100</v>
      </c>
      <c r="T7" s="748" t="s">
        <v>34</v>
      </c>
      <c r="U7" s="749">
        <f t="shared" ref="U7:U15" si="1">H7</f>
        <v>100</v>
      </c>
      <c r="V7" s="748" t="s">
        <v>34</v>
      </c>
      <c r="W7" s="749">
        <f t="shared" ref="W7:W15" si="2">J7</f>
        <v>100</v>
      </c>
      <c r="X7" s="750"/>
      <c r="Y7" s="3077" t="s">
        <v>2339</v>
      </c>
      <c r="Z7" s="3078"/>
      <c r="AA7" s="751">
        <f>D7/F7</f>
        <v>1</v>
      </c>
      <c r="AB7" s="751">
        <f>D7/H7</f>
        <v>1</v>
      </c>
      <c r="AC7" s="751">
        <f>D7/J7</f>
        <v>1</v>
      </c>
    </row>
    <row r="8" spans="1:29" s="35" customFormat="1" ht="15.75" thickBot="1">
      <c r="A8" s="387" t="s">
        <v>2340</v>
      </c>
      <c r="B8" s="388"/>
      <c r="C8" s="394" t="s">
        <v>2341</v>
      </c>
      <c r="D8" s="390">
        <v>100</v>
      </c>
      <c r="E8" s="2382" t="s">
        <v>2871</v>
      </c>
      <c r="F8" s="392">
        <f>SUMIF(61:61,E8,62:62)-SUMIF(61:61,C8,62:62)+100</f>
        <v>100</v>
      </c>
      <c r="G8" s="2382" t="s">
        <v>2871</v>
      </c>
      <c r="H8" s="390">
        <f>SUMIF(61:61,G8,62:62)-SUMIF(61:61,C8,62:62)+100</f>
        <v>100</v>
      </c>
      <c r="I8" s="2382" t="s">
        <v>2871</v>
      </c>
      <c r="J8" s="390">
        <f>SUMIF(61:61,I8,62:62)-SUMIF(61:61,C8,62:62)+100</f>
        <v>100</v>
      </c>
      <c r="K8" s="2381"/>
      <c r="L8" s="1237"/>
      <c r="M8" s="1238"/>
      <c r="N8" s="1238"/>
      <c r="O8" s="1238"/>
      <c r="P8" s="3077" t="s">
        <v>2342</v>
      </c>
      <c r="Q8" s="3078"/>
      <c r="R8" s="748" t="s">
        <v>34</v>
      </c>
      <c r="S8" s="749">
        <f t="shared" si="0"/>
        <v>100</v>
      </c>
      <c r="T8" s="748" t="s">
        <v>34</v>
      </c>
      <c r="U8" s="749">
        <f t="shared" si="1"/>
        <v>100</v>
      </c>
      <c r="V8" s="748" t="s">
        <v>34</v>
      </c>
      <c r="W8" s="749">
        <f t="shared" si="2"/>
        <v>100</v>
      </c>
      <c r="X8" s="750"/>
      <c r="Y8" s="3077" t="s">
        <v>2342</v>
      </c>
      <c r="Z8" s="3078"/>
      <c r="AA8" s="751">
        <f t="shared" ref="AA8:AA46" si="3">D8/F8</f>
        <v>1</v>
      </c>
      <c r="AB8" s="751">
        <f t="shared" ref="AB8:AB46" si="4">D8/H8</f>
        <v>1</v>
      </c>
      <c r="AC8" s="751">
        <f t="shared" ref="AC8:AC46" si="5">D8/J8</f>
        <v>1</v>
      </c>
    </row>
    <row r="9" spans="1:29" s="35" customFormat="1">
      <c r="A9" s="395" t="s">
        <v>2343</v>
      </c>
      <c r="B9" s="28" t="s">
        <v>2344</v>
      </c>
      <c r="C9" s="2758" t="s">
        <v>2864</v>
      </c>
      <c r="D9" s="51">
        <v>100</v>
      </c>
      <c r="E9" s="397" t="s">
        <v>2840</v>
      </c>
      <c r="F9" s="398">
        <f>SUMIF(63:63,E9,64:64)-SUMIF(63:63,C9,64:64)+100</f>
        <v>100</v>
      </c>
      <c r="G9" s="397" t="s">
        <v>2840</v>
      </c>
      <c r="H9" s="51">
        <f>SUMIF(63:63,G9,64:64)-SUMIF(63:63,C9,64:64)+100</f>
        <v>100</v>
      </c>
      <c r="I9" s="397" t="s">
        <v>2840</v>
      </c>
      <c r="J9" s="51">
        <f>SUMIF(63:63,I9,64:64)-SUMIF(63:63,C9,64:64)+100</f>
        <v>100</v>
      </c>
      <c r="K9" s="2381"/>
      <c r="L9" s="1237"/>
      <c r="M9" s="1238"/>
      <c r="N9" s="1238"/>
      <c r="O9" s="1238"/>
      <c r="P9" s="3080" t="s">
        <v>2345</v>
      </c>
      <c r="Q9" s="2747" t="str">
        <f t="shared" ref="Q9:Q15" si="6">B9</f>
        <v>用途</v>
      </c>
      <c r="R9" s="748" t="s">
        <v>25</v>
      </c>
      <c r="S9" s="749">
        <f t="shared" si="0"/>
        <v>100</v>
      </c>
      <c r="T9" s="748" t="s">
        <v>25</v>
      </c>
      <c r="U9" s="749">
        <f t="shared" si="1"/>
        <v>100</v>
      </c>
      <c r="V9" s="748" t="s">
        <v>25</v>
      </c>
      <c r="W9" s="749">
        <f t="shared" si="2"/>
        <v>100</v>
      </c>
      <c r="X9" s="750"/>
      <c r="Y9" s="2891" t="s">
        <v>2346</v>
      </c>
      <c r="Z9" s="23" t="str">
        <f t="shared" ref="Z9:Z15" si="7">Q9</f>
        <v>用途</v>
      </c>
      <c r="AA9" s="751">
        <f t="shared" si="3"/>
        <v>1</v>
      </c>
      <c r="AB9" s="751">
        <f t="shared" si="4"/>
        <v>1</v>
      </c>
      <c r="AC9" s="751">
        <f t="shared" si="5"/>
        <v>1</v>
      </c>
    </row>
    <row r="10" spans="1:29" s="407" customFormat="1" ht="27">
      <c r="A10" s="401"/>
      <c r="B10" s="2748" t="s">
        <v>2347</v>
      </c>
      <c r="C10" s="403" t="s">
        <v>2865</v>
      </c>
      <c r="D10" s="52">
        <v>100</v>
      </c>
      <c r="E10" s="404" t="s">
        <v>2865</v>
      </c>
      <c r="F10" s="405">
        <f>SUMIF(65:65,E10,66:66)-SUMIF(65:65,C10,66:66)+100</f>
        <v>100</v>
      </c>
      <c r="G10" s="404" t="s">
        <v>2865</v>
      </c>
      <c r="H10" s="52">
        <f>SUMIF(65:65,G10,66:66)-SUMIF(65:65,C10,66:66)+100</f>
        <v>100</v>
      </c>
      <c r="I10" s="404" t="s">
        <v>2865</v>
      </c>
      <c r="J10" s="52">
        <f>SUMIF(65:65,I10,66:66)-SUMIF(65:65,C10,66:66)+100</f>
        <v>100</v>
      </c>
      <c r="K10" s="406">
        <v>1</v>
      </c>
      <c r="L10" s="1240"/>
      <c r="M10" s="1241"/>
      <c r="N10" s="1241"/>
      <c r="O10" s="1241"/>
      <c r="P10" s="3080"/>
      <c r="Q10" s="2747" t="str">
        <f t="shared" si="6"/>
        <v>土地使用年限（年）</v>
      </c>
      <c r="R10" s="748" t="s">
        <v>25</v>
      </c>
      <c r="S10" s="749">
        <f t="shared" si="0"/>
        <v>100</v>
      </c>
      <c r="T10" s="748" t="s">
        <v>25</v>
      </c>
      <c r="U10" s="749">
        <f t="shared" si="1"/>
        <v>100</v>
      </c>
      <c r="V10" s="748" t="s">
        <v>25</v>
      </c>
      <c r="W10" s="749">
        <f t="shared" si="2"/>
        <v>100</v>
      </c>
      <c r="X10" s="750"/>
      <c r="Y10" s="2891"/>
      <c r="Z10" s="23" t="str">
        <f t="shared" si="7"/>
        <v>土地使用年限（年）</v>
      </c>
      <c r="AA10" s="751">
        <f t="shared" si="3"/>
        <v>1</v>
      </c>
      <c r="AB10" s="751">
        <f t="shared" si="4"/>
        <v>1</v>
      </c>
      <c r="AC10" s="751">
        <f t="shared" si="5"/>
        <v>1</v>
      </c>
    </row>
    <row r="11" spans="1:29" ht="15">
      <c r="A11" s="408"/>
      <c r="B11" s="2748" t="s">
        <v>2348</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80"/>
      <c r="Q11" s="2747" t="str">
        <f t="shared" si="6"/>
        <v>容积率</v>
      </c>
      <c r="R11" s="748" t="s">
        <v>28</v>
      </c>
      <c r="S11" s="749">
        <f t="shared" si="0"/>
        <v>100</v>
      </c>
      <c r="T11" s="748" t="s">
        <v>28</v>
      </c>
      <c r="U11" s="749">
        <f t="shared" si="1"/>
        <v>100</v>
      </c>
      <c r="V11" s="748" t="s">
        <v>28</v>
      </c>
      <c r="W11" s="749">
        <f t="shared" si="2"/>
        <v>100</v>
      </c>
      <c r="X11" s="750"/>
      <c r="Y11" s="2891"/>
      <c r="Z11" s="23" t="str">
        <f t="shared" si="7"/>
        <v>容积率</v>
      </c>
      <c r="AA11" s="751">
        <f t="shared" si="3"/>
        <v>1</v>
      </c>
      <c r="AB11" s="751">
        <f t="shared" si="4"/>
        <v>1</v>
      </c>
      <c r="AC11" s="751">
        <f t="shared" si="5"/>
        <v>1</v>
      </c>
    </row>
    <row r="12" spans="1:29" s="35" customFormat="1" ht="15">
      <c r="A12" s="411"/>
      <c r="B12" s="2383">
        <v>111</v>
      </c>
      <c r="C12" s="412"/>
      <c r="D12" s="413">
        <v>100</v>
      </c>
      <c r="E12" s="412"/>
      <c r="F12" s="405">
        <f>SUMIF(70:70,E12,71:71)-SUMIF(70:70,C12,71:71)+100</f>
        <v>100</v>
      </c>
      <c r="G12" s="412"/>
      <c r="H12" s="52">
        <f>SUMIF(70:70,G12,71:71)-SUMIF(70:70,C12,71:71)+100</f>
        <v>100</v>
      </c>
      <c r="I12" s="412"/>
      <c r="J12" s="52">
        <f>SUMIF(70:70,I12,71:71)-SUMIF(70:70,C12,71:71)+100</f>
        <v>100</v>
      </c>
      <c r="K12" s="2384"/>
      <c r="L12" s="1237"/>
      <c r="M12" s="2768" t="s">
        <v>2895</v>
      </c>
      <c r="N12" s="1238"/>
      <c r="O12" s="1238"/>
      <c r="P12" s="3080"/>
      <c r="Q12" s="2747">
        <f t="shared" si="6"/>
        <v>111</v>
      </c>
      <c r="R12" s="748" t="s">
        <v>28</v>
      </c>
      <c r="S12" s="749">
        <f t="shared" si="0"/>
        <v>100</v>
      </c>
      <c r="T12" s="748" t="s">
        <v>28</v>
      </c>
      <c r="U12" s="749">
        <f t="shared" si="1"/>
        <v>100</v>
      </c>
      <c r="V12" s="748" t="s">
        <v>28</v>
      </c>
      <c r="W12" s="749">
        <f t="shared" si="2"/>
        <v>100</v>
      </c>
      <c r="X12" s="750"/>
      <c r="Y12" s="2891"/>
      <c r="Z12" s="23">
        <f t="shared" si="7"/>
        <v>111</v>
      </c>
      <c r="AA12" s="751">
        <f>D12/F12</f>
        <v>1</v>
      </c>
      <c r="AB12" s="751">
        <f>D12/H12</f>
        <v>1</v>
      </c>
      <c r="AC12" s="751">
        <f>D12/J12</f>
        <v>1</v>
      </c>
    </row>
    <row r="13" spans="1:29" ht="15">
      <c r="A13" s="408"/>
      <c r="B13" s="2383">
        <v>111</v>
      </c>
      <c r="C13" s="414"/>
      <c r="D13" s="415">
        <v>100</v>
      </c>
      <c r="E13" s="414"/>
      <c r="F13" s="405">
        <f>SUMIF(72:72,E13,73:73)-SUMIF(72:72,C13,73:73)+100</f>
        <v>100</v>
      </c>
      <c r="G13" s="414"/>
      <c r="H13" s="415">
        <f>SUMIF(72:72,G13,73:73)-SUMIF(72:72,C13,73:73)+100</f>
        <v>100</v>
      </c>
      <c r="I13" s="414"/>
      <c r="J13" s="415">
        <f>SUMIF(72:72,I13,73:73)-SUMIF(72:72,C13,73:73)+100</f>
        <v>100</v>
      </c>
      <c r="K13" s="2384"/>
      <c r="L13" s="1245"/>
      <c r="M13" s="1236"/>
      <c r="N13" s="1236"/>
      <c r="O13" s="1236"/>
      <c r="P13" s="3080"/>
      <c r="Q13" s="2747">
        <f t="shared" si="6"/>
        <v>111</v>
      </c>
      <c r="R13" s="748" t="s">
        <v>28</v>
      </c>
      <c r="S13" s="749">
        <f t="shared" si="0"/>
        <v>100</v>
      </c>
      <c r="T13" s="748" t="s">
        <v>28</v>
      </c>
      <c r="U13" s="749">
        <f t="shared" si="1"/>
        <v>100</v>
      </c>
      <c r="V13" s="748" t="s">
        <v>28</v>
      </c>
      <c r="W13" s="749">
        <f t="shared" si="2"/>
        <v>100</v>
      </c>
      <c r="X13" s="750"/>
      <c r="Y13" s="2891"/>
      <c r="Z13" s="23">
        <f t="shared" si="7"/>
        <v>111</v>
      </c>
      <c r="AA13" s="751">
        <f t="shared" si="3"/>
        <v>1</v>
      </c>
      <c r="AB13" s="751">
        <f t="shared" si="4"/>
        <v>1</v>
      </c>
      <c r="AC13" s="751">
        <f t="shared" si="5"/>
        <v>1</v>
      </c>
    </row>
    <row r="14" spans="1:29" ht="15.75" thickBot="1">
      <c r="A14" s="416"/>
      <c r="B14" s="2385">
        <v>111</v>
      </c>
      <c r="C14" s="2386"/>
      <c r="D14" s="417">
        <v>100</v>
      </c>
      <c r="E14" s="2386"/>
      <c r="F14" s="418">
        <f>SUMIF(74:74,E14,75:75)-SUMIF(74:74,C14,75:75)+100</f>
        <v>100</v>
      </c>
      <c r="G14" s="2386"/>
      <c r="H14" s="417">
        <f>SUMIF(74:74,G14,75:75)-SUMIF(74:74,C14,75:75)+100</f>
        <v>100</v>
      </c>
      <c r="I14" s="2386"/>
      <c r="J14" s="417">
        <f>SUMIF(74:74,I14,75:75)-SUMIF(74:74,C14,75:75)+100</f>
        <v>100</v>
      </c>
      <c r="K14" s="2384"/>
      <c r="L14" s="1245"/>
      <c r="M14" s="1236"/>
      <c r="N14" s="1236"/>
      <c r="O14" s="1236"/>
      <c r="P14" s="3080"/>
      <c r="Q14" s="2747">
        <f t="shared" si="6"/>
        <v>111</v>
      </c>
      <c r="R14" s="748" t="s">
        <v>28</v>
      </c>
      <c r="S14" s="749">
        <f t="shared" si="0"/>
        <v>100</v>
      </c>
      <c r="T14" s="748" t="s">
        <v>28</v>
      </c>
      <c r="U14" s="749">
        <f t="shared" si="1"/>
        <v>100</v>
      </c>
      <c r="V14" s="748" t="s">
        <v>28</v>
      </c>
      <c r="W14" s="749">
        <f t="shared" si="2"/>
        <v>100</v>
      </c>
      <c r="X14" s="750"/>
      <c r="Y14" s="2891"/>
      <c r="Z14" s="23">
        <f t="shared" si="7"/>
        <v>111</v>
      </c>
      <c r="AA14" s="751">
        <f t="shared" si="3"/>
        <v>1</v>
      </c>
      <c r="AB14" s="751">
        <f t="shared" si="4"/>
        <v>1</v>
      </c>
      <c r="AC14" s="751">
        <f t="shared" si="5"/>
        <v>1</v>
      </c>
    </row>
    <row r="15" spans="1:29" ht="99.75">
      <c r="A15" s="419" t="s">
        <v>2349</v>
      </c>
      <c r="B15" s="26" t="s">
        <v>1728</v>
      </c>
      <c r="C15" s="2387"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1</v>
      </c>
      <c r="L15" s="1245"/>
      <c r="M15" s="1236"/>
      <c r="N15" s="1236"/>
      <c r="O15" s="1236"/>
      <c r="P15" s="3083" t="s">
        <v>2350</v>
      </c>
      <c r="Q15" s="2751" t="str">
        <f t="shared" si="6"/>
        <v>居住社区成熟度</v>
      </c>
      <c r="R15" s="752" t="s">
        <v>28</v>
      </c>
      <c r="S15" s="753">
        <f t="shared" si="0"/>
        <v>100</v>
      </c>
      <c r="T15" s="752" t="s">
        <v>28</v>
      </c>
      <c r="U15" s="753">
        <f t="shared" si="1"/>
        <v>100</v>
      </c>
      <c r="V15" s="752" t="s">
        <v>28</v>
      </c>
      <c r="W15" s="753">
        <f t="shared" si="2"/>
        <v>100</v>
      </c>
      <c r="X15" s="2749"/>
      <c r="Y15" s="3070" t="s">
        <v>2350</v>
      </c>
      <c r="Z15" s="2750" t="str">
        <f t="shared" si="7"/>
        <v>居住社区成熟度</v>
      </c>
      <c r="AA15" s="2752">
        <f t="shared" si="3"/>
        <v>1</v>
      </c>
      <c r="AB15" s="2752">
        <f t="shared" si="4"/>
        <v>1</v>
      </c>
      <c r="AC15" s="2752">
        <f t="shared" si="5"/>
        <v>1</v>
      </c>
    </row>
    <row r="16" spans="1:29" ht="15">
      <c r="A16" s="408"/>
      <c r="B16" s="425"/>
      <c r="C16" s="426" t="s">
        <v>30</v>
      </c>
      <c r="D16" s="427"/>
      <c r="E16" s="426" t="s">
        <v>30</v>
      </c>
      <c r="F16" s="429"/>
      <c r="G16" s="426" t="s">
        <v>30</v>
      </c>
      <c r="H16" s="430"/>
      <c r="I16" s="426" t="s">
        <v>30</v>
      </c>
      <c r="J16" s="427"/>
      <c r="K16" s="2389"/>
      <c r="L16" s="1245"/>
      <c r="M16" s="1236"/>
      <c r="N16" s="1236"/>
      <c r="O16" s="1236"/>
      <c r="P16" s="3084"/>
      <c r="Q16" s="2751"/>
      <c r="R16" s="752"/>
      <c r="S16" s="753"/>
      <c r="T16" s="752"/>
      <c r="U16" s="753"/>
      <c r="V16" s="752"/>
      <c r="W16" s="753"/>
      <c r="X16" s="2749"/>
      <c r="Y16" s="3071"/>
      <c r="Z16" s="2750"/>
      <c r="AA16" s="2752">
        <v>1</v>
      </c>
      <c r="AB16" s="2752">
        <v>1</v>
      </c>
      <c r="AC16" s="2752">
        <v>1</v>
      </c>
    </row>
    <row r="17" spans="1:29" ht="85.5">
      <c r="A17" s="408"/>
      <c r="B17" s="431" t="s">
        <v>1740</v>
      </c>
      <c r="C17" s="2390"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45"/>
      <c r="M17" s="1236"/>
      <c r="N17" s="1236"/>
      <c r="O17" s="1236"/>
      <c r="P17" s="3084"/>
      <c r="Q17" s="2751" t="str">
        <f>B17</f>
        <v>交通便捷度</v>
      </c>
      <c r="R17" s="752" t="s">
        <v>28</v>
      </c>
      <c r="S17" s="753">
        <f>F17</f>
        <v>100</v>
      </c>
      <c r="T17" s="752" t="s">
        <v>28</v>
      </c>
      <c r="U17" s="753">
        <f>H17</f>
        <v>100</v>
      </c>
      <c r="V17" s="752" t="s">
        <v>28</v>
      </c>
      <c r="W17" s="753">
        <f>J17</f>
        <v>100</v>
      </c>
      <c r="X17" s="2749"/>
      <c r="Y17" s="3071"/>
      <c r="Z17" s="2750" t="str">
        <f>Q17</f>
        <v>交通便捷度</v>
      </c>
      <c r="AA17" s="2752">
        <f t="shared" si="3"/>
        <v>1</v>
      </c>
      <c r="AB17" s="2752">
        <f t="shared" si="4"/>
        <v>1</v>
      </c>
      <c r="AC17" s="2752">
        <f t="shared" si="5"/>
        <v>1</v>
      </c>
    </row>
    <row r="18" spans="1:29" ht="15">
      <c r="A18" s="408"/>
      <c r="B18" s="436"/>
      <c r="C18" s="437" t="s">
        <v>30</v>
      </c>
      <c r="D18" s="430"/>
      <c r="E18" s="426" t="s">
        <v>30</v>
      </c>
      <c r="F18" s="433"/>
      <c r="G18" s="426" t="s">
        <v>30</v>
      </c>
      <c r="H18" s="427"/>
      <c r="I18" s="426" t="s">
        <v>30</v>
      </c>
      <c r="J18" s="427"/>
      <c r="K18" s="2389"/>
      <c r="L18" s="1245"/>
      <c r="M18" s="1236"/>
      <c r="N18" s="1236"/>
      <c r="O18" s="1236"/>
      <c r="P18" s="3084"/>
      <c r="Q18" s="2751"/>
      <c r="R18" s="752"/>
      <c r="S18" s="753"/>
      <c r="T18" s="752"/>
      <c r="U18" s="753"/>
      <c r="V18" s="752"/>
      <c r="W18" s="753"/>
      <c r="X18" s="2749"/>
      <c r="Y18" s="3071"/>
      <c r="Z18" s="2750"/>
      <c r="AA18" s="2752">
        <v>1</v>
      </c>
      <c r="AB18" s="2752">
        <v>1</v>
      </c>
      <c r="AC18" s="2752">
        <v>1</v>
      </c>
    </row>
    <row r="19" spans="1:29" ht="42.75">
      <c r="A19" s="408"/>
      <c r="B19" s="431" t="s">
        <v>1738</v>
      </c>
      <c r="C19" s="2390"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45"/>
      <c r="M19" s="1236"/>
      <c r="N19" s="1236"/>
      <c r="O19" s="1236"/>
      <c r="P19" s="3084"/>
      <c r="Q19" s="2751" t="str">
        <f>B19</f>
        <v>公共配套设施</v>
      </c>
      <c r="R19" s="752" t="s">
        <v>28</v>
      </c>
      <c r="S19" s="753">
        <f>F19</f>
        <v>100</v>
      </c>
      <c r="T19" s="752" t="s">
        <v>28</v>
      </c>
      <c r="U19" s="753">
        <f>H19</f>
        <v>100</v>
      </c>
      <c r="V19" s="752" t="s">
        <v>28</v>
      </c>
      <c r="W19" s="753">
        <f>J19</f>
        <v>100</v>
      </c>
      <c r="X19" s="2749"/>
      <c r="Y19" s="3071"/>
      <c r="Z19" s="2750" t="str">
        <f>Q19</f>
        <v>公共配套设施</v>
      </c>
      <c r="AA19" s="2752">
        <f t="shared" si="3"/>
        <v>1</v>
      </c>
      <c r="AB19" s="2752">
        <f t="shared" si="4"/>
        <v>1</v>
      </c>
      <c r="AC19" s="2752">
        <f t="shared" si="5"/>
        <v>1</v>
      </c>
    </row>
    <row r="20" spans="1:29" ht="15">
      <c r="A20" s="408"/>
      <c r="B20" s="436"/>
      <c r="C20" s="426" t="s">
        <v>30</v>
      </c>
      <c r="D20" s="427"/>
      <c r="E20" s="426" t="s">
        <v>30</v>
      </c>
      <c r="F20" s="429"/>
      <c r="G20" s="426" t="s">
        <v>30</v>
      </c>
      <c r="H20" s="427"/>
      <c r="I20" s="426" t="s">
        <v>30</v>
      </c>
      <c r="J20" s="427"/>
      <c r="K20" s="2389"/>
      <c r="L20" s="1245"/>
      <c r="M20" s="1236"/>
      <c r="N20" s="1236"/>
      <c r="O20" s="1236"/>
      <c r="P20" s="3084"/>
      <c r="Q20" s="2751"/>
      <c r="R20" s="752"/>
      <c r="S20" s="753"/>
      <c r="T20" s="752"/>
      <c r="U20" s="753"/>
      <c r="V20" s="752"/>
      <c r="W20" s="753"/>
      <c r="X20" s="2749"/>
      <c r="Y20" s="3071"/>
      <c r="Z20" s="2750"/>
      <c r="AA20" s="2752">
        <v>1</v>
      </c>
      <c r="AB20" s="2752">
        <v>1</v>
      </c>
      <c r="AC20" s="2752">
        <v>1</v>
      </c>
    </row>
    <row r="21" spans="1:29" ht="28.5">
      <c r="A21" s="408"/>
      <c r="B21" s="2392" t="s">
        <v>1741</v>
      </c>
      <c r="C21" s="2390"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45"/>
      <c r="M21" s="1236"/>
      <c r="N21" s="1236"/>
      <c r="O21" s="1236"/>
      <c r="P21" s="3084"/>
      <c r="Q21" s="2751" t="str">
        <f>B21</f>
        <v>基础设施水平</v>
      </c>
      <c r="R21" s="752" t="s">
        <v>28</v>
      </c>
      <c r="S21" s="753">
        <f>F21</f>
        <v>100</v>
      </c>
      <c r="T21" s="752" t="s">
        <v>28</v>
      </c>
      <c r="U21" s="753">
        <f>H21</f>
        <v>100</v>
      </c>
      <c r="V21" s="752" t="s">
        <v>28</v>
      </c>
      <c r="W21" s="753">
        <f>J21</f>
        <v>100</v>
      </c>
      <c r="X21" s="2749"/>
      <c r="Y21" s="3071"/>
      <c r="Z21" s="2750" t="str">
        <f>Q21</f>
        <v>基础设施水平</v>
      </c>
      <c r="AA21" s="2752">
        <f t="shared" ref="AA21" si="8">D21/F21</f>
        <v>1</v>
      </c>
      <c r="AB21" s="2752">
        <f t="shared" ref="AB21" si="9">D21/H21</f>
        <v>1</v>
      </c>
      <c r="AC21" s="2752">
        <f t="shared" ref="AC21" si="10">D21/J21</f>
        <v>1</v>
      </c>
    </row>
    <row r="22" spans="1:29" ht="15">
      <c r="A22" s="408"/>
      <c r="B22" s="2392"/>
      <c r="C22" s="437" t="s">
        <v>2854</v>
      </c>
      <c r="D22" s="427"/>
      <c r="E22" s="426" t="s">
        <v>2854</v>
      </c>
      <c r="F22" s="429"/>
      <c r="G22" s="426" t="s">
        <v>2854</v>
      </c>
      <c r="H22" s="427"/>
      <c r="I22" s="426" t="s">
        <v>2854</v>
      </c>
      <c r="J22" s="427"/>
      <c r="K22" s="2393"/>
      <c r="L22" s="1245"/>
      <c r="M22" s="1236"/>
      <c r="N22" s="1236"/>
      <c r="O22" s="1236"/>
      <c r="P22" s="3084"/>
      <c r="Q22" s="2751"/>
      <c r="R22" s="752"/>
      <c r="S22" s="753"/>
      <c r="T22" s="752"/>
      <c r="U22" s="753"/>
      <c r="V22" s="752"/>
      <c r="W22" s="753"/>
      <c r="X22" s="2749"/>
      <c r="Y22" s="3071"/>
      <c r="Z22" s="2750"/>
      <c r="AA22" s="2752">
        <v>1</v>
      </c>
      <c r="AB22" s="2752">
        <v>1</v>
      </c>
      <c r="AC22" s="2752">
        <v>1</v>
      </c>
    </row>
    <row r="23" spans="1:29" ht="57">
      <c r="A23" s="408"/>
      <c r="B23" s="431" t="s">
        <v>1745</v>
      </c>
      <c r="C23" s="239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45"/>
      <c r="M23" s="1236"/>
      <c r="N23" s="1236"/>
      <c r="O23" s="1236"/>
      <c r="P23" s="3084"/>
      <c r="Q23" s="2751" t="str">
        <f>B23</f>
        <v>自然及人文环境</v>
      </c>
      <c r="R23" s="752" t="s">
        <v>28</v>
      </c>
      <c r="S23" s="753">
        <f>F23</f>
        <v>100</v>
      </c>
      <c r="T23" s="752" t="s">
        <v>28</v>
      </c>
      <c r="U23" s="753">
        <f>H23</f>
        <v>100</v>
      </c>
      <c r="V23" s="752" t="s">
        <v>28</v>
      </c>
      <c r="W23" s="753">
        <f>J23</f>
        <v>100</v>
      </c>
      <c r="X23" s="2749"/>
      <c r="Y23" s="3071"/>
      <c r="Z23" s="2750" t="str">
        <f>Q23</f>
        <v>自然及人文环境</v>
      </c>
      <c r="AA23" s="2752">
        <f t="shared" si="3"/>
        <v>1</v>
      </c>
      <c r="AB23" s="2752">
        <f t="shared" si="4"/>
        <v>1</v>
      </c>
      <c r="AC23" s="2752">
        <f t="shared" si="5"/>
        <v>1</v>
      </c>
    </row>
    <row r="24" spans="1:29" ht="15">
      <c r="A24" s="408"/>
      <c r="B24" s="436"/>
      <c r="C24" s="426" t="s">
        <v>30</v>
      </c>
      <c r="D24" s="427"/>
      <c r="E24" s="426" t="s">
        <v>30</v>
      </c>
      <c r="F24" s="429"/>
      <c r="G24" s="426" t="s">
        <v>30</v>
      </c>
      <c r="H24" s="427"/>
      <c r="I24" s="426" t="s">
        <v>30</v>
      </c>
      <c r="J24" s="427"/>
      <c r="K24" s="2389"/>
      <c r="L24" s="1245"/>
      <c r="M24" s="1236"/>
      <c r="N24" s="1236"/>
      <c r="O24" s="1236"/>
      <c r="P24" s="3084"/>
      <c r="Q24" s="2751"/>
      <c r="R24" s="752"/>
      <c r="S24" s="753"/>
      <c r="T24" s="752"/>
      <c r="U24" s="753"/>
      <c r="V24" s="752"/>
      <c r="W24" s="753"/>
      <c r="X24" s="2749"/>
      <c r="Y24" s="3071"/>
      <c r="Z24" s="2750"/>
      <c r="AA24" s="2752">
        <v>1</v>
      </c>
      <c r="AB24" s="2752">
        <v>1</v>
      </c>
      <c r="AC24" s="2752">
        <v>1</v>
      </c>
    </row>
    <row r="25" spans="1:29" ht="15">
      <c r="A25" s="408"/>
      <c r="B25" s="2748" t="s">
        <v>2351</v>
      </c>
      <c r="C25" s="441"/>
      <c r="D25" s="415">
        <v>100</v>
      </c>
      <c r="E25" s="2394"/>
      <c r="F25" s="442">
        <f>SUMIF(86:86,E25,87:87)-SUMIF(86:86,C25,87:87)+100</f>
        <v>100</v>
      </c>
      <c r="G25" s="2395"/>
      <c r="H25" s="415">
        <f>SUMIF(86:86,G25,87:87)-SUMIF(86:86,C25,87:87)+100</f>
        <v>100</v>
      </c>
      <c r="I25" s="2394"/>
      <c r="J25" s="415">
        <f>SUMIF(86:86,I25,87:87)-SUMIF(86:86,C25,87:87)+100</f>
        <v>100</v>
      </c>
      <c r="K25" s="406"/>
      <c r="L25" s="1245"/>
      <c r="M25" s="1236"/>
      <c r="N25" s="1236"/>
      <c r="O25" s="1236"/>
      <c r="P25" s="3084"/>
      <c r="Q25" s="2751" t="str">
        <f t="shared" ref="Q25:Q46" si="11">B25</f>
        <v>楼层-1</v>
      </c>
      <c r="R25" s="752" t="s">
        <v>28</v>
      </c>
      <c r="S25" s="753">
        <f>F25</f>
        <v>100</v>
      </c>
      <c r="T25" s="752" t="s">
        <v>28</v>
      </c>
      <c r="U25" s="753">
        <f>H25</f>
        <v>100</v>
      </c>
      <c r="V25" s="752" t="s">
        <v>28</v>
      </c>
      <c r="W25" s="753">
        <f>J25</f>
        <v>100</v>
      </c>
      <c r="X25" s="2749"/>
      <c r="Y25" s="3071"/>
      <c r="Z25" s="2750" t="str">
        <f>Q25</f>
        <v>楼层-1</v>
      </c>
      <c r="AA25" s="2752">
        <f t="shared" si="3"/>
        <v>1</v>
      </c>
      <c r="AB25" s="2752">
        <f t="shared" si="4"/>
        <v>1</v>
      </c>
      <c r="AC25" s="2752">
        <f t="shared" si="5"/>
        <v>1</v>
      </c>
    </row>
    <row r="26" spans="1:29" ht="15">
      <c r="A26" s="408"/>
      <c r="B26" s="2748" t="s">
        <v>2352</v>
      </c>
      <c r="C26" s="441" t="s">
        <v>2890</v>
      </c>
      <c r="D26" s="415">
        <v>100</v>
      </c>
      <c r="E26" s="2394" t="s">
        <v>2893</v>
      </c>
      <c r="F26" s="442">
        <f>SUMIF(88:88,E26,89:89)-SUMIF(88:88,C26,89:89)+100</f>
        <v>98.5</v>
      </c>
      <c r="G26" s="2395" t="s">
        <v>2893</v>
      </c>
      <c r="H26" s="415">
        <f>SUMIF(88:88,G26,89:89)-SUMIF(88:88,C26,89:89)+100</f>
        <v>98.5</v>
      </c>
      <c r="I26" s="2394" t="s">
        <v>2892</v>
      </c>
      <c r="J26" s="415">
        <f>SUMIF(88:88,I26,89:89)-SUMIF(88:88,C26,89:89)+100</f>
        <v>100.5</v>
      </c>
      <c r="K26" s="406">
        <v>0.5</v>
      </c>
      <c r="L26" s="1245"/>
      <c r="M26" s="1236"/>
      <c r="N26" s="1236"/>
      <c r="O26" s="1236"/>
      <c r="P26" s="3084"/>
      <c r="Q26" s="2751" t="str">
        <f t="shared" si="11"/>
        <v>朝向</v>
      </c>
      <c r="R26" s="752" t="s">
        <v>28</v>
      </c>
      <c r="S26" s="753">
        <f>F26</f>
        <v>98.5</v>
      </c>
      <c r="T26" s="752" t="s">
        <v>28</v>
      </c>
      <c r="U26" s="753">
        <f>H26</f>
        <v>98.5</v>
      </c>
      <c r="V26" s="752" t="s">
        <v>28</v>
      </c>
      <c r="W26" s="753">
        <f>J26</f>
        <v>100.5</v>
      </c>
      <c r="X26" s="2749"/>
      <c r="Y26" s="3071"/>
      <c r="Z26" s="2750" t="str">
        <f>Q26</f>
        <v>朝向</v>
      </c>
      <c r="AA26" s="2752">
        <f t="shared" si="3"/>
        <v>1.015228426395939</v>
      </c>
      <c r="AB26" s="2752">
        <f t="shared" si="4"/>
        <v>1.015228426395939</v>
      </c>
      <c r="AC26" s="2752">
        <f t="shared" si="5"/>
        <v>0.99502487562189057</v>
      </c>
    </row>
    <row r="27" spans="1:29" s="35" customFormat="1" ht="15">
      <c r="A27" s="411"/>
      <c r="B27" s="2776" t="s">
        <v>2912</v>
      </c>
      <c r="C27" s="2777" t="s">
        <v>2913</v>
      </c>
      <c r="D27" s="443">
        <v>100</v>
      </c>
      <c r="E27" s="2777" t="s">
        <v>2913</v>
      </c>
      <c r="F27" s="445">
        <f>SUMIF(90:90,E27,91:91)-SUMIF(90:90,C27,91:91)+100</f>
        <v>100</v>
      </c>
      <c r="G27" s="2777" t="s">
        <v>2913</v>
      </c>
      <c r="H27" s="443">
        <f>SUMIF(90:90,G27,91:91)-SUMIF(90:90,C27,91:91)+100</f>
        <v>100</v>
      </c>
      <c r="I27" s="2779" t="s">
        <v>2915</v>
      </c>
      <c r="J27" s="443">
        <f>SUMIF(90:90,I27,91:91)-SUMIF(90:90,C27,91:91)+100</f>
        <v>96</v>
      </c>
      <c r="K27" s="2384"/>
      <c r="L27" s="1237"/>
      <c r="M27" s="1238"/>
      <c r="N27" s="1238"/>
      <c r="O27" s="1238"/>
      <c r="P27" s="3084"/>
      <c r="Q27" s="2747" t="str">
        <f t="shared" si="11"/>
        <v>楼层</v>
      </c>
      <c r="R27" s="748" t="s">
        <v>28</v>
      </c>
      <c r="S27" s="749">
        <f>F27</f>
        <v>100</v>
      </c>
      <c r="T27" s="748" t="s">
        <v>28</v>
      </c>
      <c r="U27" s="749">
        <f>H27</f>
        <v>100</v>
      </c>
      <c r="V27" s="748" t="s">
        <v>28</v>
      </c>
      <c r="W27" s="749">
        <f>J27</f>
        <v>96</v>
      </c>
      <c r="X27" s="750"/>
      <c r="Y27" s="3071"/>
      <c r="Z27" s="23" t="str">
        <f>Q27</f>
        <v>楼层</v>
      </c>
      <c r="AA27" s="2752">
        <f>D27/F27</f>
        <v>1</v>
      </c>
      <c r="AB27" s="2752">
        <f>D27/H27</f>
        <v>1</v>
      </c>
      <c r="AC27" s="2752">
        <f>D27/J27</f>
        <v>1.0416666666666667</v>
      </c>
    </row>
    <row r="28" spans="1:29" ht="15">
      <c r="A28" s="408"/>
      <c r="B28" s="2396">
        <v>111</v>
      </c>
      <c r="C28" s="414"/>
      <c r="D28" s="415">
        <v>100</v>
      </c>
      <c r="E28" s="414"/>
      <c r="F28" s="442">
        <f>SUMIF(92:92,E28,93:93)-SUMIF(92:92,C28,93:93)+100</f>
        <v>100</v>
      </c>
      <c r="G28" s="414"/>
      <c r="H28" s="415">
        <f>SUMIF(92:92,G28,93:93)-SUMIF(92:92,C28,93:93)+100</f>
        <v>100</v>
      </c>
      <c r="I28" s="414"/>
      <c r="J28" s="415">
        <f>SUMIF(92:92,I28,93:93)-SUMIF(92:92,C28,93:93)+100</f>
        <v>100</v>
      </c>
      <c r="K28" s="2384"/>
      <c r="L28" s="1245"/>
      <c r="M28" s="1236"/>
      <c r="N28" s="1236"/>
      <c r="O28" s="1236"/>
      <c r="P28" s="3084"/>
      <c r="Q28" s="2751">
        <f t="shared" si="11"/>
        <v>111</v>
      </c>
      <c r="R28" s="752" t="s">
        <v>28</v>
      </c>
      <c r="S28" s="753">
        <f t="shared" ref="S28:S46" si="12">F28</f>
        <v>100</v>
      </c>
      <c r="T28" s="752" t="s">
        <v>28</v>
      </c>
      <c r="U28" s="753">
        <f t="shared" ref="U28:U46" si="13">H28</f>
        <v>100</v>
      </c>
      <c r="V28" s="752" t="s">
        <v>28</v>
      </c>
      <c r="W28" s="753">
        <f t="shared" ref="W28:W46" si="14">J28</f>
        <v>100</v>
      </c>
      <c r="X28" s="2749"/>
      <c r="Y28" s="3071"/>
      <c r="Z28" s="2750">
        <f t="shared" ref="Z28:Z46" si="15">Q28</f>
        <v>111</v>
      </c>
      <c r="AA28" s="2752">
        <f t="shared" si="3"/>
        <v>1</v>
      </c>
      <c r="AB28" s="2752">
        <f t="shared" si="4"/>
        <v>1</v>
      </c>
      <c r="AC28" s="2752">
        <f t="shared" si="5"/>
        <v>1</v>
      </c>
    </row>
    <row r="29" spans="1:29" ht="15">
      <c r="A29" s="408"/>
      <c r="B29" s="2396">
        <v>111</v>
      </c>
      <c r="C29" s="414"/>
      <c r="D29" s="415">
        <v>100</v>
      </c>
      <c r="E29" s="414"/>
      <c r="F29" s="442">
        <f>SUMIF(94:94,E29,95:95)-SUMIF(94:94,C29,95:95)+100</f>
        <v>100</v>
      </c>
      <c r="G29" s="414"/>
      <c r="H29" s="415">
        <f>SUMIF(94:94,G29,95:95)-SUMIF(94:94,C29,95:95)+100</f>
        <v>100</v>
      </c>
      <c r="I29" s="414"/>
      <c r="J29" s="415">
        <f>SUMIF(94:94,I29,95:95)-SUMIF(94:94,C29,95:95)+100</f>
        <v>100</v>
      </c>
      <c r="K29" s="2384"/>
      <c r="L29" s="1245"/>
      <c r="M29" s="1236"/>
      <c r="N29" s="1236"/>
      <c r="O29" s="1236"/>
      <c r="P29" s="3084"/>
      <c r="Q29" s="2751">
        <f t="shared" si="11"/>
        <v>111</v>
      </c>
      <c r="R29" s="752" t="s">
        <v>28</v>
      </c>
      <c r="S29" s="753">
        <f t="shared" si="12"/>
        <v>100</v>
      </c>
      <c r="T29" s="752" t="s">
        <v>28</v>
      </c>
      <c r="U29" s="753">
        <f t="shared" si="13"/>
        <v>100</v>
      </c>
      <c r="V29" s="752" t="s">
        <v>28</v>
      </c>
      <c r="W29" s="753">
        <f t="shared" si="14"/>
        <v>100</v>
      </c>
      <c r="X29" s="2749"/>
      <c r="Y29" s="3071"/>
      <c r="Z29" s="2750">
        <f t="shared" si="15"/>
        <v>111</v>
      </c>
      <c r="AA29" s="2752">
        <f t="shared" si="3"/>
        <v>1</v>
      </c>
      <c r="AB29" s="2752">
        <f t="shared" si="4"/>
        <v>1</v>
      </c>
      <c r="AC29" s="2752">
        <f t="shared" si="5"/>
        <v>1</v>
      </c>
    </row>
    <row r="30" spans="1:29" ht="15">
      <c r="A30" s="408"/>
      <c r="B30" s="2396">
        <v>111</v>
      </c>
      <c r="C30" s="414"/>
      <c r="D30" s="415">
        <v>100</v>
      </c>
      <c r="E30" s="414"/>
      <c r="F30" s="442">
        <f>SUMIF(96:96,E30,97:97)-SUMIF(96:96,C30,97:97)+100</f>
        <v>100</v>
      </c>
      <c r="G30" s="414"/>
      <c r="H30" s="415">
        <f>SUMIF(96:96,G30,97:97)-SUMIF(96:96,C30,97:97)+100</f>
        <v>100</v>
      </c>
      <c r="I30" s="414"/>
      <c r="J30" s="415">
        <f>SUMIF(96:96,I30,97:97)-SUMIF(96:96,C30,97:97)+100</f>
        <v>100</v>
      </c>
      <c r="K30" s="2384"/>
      <c r="L30" s="1245"/>
      <c r="M30" s="1236"/>
      <c r="N30" s="1236"/>
      <c r="O30" s="1236"/>
      <c r="P30" s="3084"/>
      <c r="Q30" s="2751">
        <f t="shared" si="11"/>
        <v>111</v>
      </c>
      <c r="R30" s="752" t="s">
        <v>28</v>
      </c>
      <c r="S30" s="753">
        <f t="shared" si="12"/>
        <v>100</v>
      </c>
      <c r="T30" s="752" t="s">
        <v>28</v>
      </c>
      <c r="U30" s="753">
        <f t="shared" si="13"/>
        <v>100</v>
      </c>
      <c r="V30" s="752" t="s">
        <v>28</v>
      </c>
      <c r="W30" s="753">
        <f t="shared" si="14"/>
        <v>100</v>
      </c>
      <c r="X30" s="2749"/>
      <c r="Y30" s="3071"/>
      <c r="Z30" s="2750">
        <f t="shared" si="15"/>
        <v>111</v>
      </c>
      <c r="AA30" s="2752">
        <f t="shared" si="3"/>
        <v>1</v>
      </c>
      <c r="AB30" s="2752">
        <f t="shared" si="4"/>
        <v>1</v>
      </c>
      <c r="AC30" s="2752">
        <f t="shared" si="5"/>
        <v>1</v>
      </c>
    </row>
    <row r="31" spans="1:29" ht="15.75" thickBot="1">
      <c r="A31" s="416"/>
      <c r="B31" s="2396">
        <v>111</v>
      </c>
      <c r="C31" s="2386"/>
      <c r="D31" s="417">
        <v>100</v>
      </c>
      <c r="E31" s="2386"/>
      <c r="F31" s="418">
        <f>SUMIF(98:98,E31,99:99)-SUMIF(98:98,C31,99:99)+100</f>
        <v>100</v>
      </c>
      <c r="G31" s="2386"/>
      <c r="H31" s="417">
        <f>SUMIF(98:98,G31,99:99)-SUMIF(98:98,C31,99:99)+100</f>
        <v>100</v>
      </c>
      <c r="I31" s="2386"/>
      <c r="J31" s="417">
        <f>SUMIF(98:98,I31,99:99)-SUMIF(98:98,C31,99:99)+100</f>
        <v>100</v>
      </c>
      <c r="K31" s="2384"/>
      <c r="L31" s="1245"/>
      <c r="M31" s="1236"/>
      <c r="N31" s="1236"/>
      <c r="O31" s="1236"/>
      <c r="P31" s="3084"/>
      <c r="Q31" s="2751">
        <f t="shared" si="11"/>
        <v>111</v>
      </c>
      <c r="R31" s="752" t="s">
        <v>28</v>
      </c>
      <c r="S31" s="753">
        <f t="shared" si="12"/>
        <v>100</v>
      </c>
      <c r="T31" s="752" t="s">
        <v>28</v>
      </c>
      <c r="U31" s="753">
        <f t="shared" si="13"/>
        <v>100</v>
      </c>
      <c r="V31" s="752" t="s">
        <v>28</v>
      </c>
      <c r="W31" s="753">
        <f t="shared" si="14"/>
        <v>100</v>
      </c>
      <c r="X31" s="2749"/>
      <c r="Y31" s="3071"/>
      <c r="Z31" s="2750">
        <f t="shared" si="15"/>
        <v>111</v>
      </c>
      <c r="AA31" s="2752">
        <f t="shared" si="3"/>
        <v>1</v>
      </c>
      <c r="AB31" s="2752">
        <f t="shared" si="4"/>
        <v>1</v>
      </c>
      <c r="AC31" s="2752">
        <f t="shared" si="5"/>
        <v>1</v>
      </c>
    </row>
    <row r="32" spans="1:29" ht="15">
      <c r="A32" s="419" t="s">
        <v>2353</v>
      </c>
      <c r="B32" s="28" t="s">
        <v>2354</v>
      </c>
      <c r="C32" s="2397" t="s">
        <v>2866</v>
      </c>
      <c r="D32" s="448">
        <v>100</v>
      </c>
      <c r="E32" s="2397" t="s">
        <v>2866</v>
      </c>
      <c r="F32" s="442">
        <f>SUMIF(100:100,E32,101:101)-SUMIF(100:100,C32,101:101)+100</f>
        <v>100</v>
      </c>
      <c r="G32" s="2397" t="s">
        <v>2866</v>
      </c>
      <c r="H32" s="448">
        <f>SUMIF(100:100,G32,101:101)-SUMIF(100:100,C32,101:101)+100</f>
        <v>100</v>
      </c>
      <c r="I32" s="2397" t="s">
        <v>2866</v>
      </c>
      <c r="J32" s="415">
        <f>SUMIF(100:100,I32,101:101)-SUMIF(100:100,C32,101:101)+100</f>
        <v>100</v>
      </c>
      <c r="K32" s="406">
        <v>2</v>
      </c>
      <c r="L32" s="1245"/>
      <c r="M32" s="1236"/>
      <c r="N32" s="1236"/>
      <c r="O32" s="1236"/>
      <c r="P32" s="3072" t="s">
        <v>2355</v>
      </c>
      <c r="Q32" s="2751" t="str">
        <f t="shared" si="11"/>
        <v>建筑类型</v>
      </c>
      <c r="R32" s="752" t="s">
        <v>28</v>
      </c>
      <c r="S32" s="753">
        <f t="shared" si="12"/>
        <v>100</v>
      </c>
      <c r="T32" s="752" t="s">
        <v>28</v>
      </c>
      <c r="U32" s="753">
        <f t="shared" si="13"/>
        <v>100</v>
      </c>
      <c r="V32" s="752" t="s">
        <v>28</v>
      </c>
      <c r="W32" s="753">
        <f t="shared" si="14"/>
        <v>100</v>
      </c>
      <c r="X32" s="2749"/>
      <c r="Y32" s="3075" t="s">
        <v>2355</v>
      </c>
      <c r="Z32" s="2750" t="str">
        <f t="shared" si="15"/>
        <v>建筑类型</v>
      </c>
      <c r="AA32" s="2752">
        <f t="shared" si="3"/>
        <v>1</v>
      </c>
      <c r="AB32" s="2752">
        <f t="shared" si="4"/>
        <v>1</v>
      </c>
      <c r="AC32" s="2752">
        <f t="shared" si="5"/>
        <v>1</v>
      </c>
    </row>
    <row r="33" spans="1:29" s="452" customFormat="1" ht="15">
      <c r="A33" s="449"/>
      <c r="B33" s="2748" t="s">
        <v>2356</v>
      </c>
      <c r="C33" s="450">
        <v>99.45</v>
      </c>
      <c r="D33" s="52">
        <v>100</v>
      </c>
      <c r="E33" s="450">
        <v>71</v>
      </c>
      <c r="F33" s="405">
        <f>LOOKUP(E33,103:103,104:104)-LOOKUP(C33,103:103,104:104)+100</f>
        <v>100</v>
      </c>
      <c r="G33" s="450">
        <v>74</v>
      </c>
      <c r="H33" s="52">
        <f>LOOKUP(G33,103:103,104:104)-LOOKUP(C33,103:103,104:104)+100</f>
        <v>100</v>
      </c>
      <c r="I33" s="450">
        <v>72</v>
      </c>
      <c r="J33" s="52">
        <f>LOOKUP(I33,103:103,104:104)-LOOKUP(C33,103:103,104:104)+100</f>
        <v>100</v>
      </c>
      <c r="K33" s="2384"/>
      <c r="L33" s="1243"/>
      <c r="M33" s="1246"/>
      <c r="N33" s="1246"/>
      <c r="O33" s="1246"/>
      <c r="P33" s="3073"/>
      <c r="Q33" s="754" t="str">
        <f t="shared" si="11"/>
        <v>项目建筑规模</v>
      </c>
      <c r="R33" s="755" t="s">
        <v>28</v>
      </c>
      <c r="S33" s="756">
        <f t="shared" si="12"/>
        <v>100</v>
      </c>
      <c r="T33" s="755" t="s">
        <v>28</v>
      </c>
      <c r="U33" s="756">
        <f t="shared" si="13"/>
        <v>100</v>
      </c>
      <c r="V33" s="755" t="s">
        <v>28</v>
      </c>
      <c r="W33" s="756">
        <f t="shared" si="14"/>
        <v>100</v>
      </c>
      <c r="X33" s="757"/>
      <c r="Y33" s="3075"/>
      <c r="Z33" s="758" t="str">
        <f t="shared" si="15"/>
        <v>项目建筑规模</v>
      </c>
      <c r="AA33" s="2752">
        <f t="shared" si="3"/>
        <v>1</v>
      </c>
      <c r="AB33" s="2752">
        <f t="shared" si="4"/>
        <v>1</v>
      </c>
      <c r="AC33" s="2752">
        <f t="shared" si="5"/>
        <v>1</v>
      </c>
    </row>
    <row r="34" spans="1:29" ht="15">
      <c r="A34" s="453"/>
      <c r="B34" s="2748" t="s">
        <v>2357</v>
      </c>
      <c r="C34" s="2398" t="s">
        <v>2867</v>
      </c>
      <c r="D34" s="415">
        <v>100</v>
      </c>
      <c r="E34" s="2398" t="s">
        <v>2867</v>
      </c>
      <c r="F34" s="442">
        <f>SUMIF(105:105,E34,106:106)-SUMIF(105:105,C34,106:106)+100</f>
        <v>100</v>
      </c>
      <c r="G34" s="2398" t="s">
        <v>2867</v>
      </c>
      <c r="H34" s="415">
        <f>SUMIF(105:105,G34,106:106)-SUMIF(105:105,C34,106:106)+100</f>
        <v>100</v>
      </c>
      <c r="I34" s="2398" t="s">
        <v>2867</v>
      </c>
      <c r="J34" s="415">
        <f>SUMIF(105:105,I34,106:106)-SUMIF(105:105,C34,106:106)+100</f>
        <v>100</v>
      </c>
      <c r="K34" s="406">
        <v>1</v>
      </c>
      <c r="L34" s="1245"/>
      <c r="M34" s="1236"/>
      <c r="N34" s="1236"/>
      <c r="O34" s="1236"/>
      <c r="P34" s="3073"/>
      <c r="Q34" s="2751" t="str">
        <f t="shared" si="11"/>
        <v>建筑结构</v>
      </c>
      <c r="R34" s="752" t="s">
        <v>28</v>
      </c>
      <c r="S34" s="753">
        <f t="shared" si="12"/>
        <v>100</v>
      </c>
      <c r="T34" s="752" t="s">
        <v>28</v>
      </c>
      <c r="U34" s="753">
        <f t="shared" si="13"/>
        <v>100</v>
      </c>
      <c r="V34" s="752" t="s">
        <v>28</v>
      </c>
      <c r="W34" s="753">
        <f t="shared" si="14"/>
        <v>100</v>
      </c>
      <c r="X34" s="2749"/>
      <c r="Y34" s="3075"/>
      <c r="Z34" s="2750" t="str">
        <f t="shared" si="15"/>
        <v>建筑结构</v>
      </c>
      <c r="AA34" s="2752">
        <f t="shared" si="3"/>
        <v>1</v>
      </c>
      <c r="AB34" s="2752">
        <f t="shared" si="4"/>
        <v>1</v>
      </c>
      <c r="AC34" s="2752">
        <f t="shared" si="5"/>
        <v>1</v>
      </c>
    </row>
    <row r="35" spans="1:29" ht="15">
      <c r="A35" s="453"/>
      <c r="B35" s="2748" t="s">
        <v>2358</v>
      </c>
      <c r="C35" s="2395"/>
      <c r="D35" s="415">
        <v>100</v>
      </c>
      <c r="E35" s="2395"/>
      <c r="F35" s="442">
        <f>SUMIF(107:107,E35,108:108)-SUMIF(107:107,C35,108:108)+100</f>
        <v>100</v>
      </c>
      <c r="G35" s="2395"/>
      <c r="H35" s="415">
        <f>SUMIF(107:107,G35,108:108)-SUMIF(107:107,C35,108:108)+100</f>
        <v>100</v>
      </c>
      <c r="I35" s="2395"/>
      <c r="J35" s="415">
        <f>SUMIF(107:107,I35,108:108)-SUMIF(107:107,C35,108:108)+100</f>
        <v>100</v>
      </c>
      <c r="K35" s="406">
        <v>1</v>
      </c>
      <c r="L35" s="1245"/>
      <c r="M35" s="1236"/>
      <c r="N35" s="1236"/>
      <c r="O35" s="1236"/>
      <c r="P35" s="3073"/>
      <c r="Q35" s="2751" t="str">
        <f t="shared" si="11"/>
        <v>建筑品质</v>
      </c>
      <c r="R35" s="752" t="s">
        <v>28</v>
      </c>
      <c r="S35" s="753">
        <f t="shared" si="12"/>
        <v>100</v>
      </c>
      <c r="T35" s="752" t="s">
        <v>28</v>
      </c>
      <c r="U35" s="753">
        <f t="shared" si="13"/>
        <v>100</v>
      </c>
      <c r="V35" s="752" t="s">
        <v>28</v>
      </c>
      <c r="W35" s="753">
        <f t="shared" si="14"/>
        <v>100</v>
      </c>
      <c r="X35" s="2749"/>
      <c r="Y35" s="3075"/>
      <c r="Z35" s="2750" t="str">
        <f t="shared" si="15"/>
        <v>建筑品质</v>
      </c>
      <c r="AA35" s="2752">
        <f t="shared" si="3"/>
        <v>1</v>
      </c>
      <c r="AB35" s="2752">
        <f t="shared" si="4"/>
        <v>1</v>
      </c>
      <c r="AC35" s="2752">
        <f t="shared" si="5"/>
        <v>1</v>
      </c>
    </row>
    <row r="36" spans="1:29" ht="15">
      <c r="A36" s="453"/>
      <c r="B36" s="2748" t="s">
        <v>2359</v>
      </c>
      <c r="C36" s="2395" t="s">
        <v>2868</v>
      </c>
      <c r="D36" s="415">
        <v>100</v>
      </c>
      <c r="E36" s="2395" t="s">
        <v>2868</v>
      </c>
      <c r="F36" s="442">
        <f>SUMIF(109:109,E36,110:110)-SUMIF(109:109,C36,110:110)+100</f>
        <v>100</v>
      </c>
      <c r="G36" s="2395" t="s">
        <v>2868</v>
      </c>
      <c r="H36" s="415">
        <f>SUMIF(109:109,G36,110:110)-SUMIF(109:109,C36,110:110)+100</f>
        <v>100</v>
      </c>
      <c r="I36" s="2395" t="s">
        <v>2868</v>
      </c>
      <c r="J36" s="415">
        <f>SUMIF(109:109,I36,110:110)-SUMIF(109:109,C36,110:110)+100</f>
        <v>100</v>
      </c>
      <c r="K36" s="406">
        <v>1</v>
      </c>
      <c r="L36" s="1245"/>
      <c r="M36" s="1236"/>
      <c r="N36" s="1236"/>
      <c r="O36" s="1236"/>
      <c r="P36" s="3073"/>
      <c r="Q36" s="2751" t="str">
        <f t="shared" si="11"/>
        <v>公共部分装修</v>
      </c>
      <c r="R36" s="752" t="s">
        <v>28</v>
      </c>
      <c r="S36" s="753">
        <f t="shared" si="12"/>
        <v>100</v>
      </c>
      <c r="T36" s="752" t="s">
        <v>28</v>
      </c>
      <c r="U36" s="753">
        <f t="shared" si="13"/>
        <v>100</v>
      </c>
      <c r="V36" s="752" t="s">
        <v>28</v>
      </c>
      <c r="W36" s="753">
        <f t="shared" si="14"/>
        <v>100</v>
      </c>
      <c r="X36" s="2749"/>
      <c r="Y36" s="3075"/>
      <c r="Z36" s="2750" t="str">
        <f t="shared" si="15"/>
        <v>公共部分装修</v>
      </c>
      <c r="AA36" s="2752">
        <f t="shared" si="3"/>
        <v>1</v>
      </c>
      <c r="AB36" s="2752">
        <f t="shared" si="4"/>
        <v>1</v>
      </c>
      <c r="AC36" s="2752">
        <f t="shared" si="5"/>
        <v>1</v>
      </c>
    </row>
    <row r="37" spans="1:29" s="35" customFormat="1" ht="15">
      <c r="A37" s="454"/>
      <c r="B37" s="2748" t="s">
        <v>2360</v>
      </c>
      <c r="C37" s="455">
        <f>'数据-取费表'!E20</f>
        <v>0.75</v>
      </c>
      <c r="D37" s="52">
        <v>100</v>
      </c>
      <c r="E37" s="455">
        <f>C37</f>
        <v>0.75</v>
      </c>
      <c r="F37" s="405">
        <f>LOOKUP(E37,112:112,113:113)-LOOKUP(C37,112:112,113:113)+100</f>
        <v>100</v>
      </c>
      <c r="G37" s="455">
        <f>E37</f>
        <v>0.75</v>
      </c>
      <c r="H37" s="52">
        <f>LOOKUP(G37,112:112,113:113)-LOOKUP(C37,112:112,113:113)+100</f>
        <v>100</v>
      </c>
      <c r="I37" s="455">
        <f>G37</f>
        <v>0.75</v>
      </c>
      <c r="J37" s="52">
        <f>LOOKUP(I37,112:112,113:113)-LOOKUP(C37,112:112,113:113)+100</f>
        <v>100</v>
      </c>
      <c r="K37" s="406">
        <v>1</v>
      </c>
      <c r="L37" s="1237"/>
      <c r="M37" s="1238"/>
      <c r="N37" s="1238"/>
      <c r="O37" s="1238"/>
      <c r="P37" s="3073"/>
      <c r="Q37" s="2747" t="str">
        <f t="shared" si="11"/>
        <v>成新度</v>
      </c>
      <c r="R37" s="748" t="s">
        <v>28</v>
      </c>
      <c r="S37" s="749">
        <f t="shared" si="12"/>
        <v>100</v>
      </c>
      <c r="T37" s="748" t="s">
        <v>28</v>
      </c>
      <c r="U37" s="749">
        <f t="shared" si="13"/>
        <v>100</v>
      </c>
      <c r="V37" s="748" t="s">
        <v>28</v>
      </c>
      <c r="W37" s="749">
        <f t="shared" si="14"/>
        <v>100</v>
      </c>
      <c r="X37" s="750"/>
      <c r="Y37" s="3075"/>
      <c r="Z37" s="23" t="str">
        <f t="shared" si="15"/>
        <v>成新度</v>
      </c>
      <c r="AA37" s="751">
        <f t="shared" si="3"/>
        <v>1</v>
      </c>
      <c r="AB37" s="751">
        <f t="shared" si="4"/>
        <v>1</v>
      </c>
      <c r="AC37" s="751">
        <f t="shared" si="5"/>
        <v>1</v>
      </c>
    </row>
    <row r="38" spans="1:29" ht="15">
      <c r="A38" s="453"/>
      <c r="B38" s="2748" t="s">
        <v>2361</v>
      </c>
      <c r="C38" s="2395" t="s">
        <v>2869</v>
      </c>
      <c r="D38" s="415">
        <v>100</v>
      </c>
      <c r="E38" s="2395" t="s">
        <v>2869</v>
      </c>
      <c r="F38" s="442">
        <f>SUMIF(114:114,E38,115:115)-SUMIF(114:114,C38,115:115)+100</f>
        <v>100</v>
      </c>
      <c r="G38" s="2395" t="s">
        <v>2869</v>
      </c>
      <c r="H38" s="415">
        <f>SUMIF(114:114,G38,115:115)-SUMIF(114:114,C38,115:115)+100</f>
        <v>100</v>
      </c>
      <c r="I38" s="2395" t="s">
        <v>2869</v>
      </c>
      <c r="J38" s="415">
        <f>SUMIF(114:114,I38,115:115)-SUMIF(114:114,C38,115:115)+100</f>
        <v>100</v>
      </c>
      <c r="K38" s="406">
        <v>1</v>
      </c>
      <c r="L38" s="1245"/>
      <c r="M38" s="1236"/>
      <c r="N38" s="1236"/>
      <c r="O38" s="1236"/>
      <c r="P38" s="3073" t="s">
        <v>2355</v>
      </c>
      <c r="Q38" s="2751" t="str">
        <f t="shared" si="11"/>
        <v>物业管理</v>
      </c>
      <c r="R38" s="752" t="s">
        <v>28</v>
      </c>
      <c r="S38" s="753">
        <f t="shared" si="12"/>
        <v>100</v>
      </c>
      <c r="T38" s="752" t="s">
        <v>28</v>
      </c>
      <c r="U38" s="753">
        <f t="shared" si="13"/>
        <v>100</v>
      </c>
      <c r="V38" s="752" t="s">
        <v>28</v>
      </c>
      <c r="W38" s="753">
        <f t="shared" si="14"/>
        <v>100</v>
      </c>
      <c r="X38" s="2749"/>
      <c r="Y38" s="3075" t="s">
        <v>2355</v>
      </c>
      <c r="Z38" s="2750" t="str">
        <f t="shared" si="15"/>
        <v>物业管理</v>
      </c>
      <c r="AA38" s="2752">
        <f t="shared" si="3"/>
        <v>1</v>
      </c>
      <c r="AB38" s="2752">
        <f t="shared" si="4"/>
        <v>1</v>
      </c>
      <c r="AC38" s="2752">
        <f t="shared" si="5"/>
        <v>1</v>
      </c>
    </row>
    <row r="39" spans="1:29" ht="15">
      <c r="A39" s="453"/>
      <c r="B39" s="2748" t="s">
        <v>2362</v>
      </c>
      <c r="C39" s="2395" t="s">
        <v>2854</v>
      </c>
      <c r="D39" s="415">
        <v>100</v>
      </c>
      <c r="E39" s="2395" t="s">
        <v>2854</v>
      </c>
      <c r="F39" s="442">
        <f>SUMIF(116:116,E39,117:117)-SUMIF(116:116,C39,117:117)+100</f>
        <v>100</v>
      </c>
      <c r="G39" s="2395" t="s">
        <v>2854</v>
      </c>
      <c r="H39" s="415">
        <f>SUMIF(116:116,G39,117:117)-SUMIF(116:116,C39,117:117)+100</f>
        <v>100</v>
      </c>
      <c r="I39" s="2395" t="s">
        <v>2854</v>
      </c>
      <c r="J39" s="415">
        <f>SUMIF(116:116,I39,117:117)-SUMIF(116:116,C39,117:117)+100</f>
        <v>100</v>
      </c>
      <c r="K39" s="406">
        <v>1</v>
      </c>
      <c r="L39" s="1245"/>
      <c r="M39" s="1236"/>
      <c r="N39" s="1236"/>
      <c r="O39" s="1236"/>
      <c r="P39" s="3073"/>
      <c r="Q39" s="2751" t="str">
        <f t="shared" si="11"/>
        <v>市政基础设施</v>
      </c>
      <c r="R39" s="752" t="s">
        <v>28</v>
      </c>
      <c r="S39" s="753">
        <f t="shared" si="12"/>
        <v>100</v>
      </c>
      <c r="T39" s="752" t="s">
        <v>28</v>
      </c>
      <c r="U39" s="753">
        <f t="shared" si="13"/>
        <v>100</v>
      </c>
      <c r="V39" s="752" t="s">
        <v>28</v>
      </c>
      <c r="W39" s="753">
        <f t="shared" si="14"/>
        <v>100</v>
      </c>
      <c r="X39" s="2749"/>
      <c r="Y39" s="3075"/>
      <c r="Z39" s="2750" t="str">
        <f t="shared" si="15"/>
        <v>市政基础设施</v>
      </c>
      <c r="AA39" s="2752">
        <f t="shared" si="3"/>
        <v>1</v>
      </c>
      <c r="AB39" s="2752">
        <f t="shared" si="4"/>
        <v>1</v>
      </c>
      <c r="AC39" s="2752">
        <f t="shared" si="5"/>
        <v>1</v>
      </c>
    </row>
    <row r="40" spans="1:29" ht="15">
      <c r="A40" s="453"/>
      <c r="B40" s="2748" t="s">
        <v>2363</v>
      </c>
      <c r="C40" s="2395"/>
      <c r="D40" s="415">
        <v>100</v>
      </c>
      <c r="E40" s="2395"/>
      <c r="F40" s="442">
        <f>SUMIF(118:118,E40,119:119)-SUMIF(118:118,C40,119:119)+100</f>
        <v>100</v>
      </c>
      <c r="G40" s="2395"/>
      <c r="H40" s="415">
        <f>SUMIF(118:118,G40,119:119)-SUMIF(118:118,C40,119:119)+100</f>
        <v>100</v>
      </c>
      <c r="I40" s="2395"/>
      <c r="J40" s="415">
        <f>SUMIF(118:118,I40,119:119)-SUMIF(118:118,C40,119:119)+100</f>
        <v>100</v>
      </c>
      <c r="K40" s="406"/>
      <c r="L40" s="1245"/>
      <c r="M40" s="1236"/>
      <c r="N40" s="1236"/>
      <c r="O40" s="1236"/>
      <c r="P40" s="3073"/>
      <c r="Q40" s="2751" t="str">
        <f t="shared" si="11"/>
        <v>房型</v>
      </c>
      <c r="R40" s="752" t="s">
        <v>28</v>
      </c>
      <c r="S40" s="753">
        <f t="shared" si="12"/>
        <v>100</v>
      </c>
      <c r="T40" s="752" t="s">
        <v>28</v>
      </c>
      <c r="U40" s="753">
        <f t="shared" si="13"/>
        <v>100</v>
      </c>
      <c r="V40" s="752" t="s">
        <v>28</v>
      </c>
      <c r="W40" s="753">
        <f t="shared" si="14"/>
        <v>100</v>
      </c>
      <c r="X40" s="2749"/>
      <c r="Y40" s="3075"/>
      <c r="Z40" s="2750" t="str">
        <f t="shared" si="15"/>
        <v>房型</v>
      </c>
      <c r="AA40" s="2752">
        <f t="shared" si="3"/>
        <v>1</v>
      </c>
      <c r="AB40" s="2752">
        <f t="shared" si="4"/>
        <v>1</v>
      </c>
      <c r="AC40" s="2752">
        <f t="shared" si="5"/>
        <v>1</v>
      </c>
    </row>
    <row r="41" spans="1:29" s="452" customFormat="1" ht="28.5">
      <c r="A41" s="449"/>
      <c r="B41" s="2748" t="s">
        <v>2364</v>
      </c>
      <c r="C41" s="450"/>
      <c r="D41" s="52">
        <v>100</v>
      </c>
      <c r="E41" s="450"/>
      <c r="F41" s="405">
        <f>SUMIF(120:120,E41,121:121)-SUMIF(120:120,C41,121:121)+100</f>
        <v>100</v>
      </c>
      <c r="G41" s="450"/>
      <c r="H41" s="52">
        <f>SUMIF(120:120,G41,121:121)-SUMIF(120:120,C41,121:121)+100</f>
        <v>100</v>
      </c>
      <c r="I41" s="450"/>
      <c r="J41" s="415">
        <f>SUMIF(120:120,I41,121:121)-SUMIF(120:120,C41,121:121)+100</f>
        <v>100</v>
      </c>
      <c r="K41" s="2384"/>
      <c r="L41" s="1243"/>
      <c r="M41" s="1246"/>
      <c r="N41" s="1246"/>
      <c r="O41" s="1246"/>
      <c r="P41" s="3073"/>
      <c r="Q41" s="754" t="str">
        <f t="shared" si="11"/>
        <v>单套/主力户型建筑面积</v>
      </c>
      <c r="R41" s="755" t="s">
        <v>28</v>
      </c>
      <c r="S41" s="756">
        <f t="shared" si="12"/>
        <v>100</v>
      </c>
      <c r="T41" s="755" t="s">
        <v>28</v>
      </c>
      <c r="U41" s="756">
        <f t="shared" si="13"/>
        <v>100</v>
      </c>
      <c r="V41" s="755" t="s">
        <v>28</v>
      </c>
      <c r="W41" s="756">
        <f t="shared" si="14"/>
        <v>100</v>
      </c>
      <c r="X41" s="757"/>
      <c r="Y41" s="3075"/>
      <c r="Z41" s="758" t="str">
        <f t="shared" si="15"/>
        <v>单套/主力户型建筑面积</v>
      </c>
      <c r="AA41" s="2752">
        <f t="shared" si="3"/>
        <v>1</v>
      </c>
      <c r="AB41" s="2752">
        <f t="shared" si="4"/>
        <v>1</v>
      </c>
      <c r="AC41" s="2752">
        <f t="shared" si="5"/>
        <v>1</v>
      </c>
    </row>
    <row r="42" spans="1:29" ht="15">
      <c r="A42" s="453"/>
      <c r="B42" s="2748" t="s">
        <v>2365</v>
      </c>
      <c r="C42" s="2395" t="s">
        <v>2870</v>
      </c>
      <c r="D42" s="415">
        <v>100</v>
      </c>
      <c r="E42" s="2395" t="s">
        <v>2872</v>
      </c>
      <c r="F42" s="442">
        <f>SUMIF(122:122,E42,123:123)-SUMIF(122:122,C42,123:123)+100</f>
        <v>109</v>
      </c>
      <c r="G42" s="2395" t="s">
        <v>2872</v>
      </c>
      <c r="H42" s="415">
        <f>SUMIF(122:122,G42,123:123)-SUMIF(122:122,C42,123:123)+100</f>
        <v>109</v>
      </c>
      <c r="I42" s="2395" t="s">
        <v>2872</v>
      </c>
      <c r="J42" s="415">
        <f>SUMIF(122:122,I42,123:123)-SUMIF(122:122,C42,123:123)+100</f>
        <v>109</v>
      </c>
      <c r="K42" s="406">
        <v>9</v>
      </c>
      <c r="L42" s="1245"/>
      <c r="M42" s="1236"/>
      <c r="N42" s="1236"/>
      <c r="O42" s="1236"/>
      <c r="P42" s="3073"/>
      <c r="Q42" s="2751" t="str">
        <f t="shared" si="11"/>
        <v>内部装修</v>
      </c>
      <c r="R42" s="752" t="s">
        <v>28</v>
      </c>
      <c r="S42" s="753">
        <f t="shared" si="12"/>
        <v>109</v>
      </c>
      <c r="T42" s="752" t="s">
        <v>28</v>
      </c>
      <c r="U42" s="753">
        <f t="shared" si="13"/>
        <v>109</v>
      </c>
      <c r="V42" s="752" t="s">
        <v>28</v>
      </c>
      <c r="W42" s="753">
        <f t="shared" si="14"/>
        <v>109</v>
      </c>
      <c r="X42" s="2749"/>
      <c r="Y42" s="3075"/>
      <c r="Z42" s="2750" t="str">
        <f t="shared" si="15"/>
        <v>内部装修</v>
      </c>
      <c r="AA42" s="2752">
        <f t="shared" si="3"/>
        <v>0.91743119266055051</v>
      </c>
      <c r="AB42" s="2752">
        <f t="shared" si="4"/>
        <v>0.91743119266055051</v>
      </c>
      <c r="AC42" s="2752">
        <f t="shared" si="5"/>
        <v>0.91743119266055051</v>
      </c>
    </row>
    <row r="43" spans="1:29" ht="15">
      <c r="A43" s="453"/>
      <c r="B43" s="2748" t="s">
        <v>2366</v>
      </c>
      <c r="C43" s="2395" t="s">
        <v>30</v>
      </c>
      <c r="D43" s="415">
        <v>100</v>
      </c>
      <c r="E43" s="2395" t="s">
        <v>30</v>
      </c>
      <c r="F43" s="442">
        <f>SUMIF(124:124,E43,125:125)-SUMIF(124:124,C43,125:125)+100</f>
        <v>100</v>
      </c>
      <c r="G43" s="2395" t="s">
        <v>30</v>
      </c>
      <c r="H43" s="415">
        <f>SUMIF(124:124,G43,125:125)-SUMIF(124:124,C43,125:125)+100</f>
        <v>100</v>
      </c>
      <c r="I43" s="2395" t="s">
        <v>30</v>
      </c>
      <c r="J43" s="415">
        <f>SUMIF(124:124,I43,125:125)-SUMIF(124:124,C43,125:125)+100</f>
        <v>100</v>
      </c>
      <c r="K43" s="406">
        <v>4</v>
      </c>
      <c r="L43" s="1245"/>
      <c r="M43" s="1236"/>
      <c r="N43" s="1236"/>
      <c r="O43" s="1236"/>
      <c r="P43" s="3073"/>
      <c r="Q43" s="2751" t="str">
        <f t="shared" si="11"/>
        <v>内部装修维护情况</v>
      </c>
      <c r="R43" s="752" t="s">
        <v>28</v>
      </c>
      <c r="S43" s="753">
        <f t="shared" si="12"/>
        <v>100</v>
      </c>
      <c r="T43" s="752" t="s">
        <v>28</v>
      </c>
      <c r="U43" s="753">
        <f t="shared" si="13"/>
        <v>100</v>
      </c>
      <c r="V43" s="752" t="s">
        <v>28</v>
      </c>
      <c r="W43" s="753">
        <f t="shared" si="14"/>
        <v>100</v>
      </c>
      <c r="X43" s="2749"/>
      <c r="Y43" s="3075"/>
      <c r="Z43" s="2750" t="str">
        <f t="shared" si="15"/>
        <v>内部装修维护情况</v>
      </c>
      <c r="AA43" s="2752">
        <f t="shared" si="3"/>
        <v>1</v>
      </c>
      <c r="AB43" s="2752">
        <f t="shared" si="4"/>
        <v>1</v>
      </c>
      <c r="AC43" s="2752">
        <f t="shared" si="5"/>
        <v>1</v>
      </c>
    </row>
    <row r="44" spans="1:29" s="35" customFormat="1" ht="15">
      <c r="A44" s="454"/>
      <c r="B44" s="239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4"/>
      <c r="L44" s="1237"/>
      <c r="M44" s="1238"/>
      <c r="N44" s="1238"/>
      <c r="O44" s="1238"/>
      <c r="P44" s="3073"/>
      <c r="Q44" s="2747">
        <f t="shared" si="11"/>
        <v>111</v>
      </c>
      <c r="R44" s="748" t="s">
        <v>28</v>
      </c>
      <c r="S44" s="749">
        <f t="shared" si="12"/>
        <v>100</v>
      </c>
      <c r="T44" s="748" t="s">
        <v>28</v>
      </c>
      <c r="U44" s="749">
        <f t="shared" si="13"/>
        <v>100</v>
      </c>
      <c r="V44" s="748" t="s">
        <v>28</v>
      </c>
      <c r="W44" s="749">
        <f t="shared" si="14"/>
        <v>100</v>
      </c>
      <c r="X44" s="750"/>
      <c r="Y44" s="3075"/>
      <c r="Z44" s="23">
        <f t="shared" si="15"/>
        <v>111</v>
      </c>
      <c r="AA44" s="751">
        <f t="shared" si="3"/>
        <v>1</v>
      </c>
      <c r="AB44" s="751">
        <f t="shared" si="4"/>
        <v>1</v>
      </c>
      <c r="AC44" s="751">
        <f t="shared" si="5"/>
        <v>1</v>
      </c>
    </row>
    <row r="45" spans="1:29" ht="15">
      <c r="A45" s="453"/>
      <c r="B45" s="239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4"/>
      <c r="L45" s="1245"/>
      <c r="M45" s="1236"/>
      <c r="N45" s="1236"/>
      <c r="O45" s="1236"/>
      <c r="P45" s="3073"/>
      <c r="Q45" s="2751">
        <f t="shared" si="11"/>
        <v>111</v>
      </c>
      <c r="R45" s="752" t="s">
        <v>28</v>
      </c>
      <c r="S45" s="753">
        <f t="shared" si="12"/>
        <v>100</v>
      </c>
      <c r="T45" s="752" t="s">
        <v>28</v>
      </c>
      <c r="U45" s="753">
        <f t="shared" si="13"/>
        <v>100</v>
      </c>
      <c r="V45" s="752" t="s">
        <v>28</v>
      </c>
      <c r="W45" s="753">
        <f t="shared" si="14"/>
        <v>100</v>
      </c>
      <c r="X45" s="2749"/>
      <c r="Y45" s="3075"/>
      <c r="Z45" s="2750">
        <f t="shared" si="15"/>
        <v>111</v>
      </c>
      <c r="AA45" s="2752">
        <f t="shared" si="3"/>
        <v>1</v>
      </c>
      <c r="AB45" s="2752">
        <f t="shared" si="4"/>
        <v>1</v>
      </c>
      <c r="AC45" s="2752">
        <f t="shared" si="5"/>
        <v>1</v>
      </c>
    </row>
    <row r="46" spans="1:29" ht="15.75" thickBot="1">
      <c r="A46" s="459"/>
      <c r="B46" s="2385">
        <v>111</v>
      </c>
      <c r="C46" s="2386"/>
      <c r="D46" s="417">
        <v>100</v>
      </c>
      <c r="E46" s="2386"/>
      <c r="F46" s="418">
        <f>SUMIF(130:130,E46,131:131)-SUMIF(130:130,C46,131:131)+100</f>
        <v>100</v>
      </c>
      <c r="G46" s="2386"/>
      <c r="H46" s="417">
        <f>SUMIF(130:130,G46,131:131)-SUMIF(130:130,C46,131:131)+100</f>
        <v>100</v>
      </c>
      <c r="I46" s="2386"/>
      <c r="J46" s="417">
        <f>SUMIF(130:130,I46,131:131)-SUMIF(130:130,C46,131:131)+100</f>
        <v>100</v>
      </c>
      <c r="K46" s="2384"/>
      <c r="L46" s="1245"/>
      <c r="M46" s="1236"/>
      <c r="N46" s="1236"/>
      <c r="O46" s="1236"/>
      <c r="P46" s="3074"/>
      <c r="Q46" s="2751">
        <f t="shared" si="11"/>
        <v>111</v>
      </c>
      <c r="R46" s="752" t="s">
        <v>27</v>
      </c>
      <c r="S46" s="753">
        <f t="shared" si="12"/>
        <v>100</v>
      </c>
      <c r="T46" s="752" t="s">
        <v>27</v>
      </c>
      <c r="U46" s="753">
        <f t="shared" si="13"/>
        <v>100</v>
      </c>
      <c r="V46" s="752" t="s">
        <v>27</v>
      </c>
      <c r="W46" s="753">
        <f t="shared" si="14"/>
        <v>100</v>
      </c>
      <c r="X46" s="2749"/>
      <c r="Y46" s="3076"/>
      <c r="Z46" s="2750">
        <f t="shared" si="15"/>
        <v>111</v>
      </c>
      <c r="AA46" s="2752">
        <f t="shared" si="3"/>
        <v>1</v>
      </c>
      <c r="AB46" s="2752">
        <f t="shared" si="4"/>
        <v>1</v>
      </c>
      <c r="AC46" s="2752">
        <f t="shared" si="5"/>
        <v>1</v>
      </c>
    </row>
    <row r="47" spans="1:29" ht="15">
      <c r="A47" s="460" t="s">
        <v>2367</v>
      </c>
      <c r="B47" s="461"/>
      <c r="C47" s="1494" t="s">
        <v>26</v>
      </c>
      <c r="D47" s="1495"/>
      <c r="E47" s="1496">
        <v>2100</v>
      </c>
      <c r="F47" s="1497"/>
      <c r="G47" s="1498">
        <v>2200</v>
      </c>
      <c r="H47" s="1499"/>
      <c r="I47" s="1496">
        <v>2100</v>
      </c>
      <c r="J47" s="1499"/>
      <c r="K47" s="2400"/>
      <c r="L47" s="1248"/>
      <c r="M47" s="1249"/>
      <c r="N47" s="1236"/>
      <c r="O47" s="1249"/>
      <c r="P47" s="3081" t="str">
        <f>A47</f>
        <v>成交单价（元/平方米）</v>
      </c>
      <c r="Q47" s="3081"/>
      <c r="R47" s="3082">
        <f>E47</f>
        <v>2100</v>
      </c>
      <c r="S47" s="3082"/>
      <c r="T47" s="3082">
        <f>G47</f>
        <v>2200</v>
      </c>
      <c r="U47" s="3082"/>
      <c r="V47" s="3082">
        <f>I47</f>
        <v>2100</v>
      </c>
      <c r="W47" s="3082"/>
      <c r="X47" s="737"/>
      <c r="Y47" s="759"/>
      <c r="Z47" s="737"/>
      <c r="AA47" s="737"/>
      <c r="AB47" s="737"/>
      <c r="AC47" s="737"/>
    </row>
    <row r="48" spans="1:29" ht="15.75" thickBot="1">
      <c r="A48" s="467" t="s">
        <v>2368</v>
      </c>
      <c r="B48" s="468"/>
      <c r="C48" s="2770">
        <f>R49</f>
        <v>2000.6</v>
      </c>
      <c r="D48" s="2771"/>
      <c r="E48" s="2772">
        <f>R48</f>
        <v>1955.9</v>
      </c>
      <c r="F48" s="2772"/>
      <c r="G48" s="2770">
        <f>T48</f>
        <v>2049.1</v>
      </c>
      <c r="H48" s="2771"/>
      <c r="I48" s="2772">
        <f>V48</f>
        <v>1996.9</v>
      </c>
      <c r="J48" s="2771"/>
      <c r="K48" s="2401"/>
      <c r="L48" s="1248"/>
      <c r="M48" s="1249"/>
      <c r="N48" s="1249"/>
      <c r="O48" s="1249"/>
      <c r="P48" s="3081" t="str">
        <f>A48</f>
        <v>比较价值（元/平方米）</v>
      </c>
      <c r="Q48" s="3081"/>
      <c r="R48" s="3082">
        <f>IF(E1="售价",ROUND(PRODUCT(R47,AA7:AA46),0),ROUND(PRODUCT(R47,AA7:AA46),1))</f>
        <v>1955.9</v>
      </c>
      <c r="S48" s="3082"/>
      <c r="T48" s="3085">
        <f>IF(E1="售价",ROUND(PRODUCT(T47,AB7:AB46),0),ROUND(PRODUCT(T47,AB7:AB46),1))</f>
        <v>2049.1</v>
      </c>
      <c r="U48" s="3086"/>
      <c r="V48" s="3082">
        <f>IF(E1="售价",ROUND(PRODUCT(V47,AC7:AC46),0),ROUND(PRODUCT(V47,AC7:AC46),1))</f>
        <v>1996.9</v>
      </c>
      <c r="W48" s="3082"/>
      <c r="X48" s="737"/>
      <c r="Y48" s="737"/>
      <c r="Z48" s="737"/>
      <c r="AA48" s="737"/>
      <c r="AB48" s="737"/>
      <c r="AC48" s="737"/>
    </row>
    <row r="49" spans="1:29" ht="15.75" thickBot="1">
      <c r="A49" s="473" t="s">
        <v>2369</v>
      </c>
      <c r="B49" s="474"/>
      <c r="C49" s="2773">
        <f>R49</f>
        <v>2000.6</v>
      </c>
      <c r="D49" s="2774"/>
      <c r="E49" s="2774"/>
      <c r="F49" s="2774"/>
      <c r="G49" s="2774"/>
      <c r="H49" s="2774"/>
      <c r="I49" s="2774"/>
      <c r="J49" s="2774"/>
      <c r="K49" s="2402"/>
      <c r="L49" s="1248"/>
      <c r="M49" s="1249"/>
      <c r="N49" s="1249"/>
      <c r="O49" s="1249"/>
      <c r="P49" s="3087" t="str">
        <f>A49</f>
        <v>估价对象XX用房的比较价值（楼面单价，元/平方米）</v>
      </c>
      <c r="Q49" s="3088"/>
      <c r="R49" s="3089">
        <f>IF(E1="售价",ROUND(AVERAGE(R48:V48),0),ROUND(AVERAGE(R48:V48),1))</f>
        <v>2000.6</v>
      </c>
      <c r="S49" s="3089"/>
      <c r="T49" s="3089"/>
      <c r="U49" s="3089"/>
      <c r="V49" s="3089"/>
      <c r="W49" s="3089"/>
      <c r="X49" s="737"/>
      <c r="Y49" s="737"/>
      <c r="Z49" s="737"/>
      <c r="AA49" s="737"/>
      <c r="AB49" s="737"/>
      <c r="AC49" s="737"/>
    </row>
    <row r="50" spans="1:29">
      <c r="A50" s="1249"/>
      <c r="B50" s="1249"/>
      <c r="C50" s="1249">
        <v>1</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2370</v>
      </c>
      <c r="D52" s="479"/>
      <c r="E52" s="480">
        <f>IF(E47&lt;E48,E48/E47-1,E47/E48-1)</f>
        <v>7.3674523237384326E-2</v>
      </c>
      <c r="F52" s="481" t="str">
        <f>IF(OR(E52&gt;=0.3,E52&lt;=-0.3),"超过30%","")</f>
        <v/>
      </c>
      <c r="G52" s="480">
        <f>IF(G47&lt;G48,G48/G47-1,G47/G48-1)</f>
        <v>7.3642086769801329E-2</v>
      </c>
      <c r="H52" s="481" t="str">
        <f>IF(OR(G52&gt;=0.3,G52&lt;=-0.3),"超过30%","")</f>
        <v/>
      </c>
      <c r="I52" s="480">
        <f>IF(I47&lt;I48,I48/I47-1,I47/I48-1)</f>
        <v>5.1630026541138685E-2</v>
      </c>
      <c r="J52" s="481" t="str">
        <f>IF(OR(I52&gt;=0.3,I52&lt;=-0.3),"超过30%","")</f>
        <v/>
      </c>
      <c r="K52" s="1254"/>
      <c r="L52" s="1250"/>
      <c r="M52" s="1249"/>
      <c r="N52" s="1249"/>
      <c r="O52" s="1249"/>
    </row>
    <row r="53" spans="1:29" ht="13.5" customHeight="1">
      <c r="A53" s="1249"/>
      <c r="B53" s="1249"/>
      <c r="C53" s="478" t="s">
        <v>2371</v>
      </c>
      <c r="D53" s="482"/>
      <c r="E53" s="480">
        <f>IF(E48&lt;G48,G48/E48-1,E48/G48-1)</f>
        <v>4.7650697888440119E-2</v>
      </c>
      <c r="F53" s="481" t="str">
        <f>IF(OR(E53&gt;=0.2,E53&lt;=-0.2),"超过20%","")</f>
        <v/>
      </c>
      <c r="G53" s="480">
        <f>IF(G48&lt;I48,I48/G48-1,G48/I48-1)</f>
        <v>2.6140517802593966E-2</v>
      </c>
      <c r="H53" s="481" t="str">
        <f>IF(OR(G53&gt;=0.2,G53&lt;=-0.2),"超过20%","")</f>
        <v/>
      </c>
      <c r="I53" s="480">
        <f>IF(I48&lt;E48,E48/I48-1,I48/E48-1)</f>
        <v>2.0962216882253637E-2</v>
      </c>
      <c r="J53" s="481" t="str">
        <f>IF(OR(I53&gt;=0.2,I53&lt;=-0.2),"超过20%","")</f>
        <v/>
      </c>
      <c r="K53" s="1254"/>
      <c r="L53" s="1250"/>
      <c r="M53" s="1249"/>
      <c r="N53" s="1249"/>
      <c r="O53" s="1249"/>
    </row>
    <row r="54" spans="1:29" s="483" customFormat="1" ht="13.5" customHeight="1">
      <c r="A54" s="1251"/>
      <c r="B54" s="1251"/>
      <c r="C54" s="478" t="s">
        <v>2372</v>
      </c>
      <c r="D54" s="482"/>
      <c r="E54" s="480">
        <f>IF(E47&lt;G47,G47/E47-1,E47/G47-1)</f>
        <v>4.7619047619047672E-2</v>
      </c>
      <c r="F54" s="481" t="str">
        <f>IF(OR(E54&gt;=0.3,E54&lt;=-0.3),"超过30%","")</f>
        <v/>
      </c>
      <c r="G54" s="480">
        <f>IF(G47&lt;I47,I47/G47-1,G47/I47-1)</f>
        <v>4.7619047619047672E-2</v>
      </c>
      <c r="H54" s="481" t="str">
        <f>IF(OR(G54&gt;=0.3,G54&lt;=-0.3),"超过30%","")</f>
        <v/>
      </c>
      <c r="I54" s="480">
        <f>IF(I47&lt;E47,E47/I47-1,I47/E47-1)</f>
        <v>0</v>
      </c>
      <c r="J54" s="481" t="str">
        <f>IF(OR(I54&gt;=0.3,I54&lt;=-0.3),"超过30%","")</f>
        <v/>
      </c>
      <c r="K54" s="1255"/>
      <c r="L54" s="1256"/>
      <c r="M54" s="1251"/>
      <c r="N54" s="1251"/>
      <c r="O54" s="1251"/>
      <c r="P54" s="2404"/>
    </row>
    <row r="55" spans="1:29" s="483" customFormat="1">
      <c r="A55" s="1251"/>
      <c r="B55" s="1252"/>
      <c r="C55" s="1257"/>
      <c r="D55" s="1251"/>
      <c r="E55" s="1251"/>
      <c r="F55" s="1251"/>
      <c r="G55" s="1251"/>
      <c r="H55" s="1251"/>
      <c r="I55" s="1251"/>
      <c r="J55" s="1251"/>
      <c r="K55" s="1255"/>
      <c r="L55" s="1256"/>
      <c r="M55" s="1251"/>
      <c r="N55" s="1251"/>
      <c r="O55" s="1251"/>
      <c r="P55" s="2404"/>
    </row>
    <row r="56" spans="1:29">
      <c r="A56" s="1249"/>
      <c r="B56" s="1252"/>
      <c r="C56" s="1257"/>
      <c r="D56" s="1249"/>
      <c r="E56" s="1249"/>
      <c r="F56" s="1249"/>
      <c r="G56" s="1249"/>
      <c r="H56" s="1249"/>
      <c r="I56" s="1249"/>
      <c r="J56" s="1249"/>
      <c r="K56" s="1254"/>
      <c r="L56" s="1250"/>
      <c r="M56" s="1249"/>
      <c r="N56" s="1249"/>
      <c r="O56" s="1249"/>
    </row>
    <row r="57" spans="1:29" ht="21.75" thickBot="1">
      <c r="A57" s="741" t="s">
        <v>2373</v>
      </c>
      <c r="B57" s="737"/>
      <c r="C57" s="742"/>
      <c r="D57" s="742"/>
      <c r="E57" s="742"/>
      <c r="F57" s="743"/>
      <c r="G57" s="743"/>
      <c r="H57" s="742"/>
      <c r="I57" s="742"/>
      <c r="J57" s="742"/>
      <c r="K57" s="744"/>
      <c r="L57" s="745"/>
      <c r="M57" s="742"/>
      <c r="N57" s="742"/>
      <c r="O57" s="742"/>
      <c r="P57" s="2405"/>
      <c r="Q57" s="485"/>
    </row>
    <row r="58" spans="1:29" s="489" customFormat="1" ht="15">
      <c r="A58" s="486" t="s">
        <v>2338</v>
      </c>
      <c r="B58" s="487"/>
      <c r="C58" s="1670" t="str">
        <f>YEAR(C7)&amp;"-"&amp;MONTH(C7)</f>
        <v>2020-6</v>
      </c>
      <c r="D58" s="1671">
        <f>EDATE(C58,-1)</f>
        <v>43952</v>
      </c>
      <c r="E58" s="1671">
        <f t="shared" ref="E58:O58" si="16">EDATE(D58,-1)</f>
        <v>43922</v>
      </c>
      <c r="F58" s="1671">
        <f t="shared" si="16"/>
        <v>43891</v>
      </c>
      <c r="G58" s="1671">
        <f t="shared" si="16"/>
        <v>43862</v>
      </c>
      <c r="H58" s="1671">
        <f t="shared" si="16"/>
        <v>43831</v>
      </c>
      <c r="I58" s="1671">
        <f t="shared" si="16"/>
        <v>43800</v>
      </c>
      <c r="J58" s="1671">
        <f t="shared" si="16"/>
        <v>43770</v>
      </c>
      <c r="K58" s="1671">
        <f t="shared" si="16"/>
        <v>43739</v>
      </c>
      <c r="L58" s="1671">
        <f t="shared" si="16"/>
        <v>43709</v>
      </c>
      <c r="M58" s="1671">
        <f t="shared" si="16"/>
        <v>43678</v>
      </c>
      <c r="N58" s="1671">
        <f t="shared" si="16"/>
        <v>43647</v>
      </c>
      <c r="O58" s="1671">
        <f t="shared" si="16"/>
        <v>43617</v>
      </c>
      <c r="P58" s="2406"/>
    </row>
    <row r="59" spans="1:29" s="35" customFormat="1" ht="15">
      <c r="A59" s="490"/>
      <c r="B59" s="491"/>
      <c r="C59" s="623">
        <v>100</v>
      </c>
      <c r="D59" s="493">
        <f>C59</f>
        <v>100</v>
      </c>
      <c r="E59" s="493">
        <f t="shared" ref="E59:G59" si="17">D59</f>
        <v>100</v>
      </c>
      <c r="F59" s="493">
        <f t="shared" si="17"/>
        <v>100</v>
      </c>
      <c r="G59" s="493">
        <f t="shared" si="17"/>
        <v>100</v>
      </c>
      <c r="H59" s="493"/>
      <c r="I59" s="493"/>
      <c r="J59" s="493"/>
      <c r="K59" s="493"/>
      <c r="L59" s="493"/>
      <c r="M59" s="494"/>
      <c r="N59" s="493"/>
      <c r="O59" s="494"/>
      <c r="P59" s="2407"/>
    </row>
    <row r="60" spans="1:29" s="35" customFormat="1" ht="15.75" thickBot="1">
      <c r="A60" s="496" t="s">
        <v>2375</v>
      </c>
      <c r="B60" s="497"/>
      <c r="C60" s="498"/>
      <c r="D60" s="499"/>
      <c r="E60" s="499"/>
      <c r="F60" s="499"/>
      <c r="G60" s="499"/>
      <c r="H60" s="499"/>
      <c r="I60" s="499"/>
      <c r="J60" s="499"/>
      <c r="K60" s="499"/>
      <c r="L60" s="499"/>
      <c r="M60" s="500"/>
      <c r="N60" s="499"/>
      <c r="O60" s="500"/>
      <c r="P60" s="2407"/>
      <c r="Q60" s="485"/>
    </row>
    <row r="61" spans="1:29" s="35" customFormat="1" ht="15">
      <c r="A61" s="502" t="s">
        <v>2340</v>
      </c>
      <c r="B61" s="491"/>
      <c r="C61" s="503" t="s">
        <v>2341</v>
      </c>
      <c r="D61" s="504"/>
      <c r="E61" s="504"/>
      <c r="F61" s="504"/>
      <c r="G61" s="504"/>
      <c r="H61" s="504"/>
      <c r="I61" s="504"/>
      <c r="J61" s="504"/>
      <c r="K61" s="504"/>
      <c r="L61" s="505"/>
      <c r="M61" s="506"/>
      <c r="N61" s="1258"/>
      <c r="O61" s="1258"/>
      <c r="P61" s="2408"/>
      <c r="Q61" s="485"/>
    </row>
    <row r="62" spans="1:29" s="35" customFormat="1" ht="15.75" thickBot="1">
      <c r="A62" s="502"/>
      <c r="B62" s="491"/>
      <c r="C62" s="492">
        <v>100</v>
      </c>
      <c r="D62" s="493"/>
      <c r="E62" s="493"/>
      <c r="F62" s="493"/>
      <c r="G62" s="493"/>
      <c r="H62" s="493"/>
      <c r="I62" s="493"/>
      <c r="J62" s="493"/>
      <c r="K62" s="493"/>
      <c r="L62" s="493"/>
      <c r="M62" s="495"/>
      <c r="N62" s="1258"/>
      <c r="O62" s="1258"/>
      <c r="P62" s="2407"/>
      <c r="Q62" s="485"/>
    </row>
    <row r="63" spans="1:29">
      <c r="A63" s="508" t="s">
        <v>2378</v>
      </c>
      <c r="B63" s="509" t="s">
        <v>2344</v>
      </c>
      <c r="C63" s="510" t="str">
        <f>C9</f>
        <v>住宅</v>
      </c>
      <c r="D63" s="511"/>
      <c r="E63" s="511"/>
      <c r="F63" s="511"/>
      <c r="G63" s="511"/>
      <c r="H63" s="511"/>
      <c r="I63" s="511"/>
      <c r="J63" s="511"/>
      <c r="K63" s="512"/>
      <c r="L63" s="513"/>
      <c r="M63" s="514"/>
      <c r="N63" s="1259"/>
      <c r="O63" s="1259"/>
      <c r="P63" s="2409"/>
      <c r="Q63" s="485"/>
    </row>
    <row r="64" spans="1:29" ht="15.75" thickBot="1">
      <c r="A64" s="516"/>
      <c r="B64" s="517"/>
      <c r="C64" s="518">
        <v>100</v>
      </c>
      <c r="D64" s="518"/>
      <c r="E64" s="518"/>
      <c r="F64" s="518"/>
      <c r="G64" s="518"/>
      <c r="H64" s="518"/>
      <c r="I64" s="518"/>
      <c r="J64" s="518"/>
      <c r="K64" s="518"/>
      <c r="L64" s="518"/>
      <c r="M64" s="519"/>
      <c r="N64" s="1260"/>
      <c r="O64" s="1260"/>
      <c r="P64" s="2409"/>
      <c r="Q64" s="485"/>
    </row>
    <row r="65" spans="1:17" ht="27.75" thickTop="1">
      <c r="A65" s="516"/>
      <c r="B65" s="521" t="s">
        <v>2347</v>
      </c>
      <c r="C65" s="522" t="s">
        <v>2379</v>
      </c>
      <c r="D65" s="522" t="s">
        <v>2380</v>
      </c>
      <c r="E65" s="522" t="s">
        <v>2381</v>
      </c>
      <c r="F65" s="522" t="s">
        <v>2382</v>
      </c>
      <c r="G65" s="522" t="s">
        <v>2383</v>
      </c>
      <c r="H65" s="522" t="s">
        <v>2384</v>
      </c>
      <c r="I65" s="522" t="s">
        <v>2385</v>
      </c>
      <c r="J65" s="522"/>
      <c r="K65" s="523"/>
      <c r="L65" s="524"/>
      <c r="M65" s="525"/>
      <c r="N65" s="1259"/>
      <c r="O65" s="1259"/>
      <c r="P65" s="2409"/>
      <c r="Q65" s="485"/>
    </row>
    <row r="66" spans="1:17" ht="15.75" thickBot="1">
      <c r="A66" s="516"/>
      <c r="B66" s="526"/>
      <c r="C66" s="527">
        <v>100</v>
      </c>
      <c r="D66" s="527">
        <f t="shared" ref="D66:I66" si="18">C66-$K10</f>
        <v>99</v>
      </c>
      <c r="E66" s="527">
        <f t="shared" si="18"/>
        <v>98</v>
      </c>
      <c r="F66" s="527">
        <f t="shared" si="18"/>
        <v>97</v>
      </c>
      <c r="G66" s="527">
        <f t="shared" si="18"/>
        <v>96</v>
      </c>
      <c r="H66" s="527">
        <f t="shared" si="18"/>
        <v>95</v>
      </c>
      <c r="I66" s="527">
        <f t="shared" si="18"/>
        <v>94</v>
      </c>
      <c r="J66" s="527"/>
      <c r="K66" s="527"/>
      <c r="L66" s="527"/>
      <c r="M66" s="528"/>
      <c r="N66" s="1260"/>
      <c r="O66" s="1260"/>
      <c r="P66" s="2409"/>
      <c r="Q66" s="485"/>
    </row>
    <row r="67" spans="1:17" ht="15.75" thickTop="1">
      <c r="A67" s="516"/>
      <c r="B67" s="529" t="s">
        <v>2348</v>
      </c>
      <c r="C67" s="530" t="str">
        <f>C68&amp;"（含）"&amp;"-"&amp;D68</f>
        <v>0（含）-</v>
      </c>
      <c r="D67" s="530" t="str">
        <f t="shared" ref="D67:L67" si="19">D68&amp;"（含）"&amp;"-"&amp;E68</f>
        <v>（含）-</v>
      </c>
      <c r="E67" s="530" t="str">
        <f t="shared" si="19"/>
        <v>（含）-</v>
      </c>
      <c r="F67" s="530" t="str">
        <f t="shared" si="19"/>
        <v>（含）-</v>
      </c>
      <c r="G67" s="530" t="str">
        <f t="shared" si="19"/>
        <v>（含）-</v>
      </c>
      <c r="H67" s="530" t="str">
        <f t="shared" si="19"/>
        <v>（含）-</v>
      </c>
      <c r="I67" s="530" t="str">
        <f t="shared" si="19"/>
        <v>（含）-</v>
      </c>
      <c r="J67" s="530" t="str">
        <f t="shared" si="19"/>
        <v>（含）-</v>
      </c>
      <c r="K67" s="530" t="str">
        <f t="shared" si="19"/>
        <v>（含）-</v>
      </c>
      <c r="L67" s="530" t="str">
        <f t="shared" si="19"/>
        <v>（含）-</v>
      </c>
      <c r="M67" s="427" t="str">
        <f>M68&amp;"（含）"&amp;"-"&amp;P68</f>
        <v>（含）-</v>
      </c>
      <c r="N67" s="1260"/>
      <c r="O67" s="1260"/>
      <c r="P67" s="2409"/>
      <c r="Q67" s="485"/>
    </row>
    <row r="68" spans="1:17" ht="15">
      <c r="A68" s="516"/>
      <c r="B68" s="531"/>
      <c r="C68" s="532">
        <v>0</v>
      </c>
      <c r="D68" s="532"/>
      <c r="E68" s="532"/>
      <c r="F68" s="532"/>
      <c r="G68" s="532"/>
      <c r="H68" s="532"/>
      <c r="I68" s="532"/>
      <c r="J68" s="532"/>
      <c r="K68" s="533"/>
      <c r="L68" s="534"/>
      <c r="M68" s="535"/>
      <c r="N68" s="1259"/>
      <c r="O68" s="1259"/>
      <c r="P68" s="2409"/>
      <c r="Q68" s="485"/>
    </row>
    <row r="69" spans="1:17" ht="15.75"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60"/>
      <c r="O69" s="1260"/>
      <c r="P69" s="2409"/>
      <c r="Q69" s="485"/>
    </row>
    <row r="70" spans="1:17" s="452" customFormat="1" ht="15.75" thickTop="1">
      <c r="A70" s="536"/>
      <c r="B70" s="521">
        <f>B12</f>
        <v>111</v>
      </c>
      <c r="C70" s="537"/>
      <c r="D70" s="537"/>
      <c r="E70" s="537"/>
      <c r="F70" s="537"/>
      <c r="G70" s="537"/>
      <c r="H70" s="538"/>
      <c r="I70" s="538"/>
      <c r="J70" s="538"/>
      <c r="K70" s="538"/>
      <c r="L70" s="539"/>
      <c r="M70" s="540"/>
      <c r="N70" s="1261"/>
      <c r="O70" s="1261"/>
      <c r="P70" s="2410"/>
      <c r="Q70" s="543"/>
    </row>
    <row r="71" spans="1:17" s="452" customFormat="1" ht="15.75" thickBot="1">
      <c r="A71" s="536"/>
      <c r="B71" s="526"/>
      <c r="C71" s="544"/>
      <c r="D71" s="518"/>
      <c r="E71" s="518"/>
      <c r="F71" s="518"/>
      <c r="G71" s="518"/>
      <c r="H71" s="518"/>
      <c r="I71" s="518"/>
      <c r="J71" s="518"/>
      <c r="K71" s="518"/>
      <c r="L71" s="518"/>
      <c r="M71" s="519"/>
      <c r="N71" s="1260"/>
      <c r="O71" s="1260"/>
      <c r="P71" s="2410"/>
      <c r="Q71" s="543"/>
    </row>
    <row r="72" spans="1:17" s="452" customFormat="1" ht="15.75" thickTop="1">
      <c r="A72" s="536"/>
      <c r="B72" s="521">
        <f>B13</f>
        <v>111</v>
      </c>
      <c r="C72" s="537"/>
      <c r="D72" s="537"/>
      <c r="E72" s="537"/>
      <c r="F72" s="537"/>
      <c r="G72" s="537"/>
      <c r="H72" s="538"/>
      <c r="I72" s="538"/>
      <c r="J72" s="538"/>
      <c r="K72" s="538"/>
      <c r="L72" s="539"/>
      <c r="M72" s="540"/>
      <c r="N72" s="1261"/>
      <c r="O72" s="1261"/>
      <c r="P72" s="2411"/>
      <c r="Q72" s="545"/>
    </row>
    <row r="73" spans="1:17" s="452" customFormat="1" ht="15.75" thickBot="1">
      <c r="A73" s="536"/>
      <c r="B73" s="526"/>
      <c r="C73" s="544"/>
      <c r="D73" s="544"/>
      <c r="E73" s="544"/>
      <c r="F73" s="544"/>
      <c r="G73" s="544"/>
      <c r="H73" s="546"/>
      <c r="I73" s="546"/>
      <c r="J73" s="546"/>
      <c r="K73" s="546"/>
      <c r="L73" s="546"/>
      <c r="M73" s="547"/>
      <c r="N73" s="1261"/>
      <c r="O73" s="1261"/>
      <c r="P73" s="2410"/>
      <c r="Q73" s="543"/>
    </row>
    <row r="74" spans="1:17" s="452" customFormat="1" ht="15.75" thickTop="1">
      <c r="A74" s="536"/>
      <c r="B74" s="529">
        <f>B14</f>
        <v>111</v>
      </c>
      <c r="C74" s="537"/>
      <c r="D74" s="537"/>
      <c r="E74" s="537"/>
      <c r="F74" s="537"/>
      <c r="G74" s="504"/>
      <c r="H74" s="548"/>
      <c r="I74" s="548"/>
      <c r="J74" s="548"/>
      <c r="K74" s="548"/>
      <c r="L74" s="549"/>
      <c r="M74" s="550"/>
      <c r="N74" s="1261"/>
      <c r="O74" s="1261"/>
      <c r="P74" s="2412"/>
      <c r="Q74" s="543"/>
    </row>
    <row r="75" spans="1:17" s="452" customFormat="1" ht="15.75" thickBot="1">
      <c r="A75" s="552"/>
      <c r="B75" s="553"/>
      <c r="C75" s="554"/>
      <c r="D75" s="554"/>
      <c r="E75" s="554"/>
      <c r="F75" s="554"/>
      <c r="G75" s="554"/>
      <c r="H75" s="555"/>
      <c r="I75" s="555"/>
      <c r="J75" s="555"/>
      <c r="K75" s="555"/>
      <c r="L75" s="555"/>
      <c r="M75" s="556"/>
      <c r="N75" s="1261"/>
      <c r="O75" s="1261"/>
      <c r="P75" s="2410"/>
      <c r="Q75" s="543"/>
    </row>
    <row r="76" spans="1:17">
      <c r="A76" s="508" t="s">
        <v>2349</v>
      </c>
      <c r="B76" s="509" t="s">
        <v>2386</v>
      </c>
      <c r="C76" s="557" t="s">
        <v>2387</v>
      </c>
      <c r="D76" s="557" t="s">
        <v>2388</v>
      </c>
      <c r="E76" s="557" t="s">
        <v>2389</v>
      </c>
      <c r="F76" s="557" t="s">
        <v>2390</v>
      </c>
      <c r="G76" s="557" t="s">
        <v>2391</v>
      </c>
      <c r="H76" s="510"/>
      <c r="I76" s="510"/>
      <c r="J76" s="510"/>
      <c r="K76" s="558"/>
      <c r="L76" s="559"/>
      <c r="M76" s="560"/>
      <c r="N76" s="1259"/>
      <c r="O76" s="1259"/>
      <c r="P76" s="2413"/>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0"/>
      <c r="O77" s="1260"/>
      <c r="P77" s="2409"/>
      <c r="Q77" s="485"/>
    </row>
    <row r="78" spans="1:17" ht="15.75" thickTop="1">
      <c r="A78" s="516"/>
      <c r="B78" s="521" t="s">
        <v>2392</v>
      </c>
      <c r="C78" s="562" t="s">
        <v>2387</v>
      </c>
      <c r="D78" s="562" t="s">
        <v>2388</v>
      </c>
      <c r="E78" s="562" t="s">
        <v>2389</v>
      </c>
      <c r="F78" s="562" t="s">
        <v>2390</v>
      </c>
      <c r="G78" s="562" t="s">
        <v>2391</v>
      </c>
      <c r="H78" s="522"/>
      <c r="I78" s="522"/>
      <c r="J78" s="522"/>
      <c r="K78" s="523"/>
      <c r="L78" s="524"/>
      <c r="M78" s="525"/>
      <c r="N78" s="1259"/>
      <c r="O78" s="1259"/>
      <c r="P78" s="2409"/>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0"/>
      <c r="O79" s="1260"/>
      <c r="P79" s="2409"/>
      <c r="Q79" s="485"/>
    </row>
    <row r="80" spans="1:17" ht="15.75" thickTop="1">
      <c r="A80" s="516"/>
      <c r="B80" s="521" t="s">
        <v>2393</v>
      </c>
      <c r="C80" s="562" t="s">
        <v>2387</v>
      </c>
      <c r="D80" s="562" t="s">
        <v>2388</v>
      </c>
      <c r="E80" s="562" t="s">
        <v>2389</v>
      </c>
      <c r="F80" s="562" t="s">
        <v>2390</v>
      </c>
      <c r="G80" s="562" t="s">
        <v>2391</v>
      </c>
      <c r="H80" s="522"/>
      <c r="I80" s="522"/>
      <c r="J80" s="522"/>
      <c r="K80" s="523"/>
      <c r="L80" s="524"/>
      <c r="M80" s="525"/>
      <c r="N80" s="1259"/>
      <c r="O80" s="1259"/>
      <c r="P80" s="2409"/>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0"/>
      <c r="O81" s="1260"/>
      <c r="P81" s="2409"/>
      <c r="Q81" s="485"/>
    </row>
    <row r="82" spans="1:17" ht="15.75" thickTop="1">
      <c r="A82" s="516"/>
      <c r="B82" s="529" t="s">
        <v>1741</v>
      </c>
      <c r="C82" s="522" t="s">
        <v>2394</v>
      </c>
      <c r="D82" s="522" t="s">
        <v>2395</v>
      </c>
      <c r="E82" s="522" t="s">
        <v>2396</v>
      </c>
      <c r="F82" s="522" t="s">
        <v>2397</v>
      </c>
      <c r="G82" s="522" t="s">
        <v>2398</v>
      </c>
      <c r="H82" s="522"/>
      <c r="I82" s="522"/>
      <c r="J82" s="522"/>
      <c r="K82" s="522"/>
      <c r="L82" s="522"/>
      <c r="M82" s="1459"/>
      <c r="N82" s="1260"/>
      <c r="O82" s="1260"/>
      <c r="P82" s="2409"/>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0"/>
      <c r="O83" s="1260"/>
      <c r="P83" s="2409"/>
      <c r="Q83" s="485"/>
    </row>
    <row r="84" spans="1:17" ht="15.75" thickTop="1">
      <c r="A84" s="516"/>
      <c r="B84" s="521" t="s">
        <v>2399</v>
      </c>
      <c r="C84" s="562" t="s">
        <v>2387</v>
      </c>
      <c r="D84" s="562" t="s">
        <v>2388</v>
      </c>
      <c r="E84" s="562" t="s">
        <v>2389</v>
      </c>
      <c r="F84" s="562" t="s">
        <v>2390</v>
      </c>
      <c r="G84" s="562" t="s">
        <v>2391</v>
      </c>
      <c r="H84" s="522"/>
      <c r="I84" s="522"/>
      <c r="J84" s="522"/>
      <c r="K84" s="523"/>
      <c r="L84" s="524"/>
      <c r="M84" s="525"/>
      <c r="N84" s="1259"/>
      <c r="O84" s="1259"/>
      <c r="P84" s="2409"/>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0"/>
      <c r="O85" s="1260"/>
      <c r="P85" s="2409"/>
      <c r="Q85" s="485"/>
    </row>
    <row r="86" spans="1:17" s="35" customFormat="1" ht="15.75" thickTop="1">
      <c r="A86" s="563"/>
      <c r="B86" s="521" t="s">
        <v>2400</v>
      </c>
      <c r="C86" s="537"/>
      <c r="D86" s="537"/>
      <c r="E86" s="537"/>
      <c r="F86" s="537"/>
      <c r="G86" s="537"/>
      <c r="H86" s="537"/>
      <c r="I86" s="537"/>
      <c r="J86" s="537"/>
      <c r="K86" s="537"/>
      <c r="L86" s="564"/>
      <c r="M86" s="565"/>
      <c r="N86" s="1258"/>
      <c r="O86" s="1258"/>
      <c r="P86" s="2409"/>
      <c r="Q86" s="485"/>
    </row>
    <row r="87" spans="1:17" s="35" customFormat="1" ht="15.75"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60"/>
      <c r="O87" s="1260"/>
      <c r="P87" s="2409"/>
      <c r="Q87" s="485"/>
    </row>
    <row r="88" spans="1:17" s="35" customFormat="1" ht="15.75" thickTop="1">
      <c r="A88" s="563"/>
      <c r="B88" s="521" t="s">
        <v>2401</v>
      </c>
      <c r="C88" s="2755" t="s">
        <v>2888</v>
      </c>
      <c r="D88" s="2755" t="s">
        <v>2891</v>
      </c>
      <c r="E88" s="2755" t="s">
        <v>2896</v>
      </c>
      <c r="F88" s="2769" t="s">
        <v>2897</v>
      </c>
      <c r="G88" s="2755" t="s">
        <v>2894</v>
      </c>
      <c r="H88" s="2755" t="s">
        <v>2899</v>
      </c>
      <c r="I88" s="2755" t="s">
        <v>2900</v>
      </c>
      <c r="J88" s="2755" t="s">
        <v>2901</v>
      </c>
      <c r="K88" s="537"/>
      <c r="L88" s="537"/>
      <c r="M88" s="565"/>
      <c r="N88" s="1258"/>
      <c r="O88" s="1258"/>
      <c r="P88" s="2409"/>
      <c r="Q88" s="485"/>
    </row>
    <row r="89" spans="1:17" s="35" customFormat="1" ht="15.75" thickBot="1">
      <c r="A89" s="563"/>
      <c r="B89" s="526"/>
      <c r="C89" s="566">
        <v>100</v>
      </c>
      <c r="D89" s="527">
        <f t="shared" ref="D89:M89" si="22">C89-$K26</f>
        <v>99.5</v>
      </c>
      <c r="E89" s="527">
        <f t="shared" si="22"/>
        <v>99</v>
      </c>
      <c r="F89" s="527">
        <f t="shared" si="22"/>
        <v>98.5</v>
      </c>
      <c r="G89" s="527">
        <f t="shared" si="22"/>
        <v>98</v>
      </c>
      <c r="H89" s="527">
        <f t="shared" si="22"/>
        <v>97.5</v>
      </c>
      <c r="I89" s="527">
        <f t="shared" si="22"/>
        <v>97</v>
      </c>
      <c r="J89" s="527">
        <f t="shared" si="22"/>
        <v>96.5</v>
      </c>
      <c r="K89" s="527">
        <f t="shared" si="22"/>
        <v>96</v>
      </c>
      <c r="L89" s="527">
        <f t="shared" si="22"/>
        <v>95.5</v>
      </c>
      <c r="M89" s="527">
        <f t="shared" si="22"/>
        <v>95</v>
      </c>
      <c r="N89" s="1260"/>
      <c r="O89" s="1260"/>
      <c r="P89" s="2409"/>
      <c r="Q89" s="485"/>
    </row>
    <row r="90" spans="1:17" s="452" customFormat="1" ht="15.75" thickTop="1">
      <c r="A90" s="536"/>
      <c r="B90" s="521" t="str">
        <f>B27</f>
        <v>楼层</v>
      </c>
      <c r="C90" s="537" t="s">
        <v>2842</v>
      </c>
      <c r="D90" s="537" t="s">
        <v>2843</v>
      </c>
      <c r="E90" s="537" t="s">
        <v>2844</v>
      </c>
      <c r="F90" s="537"/>
      <c r="G90" s="537"/>
      <c r="H90" s="538"/>
      <c r="I90" s="538"/>
      <c r="J90" s="538"/>
      <c r="K90" s="538"/>
      <c r="L90" s="539"/>
      <c r="M90" s="540"/>
      <c r="N90" s="1261"/>
      <c r="O90" s="1261"/>
      <c r="P90" s="2410"/>
      <c r="Q90" s="543"/>
    </row>
    <row r="91" spans="1:17" s="452" customFormat="1" ht="15.75" thickBot="1">
      <c r="A91" s="536"/>
      <c r="B91" s="526"/>
      <c r="C91" s="544">
        <v>100</v>
      </c>
      <c r="D91" s="518">
        <v>98</v>
      </c>
      <c r="E91" s="518">
        <v>96</v>
      </c>
      <c r="F91" s="544"/>
      <c r="G91" s="544"/>
      <c r="H91" s="546"/>
      <c r="I91" s="546"/>
      <c r="J91" s="546"/>
      <c r="K91" s="546"/>
      <c r="L91" s="546"/>
      <c r="M91" s="547"/>
      <c r="N91" s="1261"/>
      <c r="O91" s="1261"/>
      <c r="P91" s="2410"/>
      <c r="Q91" s="543"/>
    </row>
    <row r="92" spans="1:17" ht="15.75" thickTop="1">
      <c r="A92" s="516"/>
      <c r="B92" s="521">
        <f>B28</f>
        <v>111</v>
      </c>
      <c r="C92" s="537"/>
      <c r="D92" s="537"/>
      <c r="E92" s="537"/>
      <c r="F92" s="537"/>
      <c r="G92" s="567"/>
      <c r="H92" s="567"/>
      <c r="I92" s="567"/>
      <c r="J92" s="567"/>
      <c r="K92" s="568"/>
      <c r="L92" s="569"/>
      <c r="M92" s="570"/>
      <c r="N92" s="1259"/>
      <c r="O92" s="1259"/>
      <c r="P92" s="2409"/>
      <c r="Q92" s="485"/>
    </row>
    <row r="93" spans="1:17" ht="15.75" thickBot="1">
      <c r="A93" s="516"/>
      <c r="B93" s="526"/>
      <c r="C93" s="544"/>
      <c r="D93" s="518"/>
      <c r="E93" s="518"/>
      <c r="F93" s="518"/>
      <c r="G93" s="518"/>
      <c r="H93" s="518"/>
      <c r="I93" s="518"/>
      <c r="J93" s="518"/>
      <c r="K93" s="518"/>
      <c r="L93" s="518"/>
      <c r="M93" s="519"/>
      <c r="N93" s="1260"/>
      <c r="O93" s="1260"/>
      <c r="P93" s="2409"/>
      <c r="Q93" s="485"/>
    </row>
    <row r="94" spans="1:17" ht="15.75" thickTop="1">
      <c r="A94" s="516"/>
      <c r="B94" s="521">
        <f>B29</f>
        <v>111</v>
      </c>
      <c r="C94" s="537"/>
      <c r="D94" s="537"/>
      <c r="E94" s="537"/>
      <c r="F94" s="537"/>
      <c r="G94" s="567"/>
      <c r="H94" s="567"/>
      <c r="I94" s="567"/>
      <c r="J94" s="567"/>
      <c r="K94" s="568"/>
      <c r="L94" s="569"/>
      <c r="M94" s="570"/>
      <c r="N94" s="1259"/>
      <c r="O94" s="1259"/>
      <c r="P94" s="2409"/>
      <c r="Q94" s="485"/>
    </row>
    <row r="95" spans="1:17" ht="15.75" thickBot="1">
      <c r="A95" s="516"/>
      <c r="B95" s="526"/>
      <c r="C95" s="544"/>
      <c r="D95" s="544"/>
      <c r="E95" s="544"/>
      <c r="F95" s="544"/>
      <c r="G95" s="518"/>
      <c r="H95" s="518"/>
      <c r="I95" s="518"/>
      <c r="J95" s="518"/>
      <c r="K95" s="518"/>
      <c r="L95" s="518"/>
      <c r="M95" s="519"/>
      <c r="N95" s="1260"/>
      <c r="O95" s="1260"/>
      <c r="P95" s="2409"/>
      <c r="Q95" s="485"/>
    </row>
    <row r="96" spans="1:17" ht="15.75" thickTop="1">
      <c r="A96" s="516"/>
      <c r="B96" s="521">
        <f>B30</f>
        <v>111</v>
      </c>
      <c r="C96" s="537"/>
      <c r="D96" s="537"/>
      <c r="E96" s="537"/>
      <c r="F96" s="537"/>
      <c r="G96" s="567"/>
      <c r="H96" s="567"/>
      <c r="I96" s="567"/>
      <c r="J96" s="567"/>
      <c r="K96" s="568"/>
      <c r="L96" s="569"/>
      <c r="M96" s="570"/>
      <c r="N96" s="1259"/>
      <c r="O96" s="1259"/>
      <c r="P96" s="2409"/>
      <c r="Q96" s="485"/>
    </row>
    <row r="97" spans="1:17" ht="15.75" thickBot="1">
      <c r="A97" s="516"/>
      <c r="B97" s="526"/>
      <c r="C97" s="554"/>
      <c r="D97" s="554"/>
      <c r="E97" s="554"/>
      <c r="F97" s="554"/>
      <c r="G97" s="518"/>
      <c r="H97" s="518"/>
      <c r="I97" s="518"/>
      <c r="J97" s="518"/>
      <c r="K97" s="518"/>
      <c r="L97" s="518"/>
      <c r="M97" s="519"/>
      <c r="N97" s="1260"/>
      <c r="O97" s="1260"/>
      <c r="P97" s="2409"/>
      <c r="Q97" s="485"/>
    </row>
    <row r="98" spans="1:17" ht="15.75" thickTop="1">
      <c r="A98" s="516"/>
      <c r="B98" s="529">
        <f>B31</f>
        <v>111</v>
      </c>
      <c r="C98" s="571"/>
      <c r="D98" s="571"/>
      <c r="E98" s="571"/>
      <c r="F98" s="571"/>
      <c r="G98" s="571"/>
      <c r="H98" s="571"/>
      <c r="I98" s="571"/>
      <c r="J98" s="571"/>
      <c r="K98" s="572"/>
      <c r="L98" s="573"/>
      <c r="M98" s="574"/>
      <c r="N98" s="1259"/>
      <c r="O98" s="1259"/>
      <c r="P98" s="2409"/>
      <c r="Q98" s="485"/>
    </row>
    <row r="99" spans="1:17" ht="15.75" thickBot="1">
      <c r="A99" s="2415"/>
      <c r="B99" s="553"/>
      <c r="C99" s="575"/>
      <c r="D99" s="575"/>
      <c r="E99" s="575"/>
      <c r="F99" s="575"/>
      <c r="G99" s="575"/>
      <c r="H99" s="575"/>
      <c r="I99" s="575"/>
      <c r="J99" s="575"/>
      <c r="K99" s="575"/>
      <c r="L99" s="575"/>
      <c r="M99" s="576"/>
      <c r="N99" s="1260"/>
      <c r="O99" s="1260"/>
      <c r="P99" s="2409"/>
      <c r="Q99" s="485"/>
    </row>
    <row r="100" spans="1:17">
      <c r="A100" s="508" t="s">
        <v>2353</v>
      </c>
      <c r="B100" s="509" t="s">
        <v>2402</v>
      </c>
      <c r="C100" s="2754" t="s">
        <v>2845</v>
      </c>
      <c r="D100" s="2754" t="s">
        <v>2846</v>
      </c>
      <c r="E100" s="511"/>
      <c r="F100" s="511"/>
      <c r="G100" s="511"/>
      <c r="H100" s="511"/>
      <c r="I100" s="511"/>
      <c r="J100" s="511"/>
      <c r="K100" s="512"/>
      <c r="L100" s="513"/>
      <c r="M100" s="514"/>
      <c r="N100" s="1259"/>
      <c r="O100" s="1259"/>
      <c r="P100" s="2409"/>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0"/>
      <c r="O101" s="1260"/>
      <c r="P101" s="2409"/>
      <c r="Q101" s="485"/>
    </row>
    <row r="102" spans="1:17" ht="15.75" thickTop="1">
      <c r="A102" s="516"/>
      <c r="B102" s="521" t="s">
        <v>2403</v>
      </c>
      <c r="C102" s="562" t="str">
        <f>C103&amp;"(含)"&amp;"-"&amp;D103</f>
        <v>0(含)-50</v>
      </c>
      <c r="D102" s="562" t="str">
        <f t="shared" ref="D102:L102" si="24">D103&amp;"(含)"&amp;"-"&amp;E103</f>
        <v>50(含)-100</v>
      </c>
      <c r="E102" s="562" t="str">
        <f t="shared" si="24"/>
        <v>100(含)-150</v>
      </c>
      <c r="F102" s="562" t="str">
        <f t="shared" si="24"/>
        <v>150(含)-200</v>
      </c>
      <c r="G102" s="562" t="str">
        <f t="shared" si="24"/>
        <v>200(含)-</v>
      </c>
      <c r="H102" s="562" t="str">
        <f t="shared" si="24"/>
        <v>(含)-</v>
      </c>
      <c r="I102" s="562" t="str">
        <f t="shared" si="24"/>
        <v>(含)-</v>
      </c>
      <c r="J102" s="562" t="str">
        <f t="shared" si="24"/>
        <v>(含)-</v>
      </c>
      <c r="K102" s="562" t="str">
        <f t="shared" si="24"/>
        <v>(含)-</v>
      </c>
      <c r="L102" s="562" t="str">
        <f t="shared" si="24"/>
        <v>(含)-</v>
      </c>
      <c r="M102" s="562" t="str">
        <f>M103&amp;"(含)"&amp;"-"&amp;P103</f>
        <v>(含)-</v>
      </c>
      <c r="N102" s="1258"/>
      <c r="O102" s="1258"/>
      <c r="P102" s="2409"/>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0"/>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0"/>
      <c r="O104" s="1260"/>
      <c r="P104" s="2410"/>
      <c r="Q104" s="543"/>
    </row>
    <row r="105" spans="1:17" ht="15" thickTop="1">
      <c r="A105" s="583"/>
      <c r="B105" s="521" t="s">
        <v>2404</v>
      </c>
      <c r="C105" s="2755" t="s">
        <v>2847</v>
      </c>
      <c r="D105" s="2755" t="s">
        <v>2848</v>
      </c>
      <c r="E105" s="567"/>
      <c r="F105" s="567"/>
      <c r="G105" s="567"/>
      <c r="H105" s="567"/>
      <c r="I105" s="567"/>
      <c r="J105" s="567"/>
      <c r="K105" s="568"/>
      <c r="L105" s="569"/>
      <c r="M105" s="570"/>
      <c r="N105" s="1259"/>
      <c r="O105" s="1259"/>
      <c r="P105" s="2409"/>
      <c r="Q105" s="485"/>
    </row>
    <row r="106" spans="1:17" ht="15.75" thickBot="1">
      <c r="A106" s="516"/>
      <c r="B106" s="526"/>
      <c r="C106" s="527">
        <v>100</v>
      </c>
      <c r="D106" s="527">
        <f t="shared" ref="D106:M106" si="25">C106-$K34</f>
        <v>99</v>
      </c>
      <c r="E106" s="527">
        <f t="shared" si="25"/>
        <v>98</v>
      </c>
      <c r="F106" s="527">
        <f t="shared" si="25"/>
        <v>97</v>
      </c>
      <c r="G106" s="527">
        <f t="shared" si="25"/>
        <v>96</v>
      </c>
      <c r="H106" s="527">
        <f t="shared" si="25"/>
        <v>95</v>
      </c>
      <c r="I106" s="527">
        <f t="shared" si="25"/>
        <v>94</v>
      </c>
      <c r="J106" s="527">
        <f t="shared" si="25"/>
        <v>93</v>
      </c>
      <c r="K106" s="527">
        <f t="shared" si="25"/>
        <v>92</v>
      </c>
      <c r="L106" s="527">
        <f t="shared" si="25"/>
        <v>91</v>
      </c>
      <c r="M106" s="527">
        <f t="shared" si="25"/>
        <v>90</v>
      </c>
      <c r="N106" s="1260"/>
      <c r="O106" s="1260"/>
      <c r="P106" s="2409"/>
      <c r="Q106" s="485"/>
    </row>
    <row r="107" spans="1:17" ht="15" thickTop="1">
      <c r="A107" s="583"/>
      <c r="B107" s="521" t="s">
        <v>2405</v>
      </c>
      <c r="C107" s="2755"/>
      <c r="D107" s="2755"/>
      <c r="E107" s="2755"/>
      <c r="F107" s="567"/>
      <c r="G107" s="567"/>
      <c r="H107" s="567"/>
      <c r="I107" s="567"/>
      <c r="J107" s="567"/>
      <c r="K107" s="568"/>
      <c r="L107" s="569"/>
      <c r="M107" s="570"/>
      <c r="N107" s="1259"/>
      <c r="O107" s="1259"/>
      <c r="P107" s="2409"/>
      <c r="Q107" s="485"/>
    </row>
    <row r="108" spans="1:17" ht="15.75" thickBot="1">
      <c r="A108" s="516"/>
      <c r="B108" s="526"/>
      <c r="C108" s="527">
        <v>100</v>
      </c>
      <c r="D108" s="527">
        <f t="shared" ref="D108:M108" si="26">C108-$K35</f>
        <v>99</v>
      </c>
      <c r="E108" s="527">
        <f t="shared" si="26"/>
        <v>98</v>
      </c>
      <c r="F108" s="527">
        <f t="shared" si="26"/>
        <v>97</v>
      </c>
      <c r="G108" s="527">
        <f t="shared" si="26"/>
        <v>96</v>
      </c>
      <c r="H108" s="527">
        <f t="shared" si="26"/>
        <v>95</v>
      </c>
      <c r="I108" s="527">
        <f t="shared" si="26"/>
        <v>94</v>
      </c>
      <c r="J108" s="527">
        <f t="shared" si="26"/>
        <v>93</v>
      </c>
      <c r="K108" s="527">
        <f t="shared" si="26"/>
        <v>92</v>
      </c>
      <c r="L108" s="527">
        <f t="shared" si="26"/>
        <v>91</v>
      </c>
      <c r="M108" s="527">
        <f t="shared" si="26"/>
        <v>90</v>
      </c>
      <c r="N108" s="1260"/>
      <c r="O108" s="1260"/>
      <c r="P108" s="2409"/>
      <c r="Q108" s="485"/>
    </row>
    <row r="109" spans="1:17" ht="15" thickTop="1">
      <c r="A109" s="583"/>
      <c r="B109" s="521" t="s">
        <v>2406</v>
      </c>
      <c r="C109" s="2755" t="s">
        <v>2849</v>
      </c>
      <c r="D109" s="2755" t="s">
        <v>2850</v>
      </c>
      <c r="E109" s="2755" t="s">
        <v>2851</v>
      </c>
      <c r="F109" s="567"/>
      <c r="G109" s="567"/>
      <c r="H109" s="567"/>
      <c r="I109" s="567"/>
      <c r="J109" s="567"/>
      <c r="K109" s="568"/>
      <c r="L109" s="569"/>
      <c r="M109" s="570"/>
      <c r="N109" s="1259"/>
      <c r="O109" s="1259"/>
      <c r="P109" s="2409"/>
      <c r="Q109" s="485"/>
    </row>
    <row r="110" spans="1:17" ht="15.75" thickBot="1">
      <c r="A110" s="516"/>
      <c r="B110" s="526"/>
      <c r="C110" s="527">
        <v>100</v>
      </c>
      <c r="D110" s="527">
        <f t="shared" ref="D110:M110" si="27">C110-$K36</f>
        <v>99</v>
      </c>
      <c r="E110" s="527">
        <f t="shared" si="27"/>
        <v>98</v>
      </c>
      <c r="F110" s="527">
        <f t="shared" si="27"/>
        <v>97</v>
      </c>
      <c r="G110" s="527">
        <f t="shared" si="27"/>
        <v>96</v>
      </c>
      <c r="H110" s="527">
        <f t="shared" si="27"/>
        <v>95</v>
      </c>
      <c r="I110" s="527">
        <f t="shared" si="27"/>
        <v>94</v>
      </c>
      <c r="J110" s="527">
        <f t="shared" si="27"/>
        <v>93</v>
      </c>
      <c r="K110" s="527">
        <f t="shared" si="27"/>
        <v>92</v>
      </c>
      <c r="L110" s="527">
        <f t="shared" si="27"/>
        <v>91</v>
      </c>
      <c r="M110" s="527">
        <f t="shared" si="27"/>
        <v>90</v>
      </c>
      <c r="N110" s="1260"/>
      <c r="O110" s="1260"/>
      <c r="P110" s="2409"/>
      <c r="Q110" s="485"/>
    </row>
    <row r="111" spans="1:17" s="452" customFormat="1" ht="15" thickTop="1">
      <c r="A111" s="577"/>
      <c r="B111" s="521" t="s">
        <v>2407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1"/>
      <c r="O113" s="1261"/>
      <c r="P113" s="2410"/>
      <c r="Q113" s="543"/>
    </row>
    <row r="114" spans="1:17" ht="15" thickTop="1">
      <c r="A114" s="583"/>
      <c r="B114" s="521" t="s">
        <v>2408</v>
      </c>
      <c r="C114" s="2755" t="s">
        <v>2852</v>
      </c>
      <c r="D114" s="2755" t="s">
        <v>2853</v>
      </c>
      <c r="E114" s="567"/>
      <c r="F114" s="567"/>
      <c r="G114" s="567"/>
      <c r="H114" s="567"/>
      <c r="I114" s="567"/>
      <c r="J114" s="567"/>
      <c r="K114" s="568"/>
      <c r="L114" s="569"/>
      <c r="M114" s="570"/>
      <c r="N114" s="1259"/>
      <c r="O114" s="1259"/>
      <c r="P114" s="2409"/>
      <c r="Q114" s="485"/>
    </row>
    <row r="115" spans="1:17" ht="15.75" thickBot="1">
      <c r="A115" s="516"/>
      <c r="B115" s="526"/>
      <c r="C115" s="527">
        <v>100</v>
      </c>
      <c r="D115" s="527">
        <f t="shared" ref="D115:M115" si="28">C115-$K38</f>
        <v>99</v>
      </c>
      <c r="E115" s="527">
        <f t="shared" si="28"/>
        <v>98</v>
      </c>
      <c r="F115" s="527">
        <f t="shared" si="28"/>
        <v>97</v>
      </c>
      <c r="G115" s="527">
        <f t="shared" si="28"/>
        <v>96</v>
      </c>
      <c r="H115" s="527">
        <f t="shared" si="28"/>
        <v>95</v>
      </c>
      <c r="I115" s="527">
        <f t="shared" si="28"/>
        <v>94</v>
      </c>
      <c r="J115" s="527">
        <f t="shared" si="28"/>
        <v>93</v>
      </c>
      <c r="K115" s="527">
        <f t="shared" si="28"/>
        <v>92</v>
      </c>
      <c r="L115" s="527">
        <f t="shared" si="28"/>
        <v>91</v>
      </c>
      <c r="M115" s="527">
        <f t="shared" si="28"/>
        <v>90</v>
      </c>
      <c r="N115" s="1260"/>
      <c r="O115" s="1260"/>
      <c r="P115" s="2409"/>
      <c r="Q115" s="485"/>
    </row>
    <row r="116" spans="1:17" ht="15" thickTop="1">
      <c r="A116" s="583"/>
      <c r="B116" s="521" t="s">
        <v>2409</v>
      </c>
      <c r="C116" s="537" t="s">
        <v>2854</v>
      </c>
      <c r="D116" s="537" t="s">
        <v>2855</v>
      </c>
      <c r="E116" s="537" t="s">
        <v>2856</v>
      </c>
      <c r="F116" s="537" t="s">
        <v>2857</v>
      </c>
      <c r="G116" s="537" t="s">
        <v>2858</v>
      </c>
      <c r="H116" s="567"/>
      <c r="I116" s="567"/>
      <c r="J116" s="567"/>
      <c r="K116" s="568"/>
      <c r="L116" s="569"/>
      <c r="M116" s="570"/>
      <c r="N116" s="1259"/>
      <c r="O116" s="1259"/>
      <c r="P116" s="240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0"/>
      <c r="O117" s="1260"/>
      <c r="P117" s="2409"/>
      <c r="Q117" s="485"/>
    </row>
    <row r="118" spans="1:17" ht="15" thickTop="1">
      <c r="A118" s="583"/>
      <c r="B118" s="521" t="s">
        <v>2410</v>
      </c>
      <c r="C118" s="567"/>
      <c r="D118" s="567"/>
      <c r="E118" s="567"/>
      <c r="F118" s="567"/>
      <c r="G118" s="567"/>
      <c r="H118" s="567"/>
      <c r="I118" s="567"/>
      <c r="J118" s="567"/>
      <c r="K118" s="568"/>
      <c r="L118" s="569"/>
      <c r="M118" s="570"/>
      <c r="N118" s="1259"/>
      <c r="O118" s="1259"/>
      <c r="P118" s="2409"/>
      <c r="Q118" s="485"/>
    </row>
    <row r="119" spans="1:17" ht="15.75" thickBot="1">
      <c r="A119" s="516"/>
      <c r="B119" s="526"/>
      <c r="C119" s="527">
        <v>100</v>
      </c>
      <c r="D119" s="527">
        <f t="shared" ref="D119:M119" si="29">C119-$K40</f>
        <v>100</v>
      </c>
      <c r="E119" s="527">
        <f t="shared" si="29"/>
        <v>100</v>
      </c>
      <c r="F119" s="527">
        <f t="shared" si="29"/>
        <v>100</v>
      </c>
      <c r="G119" s="527">
        <f t="shared" si="29"/>
        <v>100</v>
      </c>
      <c r="H119" s="527">
        <f t="shared" si="29"/>
        <v>100</v>
      </c>
      <c r="I119" s="527">
        <f t="shared" si="29"/>
        <v>100</v>
      </c>
      <c r="J119" s="527">
        <f t="shared" si="29"/>
        <v>100</v>
      </c>
      <c r="K119" s="527">
        <f t="shared" si="29"/>
        <v>100</v>
      </c>
      <c r="L119" s="527">
        <f t="shared" si="29"/>
        <v>100</v>
      </c>
      <c r="M119" s="527">
        <f t="shared" si="29"/>
        <v>100</v>
      </c>
      <c r="N119" s="1260"/>
      <c r="O119" s="1260"/>
      <c r="P119" s="2409"/>
      <c r="Q119" s="485"/>
    </row>
    <row r="120" spans="1:17" s="452" customFormat="1" ht="28.5" thickTop="1">
      <c r="A120" s="577"/>
      <c r="B120" s="521" t="s">
        <v>2364</v>
      </c>
      <c r="C120" s="537"/>
      <c r="D120" s="537"/>
      <c r="E120" s="537"/>
      <c r="F120" s="537"/>
      <c r="G120" s="537"/>
      <c r="H120" s="537"/>
      <c r="I120" s="537"/>
      <c r="J120" s="537"/>
      <c r="K120" s="537"/>
      <c r="L120" s="564"/>
      <c r="M120" s="565"/>
      <c r="N120" s="1261"/>
      <c r="O120" s="1261"/>
      <c r="P120" s="2410"/>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0"/>
      <c r="Q121" s="543"/>
    </row>
    <row r="122" spans="1:17" ht="15" thickTop="1">
      <c r="A122" s="583"/>
      <c r="B122" s="521" t="s">
        <v>2411</v>
      </c>
      <c r="C122" s="2755" t="s">
        <v>2849</v>
      </c>
      <c r="D122" s="2755" t="s">
        <v>2850</v>
      </c>
      <c r="E122" s="2755" t="s">
        <v>2851</v>
      </c>
      <c r="F122" s="567"/>
      <c r="G122" s="567"/>
      <c r="H122" s="567"/>
      <c r="I122" s="567"/>
      <c r="J122" s="567"/>
      <c r="K122" s="568"/>
      <c r="L122" s="569"/>
      <c r="M122" s="570"/>
      <c r="N122" s="1259"/>
      <c r="O122" s="1259"/>
      <c r="P122" s="2409"/>
      <c r="Q122" s="485"/>
    </row>
    <row r="123" spans="1:17" ht="15.75" thickBot="1">
      <c r="A123" s="516"/>
      <c r="B123" s="526"/>
      <c r="C123" s="527">
        <v>100</v>
      </c>
      <c r="D123" s="527">
        <f t="shared" ref="D123:M123" si="30">C123-$K42</f>
        <v>91</v>
      </c>
      <c r="E123" s="527">
        <f t="shared" si="30"/>
        <v>82</v>
      </c>
      <c r="F123" s="527">
        <f t="shared" si="30"/>
        <v>73</v>
      </c>
      <c r="G123" s="527">
        <f t="shared" si="30"/>
        <v>64</v>
      </c>
      <c r="H123" s="527">
        <f t="shared" si="30"/>
        <v>55</v>
      </c>
      <c r="I123" s="527">
        <f t="shared" si="30"/>
        <v>46</v>
      </c>
      <c r="J123" s="527">
        <f t="shared" si="30"/>
        <v>37</v>
      </c>
      <c r="K123" s="527">
        <f t="shared" si="30"/>
        <v>28</v>
      </c>
      <c r="L123" s="527">
        <f t="shared" si="30"/>
        <v>19</v>
      </c>
      <c r="M123" s="527">
        <f t="shared" si="30"/>
        <v>10</v>
      </c>
      <c r="N123" s="1260"/>
      <c r="O123" s="1260"/>
      <c r="P123" s="2409"/>
      <c r="Q123" s="485"/>
    </row>
    <row r="124" spans="1:17" ht="15" thickTop="1">
      <c r="A124" s="583"/>
      <c r="B124" s="521" t="s">
        <v>2412</v>
      </c>
      <c r="C124" s="562" t="s">
        <v>2387</v>
      </c>
      <c r="D124" s="562" t="s">
        <v>2388</v>
      </c>
      <c r="E124" s="562" t="s">
        <v>2389</v>
      </c>
      <c r="F124" s="562" t="s">
        <v>2390</v>
      </c>
      <c r="G124" s="562" t="s">
        <v>2391</v>
      </c>
      <c r="H124" s="522"/>
      <c r="I124" s="522"/>
      <c r="J124" s="522"/>
      <c r="K124" s="523"/>
      <c r="L124" s="524"/>
      <c r="M124" s="525"/>
      <c r="N124" s="1259"/>
      <c r="O124" s="1259"/>
      <c r="P124" s="2410"/>
      <c r="Q124" s="485"/>
    </row>
    <row r="125" spans="1:17" ht="15.75" thickBot="1">
      <c r="A125" s="516"/>
      <c r="B125" s="526"/>
      <c r="C125" s="527">
        <v>100</v>
      </c>
      <c r="D125" s="527">
        <f>C125-$K43</f>
        <v>96</v>
      </c>
      <c r="E125" s="527">
        <f>D125-$K43</f>
        <v>92</v>
      </c>
      <c r="F125" s="527">
        <f>E125-$K43</f>
        <v>88</v>
      </c>
      <c r="G125" s="527">
        <f>F125-$K43</f>
        <v>84</v>
      </c>
      <c r="H125" s="527"/>
      <c r="I125" s="527"/>
      <c r="J125" s="527"/>
      <c r="K125" s="527"/>
      <c r="L125" s="527"/>
      <c r="M125" s="528"/>
      <c r="N125" s="1260"/>
      <c r="O125" s="1260"/>
      <c r="P125" s="2409"/>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0"/>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0"/>
      <c r="Q127" s="543"/>
    </row>
    <row r="128" spans="1:17" ht="15" thickTop="1">
      <c r="A128" s="583"/>
      <c r="B128" s="521">
        <f>B45</f>
        <v>111</v>
      </c>
      <c r="C128" s="537"/>
      <c r="D128" s="537"/>
      <c r="E128" s="537"/>
      <c r="F128" s="537"/>
      <c r="G128" s="567"/>
      <c r="H128" s="567"/>
      <c r="I128" s="567"/>
      <c r="J128" s="567"/>
      <c r="K128" s="568"/>
      <c r="L128" s="569"/>
      <c r="M128" s="570"/>
      <c r="N128" s="1259"/>
      <c r="O128" s="1259"/>
      <c r="P128" s="2409"/>
      <c r="Q128" s="485"/>
    </row>
    <row r="129" spans="1:17" ht="15.75" thickBot="1">
      <c r="A129" s="516"/>
      <c r="B129" s="526"/>
      <c r="C129" s="544"/>
      <c r="D129" s="544"/>
      <c r="E129" s="544"/>
      <c r="F129" s="544"/>
      <c r="G129" s="518"/>
      <c r="H129" s="518"/>
      <c r="I129" s="518"/>
      <c r="J129" s="518"/>
      <c r="K129" s="518"/>
      <c r="L129" s="518"/>
      <c r="M129" s="519"/>
      <c r="N129" s="1260"/>
      <c r="O129" s="1260"/>
      <c r="P129" s="2409"/>
      <c r="Q129" s="485"/>
    </row>
    <row r="130" spans="1:17" ht="15" thickTop="1">
      <c r="A130" s="583"/>
      <c r="B130" s="529">
        <f>B46</f>
        <v>111</v>
      </c>
      <c r="C130" s="537"/>
      <c r="D130" s="537"/>
      <c r="E130" s="537"/>
      <c r="F130" s="537"/>
      <c r="G130" s="571"/>
      <c r="H130" s="571"/>
      <c r="I130" s="571"/>
      <c r="J130" s="571"/>
      <c r="K130" s="504"/>
      <c r="L130" s="505"/>
      <c r="M130" s="574"/>
      <c r="N130" s="1259"/>
      <c r="O130" s="1259"/>
      <c r="P130" s="2409"/>
      <c r="Q130" s="485"/>
    </row>
    <row r="131" spans="1:17" ht="15.75" thickBot="1">
      <c r="A131" s="2415"/>
      <c r="B131" s="553"/>
      <c r="C131" s="554"/>
      <c r="D131" s="554"/>
      <c r="E131" s="554"/>
      <c r="F131" s="554"/>
      <c r="G131" s="575"/>
      <c r="H131" s="575"/>
      <c r="I131" s="575"/>
      <c r="J131" s="575"/>
      <c r="K131" s="575"/>
      <c r="L131" s="575"/>
      <c r="M131" s="576"/>
      <c r="N131" s="1260"/>
      <c r="O131" s="1260"/>
      <c r="P131" s="2409"/>
      <c r="Q131" s="485"/>
    </row>
    <row r="136" spans="1:17" ht="15" thickBot="1">
      <c r="B136" s="2416" t="s">
        <v>2413</v>
      </c>
    </row>
    <row r="137" spans="1:17" ht="15">
      <c r="B137" s="2417" t="s">
        <v>2414</v>
      </c>
      <c r="C137" s="2418"/>
      <c r="D137" s="2418"/>
      <c r="E137" s="2418"/>
      <c r="F137" s="2418"/>
      <c r="G137" s="2419"/>
      <c r="H137" s="2420"/>
      <c r="I137" s="2421" t="s">
        <v>2415</v>
      </c>
      <c r="J137" s="2418"/>
      <c r="K137" s="2422"/>
    </row>
    <row r="138" spans="1:17" ht="15">
      <c r="B138" s="2423"/>
      <c r="C138" s="62" t="s">
        <v>2416</v>
      </c>
      <c r="D138" s="62" t="s">
        <v>2417</v>
      </c>
      <c r="E138" s="2424" t="s">
        <v>2418</v>
      </c>
      <c r="F138" s="2425" t="s">
        <v>2419</v>
      </c>
      <c r="G138" s="62" t="s">
        <v>2417</v>
      </c>
      <c r="H138" s="63" t="s">
        <v>2418</v>
      </c>
      <c r="I138" s="2426"/>
      <c r="J138" s="62" t="s">
        <v>2420</v>
      </c>
      <c r="K138" s="63" t="s">
        <v>2421</v>
      </c>
    </row>
    <row r="139" spans="1:17" ht="15">
      <c r="B139" s="1119">
        <v>6</v>
      </c>
      <c r="C139" s="1127">
        <v>96</v>
      </c>
      <c r="D139" s="2427" t="s">
        <v>2422</v>
      </c>
      <c r="E139" s="1128">
        <v>100</v>
      </c>
      <c r="F139" s="1129">
        <v>102.5</v>
      </c>
      <c r="G139" s="2427" t="s">
        <v>2422</v>
      </c>
      <c r="H139" s="1130">
        <v>105</v>
      </c>
      <c r="I139" s="2428" t="s">
        <v>2423</v>
      </c>
      <c r="J139" s="1127">
        <v>20</v>
      </c>
      <c r="K139" s="1121">
        <f>C145/(J139-2)</f>
        <v>4.0555555555555553E-3</v>
      </c>
    </row>
    <row r="140" spans="1:17" ht="15">
      <c r="B140" s="1120">
        <v>5</v>
      </c>
      <c r="C140" s="1131">
        <v>100</v>
      </c>
      <c r="D140" s="1131"/>
      <c r="E140" s="1132"/>
      <c r="F140" s="1133">
        <v>102</v>
      </c>
      <c r="G140" s="1131"/>
      <c r="H140" s="1134"/>
      <c r="I140" s="2429" t="s">
        <v>2424</v>
      </c>
      <c r="J140" s="217">
        <f>ROUNDUP((J139-1)/2,0)</f>
        <v>10</v>
      </c>
      <c r="K140" s="1122">
        <v>100</v>
      </c>
    </row>
    <row r="141" spans="1:17" ht="15">
      <c r="B141" s="1120">
        <v>4</v>
      </c>
      <c r="C141" s="1131">
        <v>102</v>
      </c>
      <c r="D141" s="1131"/>
      <c r="E141" s="1132"/>
      <c r="F141" s="1133">
        <v>101.5</v>
      </c>
      <c r="G141" s="1131"/>
      <c r="H141" s="1134"/>
      <c r="I141" s="2429" t="s">
        <v>2425</v>
      </c>
      <c r="J141" s="217">
        <v>1</v>
      </c>
      <c r="K141" s="1123">
        <f>ROUND(100+(J141-J140)*K139*100,1)</f>
        <v>96.4</v>
      </c>
    </row>
    <row r="142" spans="1:17" ht="15">
      <c r="B142" s="1120">
        <v>3</v>
      </c>
      <c r="C142" s="1131">
        <v>103</v>
      </c>
      <c r="D142" s="1131"/>
      <c r="E142" s="1132"/>
      <c r="F142" s="1133">
        <v>101</v>
      </c>
      <c r="G142" s="1131"/>
      <c r="H142" s="1134"/>
      <c r="I142" s="2429" t="s">
        <v>2426</v>
      </c>
      <c r="J142" s="217">
        <f>J139</f>
        <v>20</v>
      </c>
      <c r="K142" s="1136">
        <v>95</v>
      </c>
    </row>
    <row r="143" spans="1:17" ht="15">
      <c r="B143" s="1120">
        <v>2</v>
      </c>
      <c r="C143" s="1131">
        <v>100</v>
      </c>
      <c r="D143" s="1131"/>
      <c r="E143" s="1132"/>
      <c r="F143" s="1133">
        <v>100.5</v>
      </c>
      <c r="G143" s="1131"/>
      <c r="H143" s="1134"/>
      <c r="I143" s="2429" t="s">
        <v>2427</v>
      </c>
      <c r="J143" s="1131">
        <v>15</v>
      </c>
      <c r="K143" s="1123">
        <f>ROUND(100+(J143-J140)*K139*100,1)</f>
        <v>102</v>
      </c>
    </row>
    <row r="144" spans="1:17" ht="15">
      <c r="B144" s="1120">
        <v>1</v>
      </c>
      <c r="C144" s="1131">
        <v>98</v>
      </c>
      <c r="D144" s="2430" t="s">
        <v>2428</v>
      </c>
      <c r="E144" s="1132">
        <v>102</v>
      </c>
      <c r="F144" s="1135">
        <v>100</v>
      </c>
      <c r="G144" s="2430" t="s">
        <v>2428</v>
      </c>
      <c r="H144" s="1134">
        <v>105</v>
      </c>
      <c r="I144" s="2429" t="s">
        <v>2427</v>
      </c>
      <c r="J144" s="1131">
        <v>18</v>
      </c>
      <c r="K144" s="1123">
        <f>ROUND(100+(J144-J140)*K139*100,1)</f>
        <v>103.2</v>
      </c>
    </row>
    <row r="145" spans="2:11" ht="15.75" thickBot="1">
      <c r="B145" s="2431" t="s">
        <v>2429</v>
      </c>
      <c r="C145" s="1125">
        <f>ROUND(MAX(C139:C144)/MIN(C139:C144)-1,3)</f>
        <v>7.2999999999999995E-2</v>
      </c>
      <c r="D145" s="1126"/>
      <c r="E145" s="1126"/>
      <c r="F145" s="2432" t="s">
        <v>2430</v>
      </c>
      <c r="G145" s="2433"/>
      <c r="H145" s="2434"/>
      <c r="I145" s="2435" t="s">
        <v>2427</v>
      </c>
      <c r="J145" s="1137">
        <v>8</v>
      </c>
      <c r="K145" s="1124">
        <f>ROUND(100+(J145-J140)*K139*100,1)</f>
        <v>99.2</v>
      </c>
    </row>
    <row r="147" spans="2:11">
      <c r="B147" s="2416" t="s">
        <v>2431</v>
      </c>
    </row>
    <row r="148" spans="2:11">
      <c r="B148" s="2416" t="s">
        <v>2432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3"/>
  <sheetViews>
    <sheetView zoomScale="80" zoomScaleNormal="80" workbookViewId="0">
      <selection activeCell="I6" sqref="I6:L6"/>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37" t="s">
        <v>1027</v>
      </c>
      <c r="C1" s="3137"/>
      <c r="D1" s="3137"/>
      <c r="E1" s="3137"/>
      <c r="F1" s="3137"/>
      <c r="G1" s="3136" t="s">
        <v>1028</v>
      </c>
      <c r="H1" s="3136"/>
      <c r="I1" s="3136"/>
      <c r="J1" s="3136"/>
      <c r="K1" s="3136"/>
      <c r="L1" s="3136"/>
      <c r="N1" s="3136" t="s">
        <v>1029</v>
      </c>
      <c r="O1" s="3136"/>
      <c r="P1" s="3136"/>
      <c r="Q1" s="3136"/>
      <c r="R1" s="1540"/>
      <c r="S1" s="3136" t="s">
        <v>1030</v>
      </c>
      <c r="T1" s="3136"/>
      <c r="U1" s="3136"/>
      <c r="V1" s="3136"/>
      <c r="X1" s="3135" t="s">
        <v>1031</v>
      </c>
      <c r="Y1" s="3136"/>
      <c r="Z1" s="3136"/>
      <c r="AA1" s="3136"/>
      <c r="AB1" s="3136"/>
      <c r="AD1" s="3135" t="s">
        <v>1032</v>
      </c>
      <c r="AE1" s="3136"/>
      <c r="AF1" s="3136"/>
      <c r="AG1" s="3136"/>
      <c r="AH1" s="3136"/>
    </row>
    <row r="2" spans="1:34" s="1541" customFormat="1" ht="14.25" thickBot="1">
      <c r="B2" s="1542" t="s">
        <v>1033</v>
      </c>
      <c r="C2" s="1542" t="s">
        <v>1034</v>
      </c>
      <c r="D2" s="1543" t="s">
        <v>1035</v>
      </c>
      <c r="E2" s="1543" t="s">
        <v>1036</v>
      </c>
      <c r="F2" s="1542" t="s">
        <v>1037</v>
      </c>
      <c r="G2" s="1544"/>
      <c r="H2" s="1545"/>
      <c r="I2" s="1542" t="s">
        <v>1254</v>
      </c>
      <c r="J2" s="1543" t="s">
        <v>1255</v>
      </c>
      <c r="K2" s="1543" t="s">
        <v>1256</v>
      </c>
      <c r="L2" s="1542" t="s">
        <v>1257</v>
      </c>
      <c r="N2" s="1542" t="s">
        <v>1033</v>
      </c>
      <c r="O2" s="1543" t="s">
        <v>1258</v>
      </c>
      <c r="P2" s="1543" t="s">
        <v>728</v>
      </c>
      <c r="Q2" s="1542" t="s">
        <v>1037</v>
      </c>
      <c r="R2" s="1546"/>
      <c r="S2" s="1542" t="s">
        <v>1033</v>
      </c>
      <c r="T2" s="1543" t="s">
        <v>1258</v>
      </c>
      <c r="U2" s="1543" t="s">
        <v>728</v>
      </c>
      <c r="V2" s="1542" t="s">
        <v>1037</v>
      </c>
      <c r="X2" s="1542" t="s">
        <v>1038</v>
      </c>
      <c r="Y2" s="1542" t="s">
        <v>1039</v>
      </c>
      <c r="Z2" s="1543" t="s">
        <v>1040</v>
      </c>
      <c r="AA2" s="1543" t="s">
        <v>1041</v>
      </c>
      <c r="AB2" s="1542" t="s">
        <v>1042</v>
      </c>
      <c r="AD2" s="1542" t="s">
        <v>1038</v>
      </c>
      <c r="AE2" s="1542" t="s">
        <v>1039</v>
      </c>
      <c r="AF2" s="1543" t="s">
        <v>1040</v>
      </c>
      <c r="AG2" s="1543" t="s">
        <v>1041</v>
      </c>
      <c r="AH2" s="1542" t="s">
        <v>1042</v>
      </c>
    </row>
    <row r="3" spans="1:34" s="2690" customFormat="1" ht="14.25">
      <c r="A3" s="2701" t="s">
        <v>2792</v>
      </c>
      <c r="B3" s="2691"/>
      <c r="C3" s="2691"/>
      <c r="D3" s="2692"/>
      <c r="E3" s="2692"/>
      <c r="F3" s="2691"/>
      <c r="G3" s="2693"/>
      <c r="H3" s="2694"/>
      <c r="I3" s="2695">
        <f>ROUND(AVERAGE(I4:I30),2)</f>
        <v>1.85</v>
      </c>
      <c r="J3" s="2695">
        <f>ROUND(AVERAGE(J4:J30),2)</f>
        <v>1.28</v>
      </c>
      <c r="K3" s="2695">
        <f>ROUND(AVERAGE(K4:K30),2)</f>
        <v>2.0299999999999998</v>
      </c>
      <c r="L3" s="2696">
        <f>ROUND(AVERAGE(L4:L30),2)</f>
        <v>1.31</v>
      </c>
      <c r="N3" s="2693"/>
      <c r="O3" s="2697"/>
      <c r="P3" s="2697"/>
      <c r="Q3" s="2697"/>
      <c r="R3" s="2697"/>
      <c r="S3" s="2693"/>
      <c r="T3" s="2697"/>
      <c r="U3" s="2697"/>
      <c r="V3" s="2697"/>
      <c r="W3" s="2700"/>
      <c r="X3" s="2698">
        <f>ROUND(SUMPRODUCT(PRODUCT(1+N3:N$29)),4)</f>
        <v>1.5605</v>
      </c>
      <c r="Y3" s="2698">
        <f>ROUND(SUMPRODUCT(PRODUCT(1+O3:O$29)),4)</f>
        <v>1.3577999999999999</v>
      </c>
      <c r="Z3" s="2698">
        <f t="shared" ref="Z3:Z27" si="0">Y3</f>
        <v>1.3577999999999999</v>
      </c>
      <c r="AA3" s="2698">
        <f>ROUND(SUMPRODUCT(PRODUCT(1+P3:P$29)),4)</f>
        <v>1.6254999999999999</v>
      </c>
      <c r="AB3" s="2698">
        <f>ROUND(SUMPRODUCT(PRODUCT(1+Q3:Q$29)),4)</f>
        <v>1.3815999999999999</v>
      </c>
      <c r="AD3" s="2699">
        <f>ROUND(AVERAGE(I3:I$30)/100,4)</f>
        <v>1.8499999999999999E-2</v>
      </c>
      <c r="AE3" s="2699">
        <f>ROUND(AVERAGE(J3:J$30)/100,4)</f>
        <v>1.2800000000000001E-2</v>
      </c>
      <c r="AF3" s="2699">
        <f t="shared" ref="AF3:AF18" si="1">AE3</f>
        <v>1.2800000000000001E-2</v>
      </c>
      <c r="AG3" s="2699">
        <f>ROUND(AVERAGE(K3:K$30)/100,4)</f>
        <v>2.0299999999999999E-2</v>
      </c>
      <c r="AH3" s="2699">
        <f>ROUND(AVERAGE(L3:L$30)/100,4)</f>
        <v>1.3100000000000001E-2</v>
      </c>
    </row>
    <row r="4" spans="1:34" s="1547" customFormat="1" ht="14.25">
      <c r="B4" s="1548"/>
      <c r="C4" s="1548"/>
      <c r="D4" s="1549"/>
      <c r="E4" s="1549"/>
      <c r="F4" s="1548"/>
      <c r="G4" s="1550"/>
      <c r="H4" s="1551"/>
      <c r="I4" s="2683"/>
      <c r="J4" s="2683"/>
      <c r="K4" s="2683"/>
      <c r="L4" s="2683"/>
      <c r="N4" s="1550"/>
      <c r="O4" s="1552"/>
      <c r="P4" s="1552"/>
      <c r="Q4" s="1552"/>
      <c r="R4" s="1552"/>
      <c r="S4" s="1550"/>
      <c r="T4" s="1552"/>
      <c r="U4" s="1552"/>
      <c r="V4" s="1552"/>
      <c r="X4" s="1553"/>
      <c r="Y4" s="1553"/>
      <c r="Z4" s="1553"/>
      <c r="AA4" s="1553"/>
      <c r="AB4" s="1553"/>
      <c r="AD4" s="1554"/>
      <c r="AE4" s="1554"/>
      <c r="AF4" s="1554"/>
      <c r="AG4" s="1554"/>
      <c r="AH4" s="1554"/>
    </row>
    <row r="5" spans="1:34" s="1814" customFormat="1">
      <c r="A5" s="1812" t="s">
        <v>2822</v>
      </c>
      <c r="B5" s="1560">
        <f t="shared" ref="B5" si="2">B6*(1+N5)</f>
        <v>479.92259063878413</v>
      </c>
      <c r="C5" s="1560">
        <f t="shared" ref="C5" si="3">C6*(1+O5)</f>
        <v>350.02082268341775</v>
      </c>
      <c r="D5" s="1809">
        <f t="shared" ref="D5" si="4">C5</f>
        <v>350.02082268341775</v>
      </c>
      <c r="E5" s="1560">
        <f t="shared" ref="E5" si="5">E6*(1+P5)</f>
        <v>687.42265944181099</v>
      </c>
      <c r="F5" s="1560">
        <f t="shared" ref="F5" si="6">F6*(1+Q5)</f>
        <v>317.63846657708956</v>
      </c>
      <c r="G5" s="2736">
        <v>2020</v>
      </c>
      <c r="H5" s="1813">
        <v>2</v>
      </c>
      <c r="I5" s="2684">
        <v>0</v>
      </c>
      <c r="J5" s="2684">
        <v>0</v>
      </c>
      <c r="K5" s="2684">
        <v>0</v>
      </c>
      <c r="L5" s="2685">
        <v>0</v>
      </c>
      <c r="N5" s="1562">
        <f t="shared" ref="N5" si="7">I5/100</f>
        <v>0</v>
      </c>
      <c r="O5" s="1562">
        <f t="shared" ref="O5" si="8">J5/100</f>
        <v>0</v>
      </c>
      <c r="P5" s="1562">
        <f t="shared" ref="P5" si="9">K5/100</f>
        <v>0</v>
      </c>
      <c r="Q5" s="1562">
        <f t="shared" ref="Q5" si="10">L5/100</f>
        <v>0</v>
      </c>
      <c r="R5" s="1815"/>
      <c r="S5" s="1816"/>
      <c r="T5" s="1815"/>
      <c r="U5" s="1815"/>
      <c r="V5" s="1815"/>
      <c r="W5" s="2689" t="s">
        <v>2791</v>
      </c>
      <c r="X5" s="1808">
        <f>ROUND(SUMPRODUCT(PRODUCT(1+N5:N$29)),4)</f>
        <v>1.5605</v>
      </c>
      <c r="Y5" s="1808">
        <f>ROUND(SUMPRODUCT(PRODUCT(1+O5:O$29)),4)</f>
        <v>1.3577999999999999</v>
      </c>
      <c r="Z5" s="1808">
        <f t="shared" ref="Z5" si="11">Y5</f>
        <v>1.3577999999999999</v>
      </c>
      <c r="AA5" s="1808">
        <f>ROUND(SUMPRODUCT(PRODUCT(1+P5:P$29)),4)</f>
        <v>1.6254999999999999</v>
      </c>
      <c r="AB5" s="1808">
        <f>ROUND(SUMPRODUCT(PRODUCT(1+Q5:Q$29)),4)</f>
        <v>1.3815999999999999</v>
      </c>
      <c r="AD5" s="1563">
        <f>ROUND(AVERAGE(I5:I$30)/100,4)</f>
        <v>1.8499999999999999E-2</v>
      </c>
      <c r="AE5" s="1563">
        <f>ROUND(AVERAGE(J5:J$30)/100,4)</f>
        <v>1.2800000000000001E-2</v>
      </c>
      <c r="AF5" s="1563">
        <f t="shared" ref="AF5" si="12">AE5</f>
        <v>1.2800000000000001E-2</v>
      </c>
      <c r="AG5" s="1563">
        <f>ROUND(AVERAGE(K5:K$30)/100,4)</f>
        <v>2.0299999999999999E-2</v>
      </c>
      <c r="AH5" s="1563">
        <f>ROUND(AVERAGE(L5:L$30)/100,4)</f>
        <v>1.3100000000000001E-2</v>
      </c>
    </row>
    <row r="6" spans="1:34" s="2732" customFormat="1" ht="14.45" customHeight="1">
      <c r="A6" s="1555" t="s">
        <v>2821</v>
      </c>
      <c r="B6" s="2726">
        <f t="shared" ref="B6" si="13">B7*(1+N6)</f>
        <v>479.92259063878413</v>
      </c>
      <c r="C6" s="2726">
        <f t="shared" ref="C6" si="14">C7*(1+O6)</f>
        <v>350.02082268341775</v>
      </c>
      <c r="D6" s="2726">
        <f t="shared" ref="D6" si="15">C6</f>
        <v>350.02082268341775</v>
      </c>
      <c r="E6" s="2726">
        <f t="shared" ref="E6" si="16">E7*(1+P6)</f>
        <v>687.42265944181099</v>
      </c>
      <c r="F6" s="2726">
        <f t="shared" ref="F6" si="17">F7*(1+Q6)</f>
        <v>317.63846657708956</v>
      </c>
      <c r="G6" s="2736">
        <v>2020</v>
      </c>
      <c r="H6" s="1558">
        <v>1</v>
      </c>
      <c r="I6" s="1558">
        <v>0.12</v>
      </c>
      <c r="J6" s="1558">
        <v>-0.4</v>
      </c>
      <c r="K6" s="1558">
        <v>0.21</v>
      </c>
      <c r="L6" s="1573">
        <v>0.27</v>
      </c>
      <c r="M6" s="2727"/>
      <c r="N6" s="2728">
        <f t="shared" ref="N6" si="18">I6/100</f>
        <v>1.1999999999999999E-3</v>
      </c>
      <c r="O6" s="2729">
        <f t="shared" ref="O6" si="19">J6/100</f>
        <v>-4.0000000000000001E-3</v>
      </c>
      <c r="P6" s="2729">
        <f t="shared" ref="P6" si="20">K6/100</f>
        <v>2.0999999999999999E-3</v>
      </c>
      <c r="Q6" s="2729">
        <f t="shared" ref="Q6" si="21">L6/100</f>
        <v>2.7000000000000001E-3</v>
      </c>
      <c r="R6" s="2727"/>
      <c r="S6" s="2728">
        <f>B6/B7-1</f>
        <v>1.2000000000000899E-3</v>
      </c>
      <c r="T6" s="2729">
        <f>C6/C7-1</f>
        <v>-4.0000000000000036E-3</v>
      </c>
      <c r="U6" s="2729">
        <f>E6/E7-1</f>
        <v>2.0999999999999908E-3</v>
      </c>
      <c r="V6" s="2729">
        <f>F6/F7-1</f>
        <v>2.6999999999999247E-3</v>
      </c>
      <c r="W6" s="2727"/>
      <c r="X6" s="2730">
        <f>ROUND(SUMPRODUCT(PRODUCT(1+N6:N$29)),4)</f>
        <v>1.5605</v>
      </c>
      <c r="Y6" s="2730">
        <f>ROUND(SUMPRODUCT(PRODUCT(1+O6:O$29)),4)</f>
        <v>1.3577999999999999</v>
      </c>
      <c r="Z6" s="2730">
        <f t="shared" ref="Z6" si="22">Y6</f>
        <v>1.3577999999999999</v>
      </c>
      <c r="AA6" s="2730">
        <f>ROUND(SUMPRODUCT(PRODUCT(1+P6:P$29)),4)</f>
        <v>1.6254999999999999</v>
      </c>
      <c r="AB6" s="2730">
        <f>ROUND(SUMPRODUCT(PRODUCT(1+Q6:Q$29)),4)</f>
        <v>1.3815999999999999</v>
      </c>
      <c r="AC6" s="2727"/>
      <c r="AD6" s="2731">
        <f>ROUND(AVERAGE(I6:I$30)/100,4)</f>
        <v>1.9199999999999998E-2</v>
      </c>
      <c r="AE6" s="2731">
        <f>ROUND(AVERAGE(J6:J$30)/100,4)</f>
        <v>1.3299999999999999E-2</v>
      </c>
      <c r="AF6" s="2731">
        <f t="shared" ref="AF6" si="23">AE6</f>
        <v>1.3299999999999999E-2</v>
      </c>
      <c r="AG6" s="2731">
        <f>ROUND(AVERAGE(K6:K$30)/100,4)</f>
        <v>2.1100000000000001E-2</v>
      </c>
      <c r="AH6" s="2731">
        <f>ROUND(AVERAGE(L6:L$30)/100,4)</f>
        <v>1.3599999999999999E-2</v>
      </c>
    </row>
    <row r="7" spans="1:34" s="2732" customFormat="1" ht="14.45" customHeight="1">
      <c r="A7" s="1555" t="s">
        <v>2819</v>
      </c>
      <c r="B7" s="2726">
        <f t="shared" ref="B7:B12" si="24">B8*(1+N7)</f>
        <v>479.34737379023579</v>
      </c>
      <c r="C7" s="2726">
        <f t="shared" ref="C7" si="25">C8*(1+O7)</f>
        <v>351.4265287986122</v>
      </c>
      <c r="D7" s="2726">
        <f t="shared" ref="D7" si="26">C7</f>
        <v>351.4265287986122</v>
      </c>
      <c r="E7" s="2726">
        <f t="shared" ref="E7" si="27">E8*(1+P7)</f>
        <v>685.98209703803116</v>
      </c>
      <c r="F7" s="2726">
        <f t="shared" ref="F7" si="28">F8*(1+Q7)</f>
        <v>316.78315206651001</v>
      </c>
      <c r="G7" s="2735">
        <v>2019</v>
      </c>
      <c r="H7" s="1558">
        <v>4</v>
      </c>
      <c r="I7" s="1558">
        <v>0.45</v>
      </c>
      <c r="J7" s="1558">
        <v>-0.12</v>
      </c>
      <c r="K7" s="1558">
        <v>0.54</v>
      </c>
      <c r="L7" s="1573">
        <v>0.48</v>
      </c>
      <c r="M7" s="2727"/>
      <c r="N7" s="2728">
        <f t="shared" ref="N7:N12" si="29">I7/100</f>
        <v>4.5000000000000005E-3</v>
      </c>
      <c r="O7" s="2729">
        <f t="shared" ref="O7" si="30">J7/100</f>
        <v>-1.1999999999999999E-3</v>
      </c>
      <c r="P7" s="2729">
        <f t="shared" ref="P7" si="31">K7/100</f>
        <v>5.4000000000000003E-3</v>
      </c>
      <c r="Q7" s="2729">
        <f t="shared" ref="Q7" si="32">L7/100</f>
        <v>4.7999999999999996E-3</v>
      </c>
      <c r="R7" s="2727"/>
      <c r="S7" s="2728"/>
      <c r="T7" s="2729"/>
      <c r="U7" s="2729"/>
      <c r="V7" s="2729"/>
      <c r="W7" s="2727"/>
      <c r="X7" s="2730">
        <f>ROUND(SUMPRODUCT(PRODUCT(1+N7:N$29)),4)</f>
        <v>1.5586</v>
      </c>
      <c r="Y7" s="2730">
        <f>ROUND(SUMPRODUCT(PRODUCT(1+O7:O$29)),4)</f>
        <v>1.3633</v>
      </c>
      <c r="Z7" s="2730">
        <f t="shared" ref="Z7" si="33">Y7</f>
        <v>1.3633</v>
      </c>
      <c r="AA7" s="2730">
        <f>ROUND(SUMPRODUCT(PRODUCT(1+P7:P$29)),4)</f>
        <v>1.6221000000000001</v>
      </c>
      <c r="AB7" s="2730">
        <f>ROUND(SUMPRODUCT(PRODUCT(1+Q7:Q$29)),4)</f>
        <v>1.3777999999999999</v>
      </c>
      <c r="AC7" s="2727"/>
      <c r="AD7" s="2731">
        <f>ROUND(AVERAGE(I7:I$30)/100,4)</f>
        <v>0.02</v>
      </c>
      <c r="AE7" s="2731">
        <f>ROUND(AVERAGE(J7:J$30)/100,4)</f>
        <v>1.4E-2</v>
      </c>
      <c r="AF7" s="2731">
        <f t="shared" ref="AF7" si="34">AE7</f>
        <v>1.4E-2</v>
      </c>
      <c r="AG7" s="2731">
        <f>ROUND(AVERAGE(K7:K$30)/100,4)</f>
        <v>2.1899999999999999E-2</v>
      </c>
      <c r="AH7" s="2731">
        <f>ROUND(AVERAGE(L7:L$30)/100,4)</f>
        <v>1.4E-2</v>
      </c>
    </row>
    <row r="8" spans="1:34" s="2732" customFormat="1" ht="14.45" customHeight="1" thickBot="1">
      <c r="A8" s="1555" t="s">
        <v>2815</v>
      </c>
      <c r="B8" s="2726">
        <f t="shared" si="24"/>
        <v>477.19997390765138</v>
      </c>
      <c r="C8" s="2726">
        <f t="shared" ref="C8" si="35">C9*(1+O8)</f>
        <v>351.84874729536665</v>
      </c>
      <c r="D8" s="2726">
        <f t="shared" ref="D8" si="36">C8</f>
        <v>351.84874729536665</v>
      </c>
      <c r="E8" s="2726">
        <f t="shared" ref="E8" si="37">E9*(1+P8)</f>
        <v>682.29768951465201</v>
      </c>
      <c r="F8" s="2726">
        <f t="shared" ref="F8" si="38">F9*(1+Q8)</f>
        <v>315.26985675409043</v>
      </c>
      <c r="G8" s="2734">
        <v>2019</v>
      </c>
      <c r="H8" s="1558">
        <v>3</v>
      </c>
      <c r="I8" s="1558">
        <v>0.61</v>
      </c>
      <c r="J8" s="1558">
        <v>0.67</v>
      </c>
      <c r="K8" s="1558">
        <v>0.6</v>
      </c>
      <c r="L8" s="1573">
        <v>1.03</v>
      </c>
      <c r="M8" s="2727"/>
      <c r="N8" s="2728">
        <f t="shared" si="29"/>
        <v>6.0999999999999995E-3</v>
      </c>
      <c r="O8" s="2729">
        <f t="shared" ref="O8" si="39">J8/100</f>
        <v>6.7000000000000002E-3</v>
      </c>
      <c r="P8" s="2729">
        <f t="shared" ref="P8" si="40">K8/100</f>
        <v>6.0000000000000001E-3</v>
      </c>
      <c r="Q8" s="2729">
        <f t="shared" ref="Q8" si="41">L8/100</f>
        <v>1.03E-2</v>
      </c>
      <c r="R8" s="2727"/>
      <c r="S8" s="2728"/>
      <c r="T8" s="2729"/>
      <c r="U8" s="2729"/>
      <c r="V8" s="2729"/>
      <c r="W8" s="2727"/>
      <c r="X8" s="2730">
        <f>ROUND(SUMPRODUCT(PRODUCT(1+N8:N$29)),4)</f>
        <v>1.5516000000000001</v>
      </c>
      <c r="Y8" s="2730">
        <f>ROUND(SUMPRODUCT(PRODUCT(1+O8:O$29)),4)</f>
        <v>1.3649</v>
      </c>
      <c r="Z8" s="2730">
        <f t="shared" ref="Z8" si="42">Y8</f>
        <v>1.3649</v>
      </c>
      <c r="AA8" s="2730">
        <f>ROUND(SUMPRODUCT(PRODUCT(1+P8:P$29)),4)</f>
        <v>1.6133999999999999</v>
      </c>
      <c r="AB8" s="2730">
        <f>ROUND(SUMPRODUCT(PRODUCT(1+Q8:Q$29)),4)</f>
        <v>1.3713</v>
      </c>
      <c r="AC8" s="2727"/>
      <c r="AD8" s="2731">
        <f>ROUND(AVERAGE(I8:I$30)/100,4)</f>
        <v>2.07E-2</v>
      </c>
      <c r="AE8" s="2731">
        <f>ROUND(AVERAGE(J8:J$30)/100,4)</f>
        <v>1.47E-2</v>
      </c>
      <c r="AF8" s="2731">
        <f t="shared" ref="AF8" si="43">AE8</f>
        <v>1.47E-2</v>
      </c>
      <c r="AG8" s="2731">
        <f>ROUND(AVERAGE(K8:K$30)/100,4)</f>
        <v>2.2599999999999999E-2</v>
      </c>
      <c r="AH8" s="2731">
        <f>ROUND(AVERAGE(L8:L$30)/100,4)</f>
        <v>1.44E-2</v>
      </c>
    </row>
    <row r="9" spans="1:34" s="2732" customFormat="1" ht="14.45" customHeight="1">
      <c r="A9" s="1555" t="s">
        <v>2809</v>
      </c>
      <c r="B9" s="2726">
        <f t="shared" si="24"/>
        <v>474.30670301923408</v>
      </c>
      <c r="C9" s="2726">
        <f t="shared" ref="C9" si="44">C10*(1+O9)</f>
        <v>349.50705005996491</v>
      </c>
      <c r="D9" s="2726">
        <f t="shared" ref="D9" si="45">C9</f>
        <v>349.50705005996491</v>
      </c>
      <c r="E9" s="2726">
        <f t="shared" ref="E9" si="46">E10*(1+P9)</f>
        <v>678.22831959706957</v>
      </c>
      <c r="F9" s="2726">
        <f t="shared" ref="F9" si="47">F10*(1+Q9)</f>
        <v>312.0556832169558</v>
      </c>
      <c r="G9" s="2725">
        <v>2019</v>
      </c>
      <c r="H9" s="1556">
        <v>2</v>
      </c>
      <c r="I9" s="1556">
        <v>1.53</v>
      </c>
      <c r="J9" s="1556">
        <v>1.01</v>
      </c>
      <c r="K9" s="1556">
        <v>1.62</v>
      </c>
      <c r="L9" s="1557">
        <v>1.25</v>
      </c>
      <c r="M9" s="2727"/>
      <c r="N9" s="2728">
        <f t="shared" si="29"/>
        <v>1.5300000000000001E-2</v>
      </c>
      <c r="O9" s="2729">
        <f t="shared" ref="O9" si="48">J9/100</f>
        <v>1.01E-2</v>
      </c>
      <c r="P9" s="2729">
        <f t="shared" ref="P9" si="49">K9/100</f>
        <v>1.6200000000000003E-2</v>
      </c>
      <c r="Q9" s="2729">
        <f t="shared" ref="Q9" si="50">L9/100</f>
        <v>1.2500000000000001E-2</v>
      </c>
      <c r="R9" s="2727"/>
      <c r="S9" s="2728"/>
      <c r="T9" s="2729"/>
      <c r="U9" s="2729"/>
      <c r="V9" s="2729"/>
      <c r="W9" s="2727"/>
      <c r="X9" s="2730">
        <f>ROUND(SUMPRODUCT(PRODUCT(1+N9:N$29)),4)</f>
        <v>1.5422</v>
      </c>
      <c r="Y9" s="2730">
        <f>ROUND(SUMPRODUCT(PRODUCT(1+O9:O$29)),4)</f>
        <v>1.3557999999999999</v>
      </c>
      <c r="Z9" s="2730">
        <f t="shared" ref="Z9" si="51">Y9</f>
        <v>1.3557999999999999</v>
      </c>
      <c r="AA9" s="2730">
        <f>ROUND(SUMPRODUCT(PRODUCT(1+P9:P$29)),4)</f>
        <v>1.6036999999999999</v>
      </c>
      <c r="AB9" s="2730">
        <f>ROUND(SUMPRODUCT(PRODUCT(1+Q9:Q$29)),4)</f>
        <v>1.3573</v>
      </c>
      <c r="AC9" s="2727"/>
      <c r="AD9" s="2731">
        <f>ROUND(AVERAGE(I9:I$30)/100,4)</f>
        <v>2.1299999999999999E-2</v>
      </c>
      <c r="AE9" s="2731">
        <f>ROUND(AVERAGE(J9:J$30)/100,4)</f>
        <v>1.4999999999999999E-2</v>
      </c>
      <c r="AF9" s="2731">
        <f t="shared" ref="AF9" si="52">AE9</f>
        <v>1.4999999999999999E-2</v>
      </c>
      <c r="AG9" s="2731">
        <f>ROUND(AVERAGE(K9:K$30)/100,4)</f>
        <v>2.3300000000000001E-2</v>
      </c>
      <c r="AH9" s="2731">
        <f>ROUND(AVERAGE(L9:L$30)/100,4)</f>
        <v>1.46E-2</v>
      </c>
    </row>
    <row r="10" spans="1:34" s="2732" customFormat="1" ht="14.45" customHeight="1" thickBot="1">
      <c r="A10" s="1555" t="s">
        <v>2810</v>
      </c>
      <c r="B10" s="2726">
        <f t="shared" si="24"/>
        <v>467.15916775261894</v>
      </c>
      <c r="C10" s="2726">
        <f t="shared" ref="C10" si="53">C11*(1+O10)</f>
        <v>346.01232557169084</v>
      </c>
      <c r="D10" s="2726">
        <f t="shared" ref="D10" si="54">C10</f>
        <v>346.01232557169084</v>
      </c>
      <c r="E10" s="2726">
        <f t="shared" ref="E10" si="55">E11*(1+P10)</f>
        <v>667.41617752122568</v>
      </c>
      <c r="F10" s="2726">
        <f t="shared" ref="F10" si="56">F11*(1+Q10)</f>
        <v>308.20314391798104</v>
      </c>
      <c r="G10" s="2706">
        <v>2019</v>
      </c>
      <c r="H10" s="1558">
        <v>1</v>
      </c>
      <c r="I10" s="1558">
        <v>0.6</v>
      </c>
      <c r="J10" s="1558">
        <v>0.37</v>
      </c>
      <c r="K10" s="1558">
        <v>0.63</v>
      </c>
      <c r="L10" s="1573">
        <v>1.1299999999999999</v>
      </c>
      <c r="M10" s="2727"/>
      <c r="N10" s="2728">
        <f t="shared" si="29"/>
        <v>6.0000000000000001E-3</v>
      </c>
      <c r="O10" s="2729">
        <f t="shared" ref="O10" si="57">J10/100</f>
        <v>3.7000000000000002E-3</v>
      </c>
      <c r="P10" s="2729">
        <f t="shared" ref="P10" si="58">K10/100</f>
        <v>6.3E-3</v>
      </c>
      <c r="Q10" s="2729">
        <f t="shared" ref="Q10" si="59">L10/100</f>
        <v>1.1299999999999999E-2</v>
      </c>
      <c r="R10" s="2727"/>
      <c r="S10" s="2728">
        <f>B10/B11-1</f>
        <v>6.0000000000000053E-3</v>
      </c>
      <c r="T10" s="2729">
        <f>C10/C11-1</f>
        <v>3.7000000000000366E-3</v>
      </c>
      <c r="U10" s="2729">
        <f>E10/E11-1</f>
        <v>6.2999999999999723E-3</v>
      </c>
      <c r="V10" s="2729">
        <f>F10/F11-1</f>
        <v>1.1300000000000088E-2</v>
      </c>
      <c r="W10" s="2727"/>
      <c r="X10" s="2730">
        <f>ROUND(SUMPRODUCT(PRODUCT(1+N10:N$29)),4)</f>
        <v>1.5189999999999999</v>
      </c>
      <c r="Y10" s="2730">
        <f>ROUND(SUMPRODUCT(PRODUCT(1+O10:O$29)),4)</f>
        <v>1.3423</v>
      </c>
      <c r="Z10" s="2730">
        <f t="shared" ref="Z10" si="60">Y10</f>
        <v>1.3423</v>
      </c>
      <c r="AA10" s="2730">
        <f>ROUND(SUMPRODUCT(PRODUCT(1+P10:P$29)),4)</f>
        <v>1.5782</v>
      </c>
      <c r="AB10" s="2730">
        <f>ROUND(SUMPRODUCT(PRODUCT(1+Q10:Q$29)),4)</f>
        <v>1.3405</v>
      </c>
      <c r="AC10" s="2727"/>
      <c r="AD10" s="2731">
        <f>ROUND(AVERAGE(I10:I$30)/100,4)</f>
        <v>2.1600000000000001E-2</v>
      </c>
      <c r="AE10" s="2731">
        <f>ROUND(AVERAGE(J10:J$30)/100,4)</f>
        <v>1.5299999999999999E-2</v>
      </c>
      <c r="AF10" s="2731">
        <f t="shared" ref="AF10" si="61">AE10</f>
        <v>1.5299999999999999E-2</v>
      </c>
      <c r="AG10" s="2731">
        <f>ROUND(AVERAGE(K10:K$30)/100,4)</f>
        <v>2.3699999999999999E-2</v>
      </c>
      <c r="AH10" s="2731">
        <f>ROUND(AVERAGE(L10:L$30)/100,4)</f>
        <v>1.47E-2</v>
      </c>
    </row>
    <row r="11" spans="1:34">
      <c r="A11" s="1555" t="s">
        <v>2804</v>
      </c>
      <c r="B11" s="1564">
        <f t="shared" si="24"/>
        <v>464.37293017158942</v>
      </c>
      <c r="C11" s="1564">
        <f t="shared" ref="C11" si="62">C12*(1+O11)</f>
        <v>344.73679941385956</v>
      </c>
      <c r="D11" s="1564">
        <f t="shared" ref="D11" si="63">C11</f>
        <v>344.73679941385956</v>
      </c>
      <c r="E11" s="1564">
        <f t="shared" ref="E11" si="64">E12*(1+P11)</f>
        <v>663.2377795103107</v>
      </c>
      <c r="F11" s="1565">
        <f t="shared" ref="F11" si="65">F12*(1+Q11)</f>
        <v>304.75936311478398</v>
      </c>
      <c r="G11" s="3133">
        <v>2018</v>
      </c>
      <c r="H11" s="1556">
        <v>4</v>
      </c>
      <c r="I11" s="1556">
        <v>0.96</v>
      </c>
      <c r="J11" s="1556">
        <v>1.03</v>
      </c>
      <c r="K11" s="1556">
        <v>0.92</v>
      </c>
      <c r="L11" s="1557">
        <v>1.29</v>
      </c>
      <c r="N11" s="1579">
        <f t="shared" si="29"/>
        <v>9.5999999999999992E-3</v>
      </c>
      <c r="O11" s="1580">
        <f t="shared" ref="O11" si="66">J11/100</f>
        <v>1.03E-2</v>
      </c>
      <c r="P11" s="1580">
        <f t="shared" ref="P11" si="67">K11/100</f>
        <v>9.1999999999999998E-3</v>
      </c>
      <c r="Q11" s="1580">
        <f t="shared" ref="Q11" si="68">L11/100</f>
        <v>1.29E-2</v>
      </c>
      <c r="R11" s="1569"/>
      <c r="S11" s="1570"/>
      <c r="T11" s="1571"/>
      <c r="U11" s="1571"/>
      <c r="V11" s="1571"/>
      <c r="X11" s="1553">
        <f>ROUND(SUMPRODUCT(PRODUCT(1+N11:N$29)),4)</f>
        <v>1.5099</v>
      </c>
      <c r="Y11" s="1553">
        <f>ROUND(SUMPRODUCT(PRODUCT(1+O11:O$29)),4)</f>
        <v>1.3372999999999999</v>
      </c>
      <c r="Z11" s="1553">
        <f t="shared" ref="Z11" si="69">Y11</f>
        <v>1.3372999999999999</v>
      </c>
      <c r="AA11" s="1553">
        <f>ROUND(SUMPRODUCT(PRODUCT(1+P11:P$29)),4)</f>
        <v>1.5683</v>
      </c>
      <c r="AB11" s="1553">
        <f>ROUND(SUMPRODUCT(PRODUCT(1+Q11:Q$29)),4)</f>
        <v>1.3255999999999999</v>
      </c>
      <c r="AD11" s="1554">
        <f>ROUND(AVERAGE(I11:I$30)/100,4)</f>
        <v>2.24E-2</v>
      </c>
      <c r="AE11" s="1554">
        <f>ROUND(AVERAGE(J11:J$30)/100,4)</f>
        <v>1.5800000000000002E-2</v>
      </c>
      <c r="AF11" s="1554">
        <f t="shared" ref="AF11" si="70">AE11</f>
        <v>1.5800000000000002E-2</v>
      </c>
      <c r="AG11" s="1554">
        <f>ROUND(AVERAGE(K11:K$30)/100,4)</f>
        <v>2.4500000000000001E-2</v>
      </c>
      <c r="AH11" s="1554">
        <f>ROUND(AVERAGE(L11:L$30)/100,4)</f>
        <v>1.49E-2</v>
      </c>
    </row>
    <row r="12" spans="1:34" s="1561" customFormat="1" ht="14.45" customHeight="1">
      <c r="A12" s="1555" t="s">
        <v>2799</v>
      </c>
      <c r="B12" s="1572">
        <f t="shared" si="24"/>
        <v>459.95733971036987</v>
      </c>
      <c r="C12" s="1572">
        <f t="shared" ref="C12" si="71">C13*(1+O12)</f>
        <v>341.22221064422405</v>
      </c>
      <c r="D12" s="1572">
        <f t="shared" ref="D12" si="72">C12</f>
        <v>341.22221064422405</v>
      </c>
      <c r="E12" s="1572">
        <f t="shared" ref="E12" si="73">E13*(1+P12)</f>
        <v>657.19161663724799</v>
      </c>
      <c r="F12" s="1572">
        <f t="shared" ref="F12" si="74">F13*(1+Q12)</f>
        <v>300.87803644464805</v>
      </c>
      <c r="G12" s="3133"/>
      <c r="H12" s="1558">
        <v>3</v>
      </c>
      <c r="I12" s="1558">
        <v>1.51</v>
      </c>
      <c r="J12" s="1558">
        <v>1.41</v>
      </c>
      <c r="K12" s="1558">
        <v>1.52</v>
      </c>
      <c r="L12" s="1573">
        <v>1.74</v>
      </c>
      <c r="M12" s="1566"/>
      <c r="N12" s="1567">
        <f t="shared" si="29"/>
        <v>1.5100000000000001E-2</v>
      </c>
      <c r="O12" s="1568">
        <f t="shared" ref="O12" si="75">J12/100</f>
        <v>1.41E-2</v>
      </c>
      <c r="P12" s="1568">
        <f t="shared" ref="P12" si="76">K12/100</f>
        <v>1.52E-2</v>
      </c>
      <c r="Q12" s="1568">
        <f t="shared" ref="Q12" si="77">L12/100</f>
        <v>1.7399999999999999E-2</v>
      </c>
      <c r="R12" s="1566"/>
      <c r="S12" s="1567"/>
      <c r="T12" s="1568"/>
      <c r="U12" s="1568"/>
      <c r="V12" s="1568"/>
      <c r="W12" s="1566"/>
      <c r="X12" s="1553">
        <f>ROUND(SUMPRODUCT(PRODUCT(1+N12:N$29)),4)</f>
        <v>1.4956</v>
      </c>
      <c r="Y12" s="1553">
        <f>ROUND(SUMPRODUCT(PRODUCT(1+O12:O$29)),4)</f>
        <v>1.3237000000000001</v>
      </c>
      <c r="Z12" s="1553">
        <f t="shared" ref="Z12" si="78">Y12</f>
        <v>1.3237000000000001</v>
      </c>
      <c r="AA12" s="1553">
        <f>ROUND(SUMPRODUCT(PRODUCT(1+P12:P$29)),4)</f>
        <v>1.554</v>
      </c>
      <c r="AB12" s="1553">
        <f>ROUND(SUMPRODUCT(PRODUCT(1+Q12:Q$29)),4)</f>
        <v>1.3087</v>
      </c>
      <c r="AC12" s="1566"/>
      <c r="AD12" s="1554">
        <f>ROUND(AVERAGE(I12:I$30)/100,4)</f>
        <v>2.3099999999999999E-2</v>
      </c>
      <c r="AE12" s="1554">
        <f>ROUND(AVERAGE(J12:J$30)/100,4)</f>
        <v>1.61E-2</v>
      </c>
      <c r="AF12" s="1554">
        <f t="shared" ref="AF12" si="79">AE12</f>
        <v>1.61E-2</v>
      </c>
      <c r="AG12" s="1554">
        <f>ROUND(AVERAGE(K12:K$30)/100,4)</f>
        <v>2.53E-2</v>
      </c>
      <c r="AH12" s="1554">
        <f>ROUND(AVERAGE(L12:L$30)/100,4)</f>
        <v>1.4999999999999999E-2</v>
      </c>
    </row>
    <row r="13" spans="1:34" s="1561" customFormat="1" ht="14.45" customHeight="1">
      <c r="A13" s="1555" t="s">
        <v>2798</v>
      </c>
      <c r="B13" s="1572">
        <f t="shared" ref="B13:B18" si="80">B14*(1+N13)</f>
        <v>453.11529869999993</v>
      </c>
      <c r="C13" s="1572">
        <f t="shared" ref="C13" si="81">C14*(1+O13)</f>
        <v>336.47787264000004</v>
      </c>
      <c r="D13" s="1572">
        <f t="shared" ref="D13" si="82">C13</f>
        <v>336.47787264000004</v>
      </c>
      <c r="E13" s="1572">
        <f t="shared" ref="E13" si="83">E14*(1+P13)</f>
        <v>647.35186823999993</v>
      </c>
      <c r="F13" s="1572">
        <f t="shared" ref="F13" si="84">F14*(1+Q13)</f>
        <v>295.73229452000004</v>
      </c>
      <c r="G13" s="3133"/>
      <c r="H13" s="1559">
        <v>2</v>
      </c>
      <c r="I13" s="1559">
        <v>1.49</v>
      </c>
      <c r="J13" s="1559">
        <v>0.96</v>
      </c>
      <c r="K13" s="1559">
        <v>1.58</v>
      </c>
      <c r="L13" s="1574">
        <v>2.44</v>
      </c>
      <c r="M13" s="1566"/>
      <c r="N13" s="1567">
        <f t="shared" ref="N13" si="85">I13/100</f>
        <v>1.49E-2</v>
      </c>
      <c r="O13" s="1568">
        <f t="shared" ref="O13" si="86">J13/100</f>
        <v>9.5999999999999992E-3</v>
      </c>
      <c r="P13" s="1568">
        <f t="shared" ref="P13" si="87">K13/100</f>
        <v>1.5800000000000002E-2</v>
      </c>
      <c r="Q13" s="1568">
        <f t="shared" ref="Q13" si="88">L13/100</f>
        <v>2.4399999999999998E-2</v>
      </c>
      <c r="R13" s="1566"/>
      <c r="S13" s="1567"/>
      <c r="T13" s="1568"/>
      <c r="U13" s="1568"/>
      <c r="V13" s="1568"/>
      <c r="W13" s="1566"/>
      <c r="X13" s="1553">
        <f>ROUND(SUMPRODUCT(PRODUCT(1+N13:N$29)),4)</f>
        <v>1.4733000000000001</v>
      </c>
      <c r="Y13" s="1553">
        <f>ROUND(SUMPRODUCT(PRODUCT(1+O13:O$29)),4)</f>
        <v>1.3052999999999999</v>
      </c>
      <c r="Z13" s="1553">
        <f t="shared" ref="Z13" si="89">Y13</f>
        <v>1.3052999999999999</v>
      </c>
      <c r="AA13" s="1553">
        <f>ROUND(SUMPRODUCT(PRODUCT(1+P13:P$29)),4)</f>
        <v>1.5306999999999999</v>
      </c>
      <c r="AB13" s="1553">
        <f>ROUND(SUMPRODUCT(PRODUCT(1+Q13:Q$29)),4)</f>
        <v>1.2863</v>
      </c>
      <c r="AC13" s="1566"/>
      <c r="AD13" s="1554">
        <f>ROUND(AVERAGE(I13:I$30)/100,4)</f>
        <v>2.35E-2</v>
      </c>
      <c r="AE13" s="1554">
        <f>ROUND(AVERAGE(J13:J$30)/100,4)</f>
        <v>1.6199999999999999E-2</v>
      </c>
      <c r="AF13" s="1554">
        <f t="shared" ref="AF13" si="90">AE13</f>
        <v>1.6199999999999999E-2</v>
      </c>
      <c r="AG13" s="1554">
        <f>ROUND(AVERAGE(K13:K$30)/100,4)</f>
        <v>2.5899999999999999E-2</v>
      </c>
      <c r="AH13" s="1554">
        <f>ROUND(AVERAGE(L13:L$30)/100,4)</f>
        <v>1.49E-2</v>
      </c>
    </row>
    <row r="14" spans="1:34" s="1561" customFormat="1" ht="15" customHeight="1" thickBot="1">
      <c r="A14" s="1555" t="s">
        <v>2796</v>
      </c>
      <c r="B14" s="1572">
        <f t="shared" si="80"/>
        <v>446.46299999999997</v>
      </c>
      <c r="C14" s="1572">
        <f t="shared" ref="C14" si="91">C15*(1+O14)</f>
        <v>333.27840000000003</v>
      </c>
      <c r="D14" s="1572">
        <f t="shared" ref="D14:D19" si="92">C14</f>
        <v>333.27840000000003</v>
      </c>
      <c r="E14" s="1572">
        <f t="shared" ref="E14" si="93">E15*(1+P14)</f>
        <v>637.28279999999995</v>
      </c>
      <c r="F14" s="1572">
        <f t="shared" ref="F14" si="94">F15*(1+Q14)</f>
        <v>288.68830000000003</v>
      </c>
      <c r="G14" s="3142"/>
      <c r="H14" s="1558">
        <v>1</v>
      </c>
      <c r="I14" s="1558">
        <v>1.7</v>
      </c>
      <c r="J14" s="1558">
        <v>1.92</v>
      </c>
      <c r="K14" s="1558">
        <v>1.64</v>
      </c>
      <c r="L14" s="1573">
        <v>2.0099999999999998</v>
      </c>
      <c r="M14" s="1566"/>
      <c r="N14" s="1567">
        <f t="shared" ref="N14:N19" si="95">I14/100</f>
        <v>1.7000000000000001E-2</v>
      </c>
      <c r="O14" s="1568">
        <f t="shared" ref="O14" si="96">J14/100</f>
        <v>1.9199999999999998E-2</v>
      </c>
      <c r="P14" s="1568">
        <f t="shared" ref="P14" si="97">K14/100</f>
        <v>1.6399999999999998E-2</v>
      </c>
      <c r="Q14" s="1568">
        <f t="shared" ref="Q14" si="98">L14/100</f>
        <v>2.0099999999999996E-2</v>
      </c>
      <c r="R14" s="1566"/>
      <c r="S14" s="1575">
        <f>B14/B15-1</f>
        <v>1.6999999999999904E-2</v>
      </c>
      <c r="T14" s="1576">
        <f>C14/C15-1</f>
        <v>1.9200000000000106E-2</v>
      </c>
      <c r="U14" s="1576">
        <f>E14/E15-1</f>
        <v>1.639999999999997E-2</v>
      </c>
      <c r="V14" s="1576">
        <f>F14/F15-1</f>
        <v>2.0100000000000007E-2</v>
      </c>
      <c r="W14" s="1566"/>
      <c r="X14" s="1553">
        <f>ROUND(SUMPRODUCT(PRODUCT(1+N14:N$29)),4)</f>
        <v>1.4517</v>
      </c>
      <c r="Y14" s="1553">
        <f>ROUND(SUMPRODUCT(PRODUCT(1+O14:O$29)),4)</f>
        <v>1.2928999999999999</v>
      </c>
      <c r="Z14" s="1553">
        <f t="shared" ref="Z14" si="99">Y14</f>
        <v>1.2928999999999999</v>
      </c>
      <c r="AA14" s="1553">
        <f>ROUND(SUMPRODUCT(PRODUCT(1+P14:P$29)),4)</f>
        <v>1.5068999999999999</v>
      </c>
      <c r="AB14" s="1553">
        <f>ROUND(SUMPRODUCT(PRODUCT(1+Q14:Q$29)),4)</f>
        <v>1.2557</v>
      </c>
      <c r="AC14" s="1566"/>
      <c r="AD14" s="1554">
        <f>ROUND(AVERAGE(I14:I$30)/100,4)</f>
        <v>2.4E-2</v>
      </c>
      <c r="AE14" s="1554">
        <f>ROUND(AVERAGE(J14:J$30)/100,4)</f>
        <v>1.66E-2</v>
      </c>
      <c r="AF14" s="1554">
        <f t="shared" ref="AF14" si="100">AE14</f>
        <v>1.66E-2</v>
      </c>
      <c r="AG14" s="1554">
        <f>ROUND(AVERAGE(K14:K$30)/100,4)</f>
        <v>2.6499999999999999E-2</v>
      </c>
      <c r="AH14" s="1554">
        <f>ROUND(AVERAGE(L14:L$30)/100,4)</f>
        <v>1.43E-2</v>
      </c>
    </row>
    <row r="15" spans="1:34">
      <c r="A15" s="1555" t="s">
        <v>2793</v>
      </c>
      <c r="B15" s="1564">
        <v>439</v>
      </c>
      <c r="C15" s="1564">
        <v>327</v>
      </c>
      <c r="D15" s="1564">
        <f t="shared" si="92"/>
        <v>327</v>
      </c>
      <c r="E15" s="1564">
        <v>627</v>
      </c>
      <c r="F15" s="1565">
        <v>283</v>
      </c>
      <c r="G15" s="3138">
        <v>2017</v>
      </c>
      <c r="H15" s="1556">
        <v>4</v>
      </c>
      <c r="I15" s="1556">
        <v>1.71</v>
      </c>
      <c r="J15" s="1556">
        <v>1.78</v>
      </c>
      <c r="K15" s="1556">
        <v>1.71</v>
      </c>
      <c r="L15" s="1557">
        <v>1.43</v>
      </c>
      <c r="N15" s="1579">
        <f t="shared" si="95"/>
        <v>1.7100000000000001E-2</v>
      </c>
      <c r="O15" s="1580">
        <f t="shared" ref="O15" si="101">J15/100</f>
        <v>1.78E-2</v>
      </c>
      <c r="P15" s="1580">
        <f t="shared" ref="P15" si="102">K15/100</f>
        <v>1.7100000000000001E-2</v>
      </c>
      <c r="Q15" s="1580">
        <f t="shared" ref="Q15" si="103">L15/100</f>
        <v>1.43E-2</v>
      </c>
      <c r="R15" s="1569"/>
      <c r="S15" s="1570"/>
      <c r="T15" s="1571"/>
      <c r="U15" s="1571"/>
      <c r="V15" s="1571"/>
      <c r="X15" s="1553">
        <f>ROUND(SUMPRODUCT(PRODUCT(1+N15:N$29)),4)</f>
        <v>1.4274</v>
      </c>
      <c r="Y15" s="1553">
        <f>ROUND(SUMPRODUCT(PRODUCT(1+O15:O$29)),4)</f>
        <v>1.2685</v>
      </c>
      <c r="Z15" s="1553">
        <f t="shared" si="0"/>
        <v>1.2685</v>
      </c>
      <c r="AA15" s="1553">
        <f>ROUND(SUMPRODUCT(PRODUCT(1+P15:P$29)),4)</f>
        <v>1.4825999999999999</v>
      </c>
      <c r="AB15" s="1553">
        <f>ROUND(SUMPRODUCT(PRODUCT(1+Q15:Q$29)),4)</f>
        <v>1.2309000000000001</v>
      </c>
      <c r="AD15" s="1554">
        <f>ROUND(AVERAGE(I15:I$30)/100,4)</f>
        <v>2.4500000000000001E-2</v>
      </c>
      <c r="AE15" s="1554">
        <f>ROUND(AVERAGE(J15:J$30)/100,4)</f>
        <v>1.6500000000000001E-2</v>
      </c>
      <c r="AF15" s="1554">
        <f t="shared" si="1"/>
        <v>1.6500000000000001E-2</v>
      </c>
      <c r="AG15" s="1554">
        <f>ROUND(AVERAGE(K15:K$30)/100,4)</f>
        <v>2.7099999999999999E-2</v>
      </c>
      <c r="AH15" s="1554">
        <f>ROUND(AVERAGE(L15:L$30)/100,4)</f>
        <v>1.3899999999999999E-2</v>
      </c>
    </row>
    <row r="16" spans="1:34" s="1561" customFormat="1" ht="14.45" customHeight="1">
      <c r="A16" s="1555" t="s">
        <v>2788</v>
      </c>
      <c r="B16" s="1572">
        <f t="shared" si="80"/>
        <v>431.80730811680002</v>
      </c>
      <c r="C16" s="1572">
        <f t="shared" ref="C16" si="104">C17*(1+O16)</f>
        <v>320.57880516480003</v>
      </c>
      <c r="D16" s="1572">
        <f t="shared" si="92"/>
        <v>320.57880516480003</v>
      </c>
      <c r="E16" s="1572">
        <f t="shared" ref="E16:F18" si="105">E17*(1+P16)</f>
        <v>615.96110553196797</v>
      </c>
      <c r="F16" s="1572">
        <f t="shared" si="105"/>
        <v>279.46777300108801</v>
      </c>
      <c r="G16" s="3133"/>
      <c r="H16" s="1558">
        <v>3</v>
      </c>
      <c r="I16" s="1558">
        <v>2.98</v>
      </c>
      <c r="J16" s="1558">
        <v>2.11</v>
      </c>
      <c r="K16" s="1558">
        <v>3.24</v>
      </c>
      <c r="L16" s="1573">
        <v>1.72</v>
      </c>
      <c r="M16" s="1566"/>
      <c r="N16" s="1567">
        <f t="shared" si="95"/>
        <v>2.98E-2</v>
      </c>
      <c r="O16" s="1584">
        <f t="shared" ref="O16" si="106">J16/100</f>
        <v>2.1099999999999997E-2</v>
      </c>
      <c r="P16" s="1584">
        <f t="shared" ref="P16" si="107">K16/100</f>
        <v>3.2400000000000005E-2</v>
      </c>
      <c r="Q16" s="1584">
        <f t="shared" ref="Q16" si="108">L16/100</f>
        <v>1.72E-2</v>
      </c>
      <c r="R16" s="1566"/>
      <c r="S16" s="1567"/>
      <c r="T16" s="1568"/>
      <c r="U16" s="1568"/>
      <c r="V16" s="1568"/>
      <c r="W16" s="1566"/>
      <c r="X16" s="1553">
        <f>ROUND(SUMPRODUCT(PRODUCT(1+N16:N$29)),4)</f>
        <v>1.4034</v>
      </c>
      <c r="Y16" s="1553">
        <f>ROUND(SUMPRODUCT(PRODUCT(1+O16:O$29)),4)</f>
        <v>1.2463</v>
      </c>
      <c r="Z16" s="1553">
        <f t="shared" si="0"/>
        <v>1.2463</v>
      </c>
      <c r="AA16" s="1553">
        <f>ROUND(SUMPRODUCT(PRODUCT(1+P16:P$29)),4)</f>
        <v>1.4577</v>
      </c>
      <c r="AB16" s="1553">
        <f>ROUND(SUMPRODUCT(PRODUCT(1+Q16:Q$29)),4)</f>
        <v>1.2136</v>
      </c>
      <c r="AC16" s="1566"/>
      <c r="AD16" s="1554">
        <f>ROUND(AVERAGE(I16:I$30)/100,4)</f>
        <v>2.4899999999999999E-2</v>
      </c>
      <c r="AE16" s="1554">
        <f>ROUND(AVERAGE(J16:J$30)/100,4)</f>
        <v>1.6400000000000001E-2</v>
      </c>
      <c r="AF16" s="1554">
        <f t="shared" si="1"/>
        <v>1.6400000000000001E-2</v>
      </c>
      <c r="AG16" s="1554">
        <f>ROUND(AVERAGE(K16:K$30)/100,4)</f>
        <v>2.7799999999999998E-2</v>
      </c>
      <c r="AH16" s="1554">
        <f>ROUND(AVERAGE(L16:L$30)/100,4)</f>
        <v>1.3899999999999999E-2</v>
      </c>
    </row>
    <row r="17" spans="1:34" s="1814" customFormat="1" ht="14.45" customHeight="1">
      <c r="A17" s="1555" t="s">
        <v>1253</v>
      </c>
      <c r="B17" s="1572">
        <f t="shared" si="80"/>
        <v>419.31181600000002</v>
      </c>
      <c r="C17" s="1572">
        <f t="shared" ref="C17" si="109">C18*(1+O17)</f>
        <v>313.95436800000004</v>
      </c>
      <c r="D17" s="1572">
        <f t="shared" si="92"/>
        <v>313.95436800000004</v>
      </c>
      <c r="E17" s="1572">
        <f t="shared" si="105"/>
        <v>596.63028431999999</v>
      </c>
      <c r="F17" s="1572">
        <f t="shared" si="105"/>
        <v>274.74220703999998</v>
      </c>
      <c r="G17" s="3133"/>
      <c r="H17" s="1559">
        <v>2</v>
      </c>
      <c r="I17" s="1559">
        <v>3.4</v>
      </c>
      <c r="J17" s="1559">
        <v>2</v>
      </c>
      <c r="K17" s="1559">
        <v>3.82</v>
      </c>
      <c r="L17" s="1574">
        <v>1.68</v>
      </c>
      <c r="M17" s="1566"/>
      <c r="N17" s="1567">
        <f t="shared" si="95"/>
        <v>3.4000000000000002E-2</v>
      </c>
      <c r="O17" s="1584">
        <f t="shared" ref="O17" si="110">J17/100</f>
        <v>0.02</v>
      </c>
      <c r="P17" s="1584">
        <f t="shared" ref="P17" si="111">K17/100</f>
        <v>3.8199999999999998E-2</v>
      </c>
      <c r="Q17" s="1584">
        <f t="shared" ref="Q17" si="112">L17/100</f>
        <v>1.6799999999999999E-2</v>
      </c>
      <c r="R17" s="1566"/>
      <c r="S17" s="1567"/>
      <c r="T17" s="1568"/>
      <c r="U17" s="1568"/>
      <c r="V17" s="1568"/>
      <c r="W17" s="1566"/>
      <c r="X17" s="1859">
        <f>ROUND(SUMPRODUCT(PRODUCT(1+N17:N$29)),4)</f>
        <v>1.3628</v>
      </c>
      <c r="Y17" s="1859">
        <f>ROUND(SUMPRODUCT(PRODUCT(1+O17:O$29)),4)</f>
        <v>1.2205999999999999</v>
      </c>
      <c r="Z17" s="1859">
        <f t="shared" si="0"/>
        <v>1.2205999999999999</v>
      </c>
      <c r="AA17" s="1859">
        <f>ROUND(SUMPRODUCT(PRODUCT(1+P17:P$29)),4)</f>
        <v>1.4118999999999999</v>
      </c>
      <c r="AB17" s="1859">
        <f>ROUND(SUMPRODUCT(PRODUCT(1+Q17:Q$29)),4)</f>
        <v>1.1930000000000001</v>
      </c>
      <c r="AC17" s="1547"/>
      <c r="AD17" s="1860">
        <f>ROUND(AVERAGE(I17:I$30)/100,4)</f>
        <v>2.46E-2</v>
      </c>
      <c r="AE17" s="1860">
        <f>ROUND(AVERAGE(J17:J$30)/100,4)</f>
        <v>1.6E-2</v>
      </c>
      <c r="AF17" s="1860">
        <f t="shared" si="1"/>
        <v>1.6E-2</v>
      </c>
      <c r="AG17" s="1860">
        <f>ROUND(AVERAGE(K17:K$30)/100,4)</f>
        <v>2.75E-2</v>
      </c>
      <c r="AH17" s="1860">
        <f>ROUND(AVERAGE(L17:L$30)/100,4)</f>
        <v>1.37E-2</v>
      </c>
    </row>
    <row r="18" spans="1:34" s="1561" customFormat="1" ht="15" customHeight="1" thickBot="1">
      <c r="A18" s="1555" t="s">
        <v>1043</v>
      </c>
      <c r="B18" s="1572">
        <f t="shared" si="80"/>
        <v>405.524</v>
      </c>
      <c r="C18" s="1572">
        <f t="shared" ref="C18" si="113">C19*(1+O18)</f>
        <v>307.79840000000002</v>
      </c>
      <c r="D18" s="1572">
        <f t="shared" si="92"/>
        <v>307.79840000000002</v>
      </c>
      <c r="E18" s="1572">
        <f t="shared" si="105"/>
        <v>574.67759999999998</v>
      </c>
      <c r="F18" s="1572">
        <f t="shared" si="105"/>
        <v>270.20280000000002</v>
      </c>
      <c r="G18" s="3142"/>
      <c r="H18" s="1558">
        <v>1</v>
      </c>
      <c r="I18" s="1558">
        <v>3.45</v>
      </c>
      <c r="J18" s="1558">
        <v>1.92</v>
      </c>
      <c r="K18" s="1558">
        <v>3.92</v>
      </c>
      <c r="L18" s="1573">
        <v>1.58</v>
      </c>
      <c r="M18" s="1566"/>
      <c r="N18" s="1575">
        <f t="shared" si="95"/>
        <v>3.4500000000000003E-2</v>
      </c>
      <c r="O18" s="1576">
        <f t="shared" ref="O18:Q33" si="114">J18/100</f>
        <v>1.9199999999999998E-2</v>
      </c>
      <c r="P18" s="1576">
        <f t="shared" si="114"/>
        <v>3.9199999999999999E-2</v>
      </c>
      <c r="Q18" s="1576">
        <f t="shared" si="114"/>
        <v>1.5800000000000002E-2</v>
      </c>
      <c r="R18" s="1566"/>
      <c r="S18" s="1575">
        <f>B18/B19-1</f>
        <v>3.4499999999999975E-2</v>
      </c>
      <c r="T18" s="1576">
        <f>C18/C19-1</f>
        <v>1.9200000000000106E-2</v>
      </c>
      <c r="U18" s="1576">
        <f>E18/E19-1</f>
        <v>3.9199999999999902E-2</v>
      </c>
      <c r="V18" s="1576">
        <f>F18/F19-1</f>
        <v>1.5800000000000036E-2</v>
      </c>
      <c r="W18" s="1566"/>
      <c r="X18" s="1553">
        <f>ROUND(SUMPRODUCT(PRODUCT(1+N18:N$29)),4)</f>
        <v>1.3180000000000001</v>
      </c>
      <c r="Y18" s="1553">
        <f>ROUND(SUMPRODUCT(PRODUCT(1+O18:O$29)),4)</f>
        <v>1.1966000000000001</v>
      </c>
      <c r="Z18" s="1553">
        <f t="shared" si="0"/>
        <v>1.1966000000000001</v>
      </c>
      <c r="AA18" s="1553">
        <f>ROUND(SUMPRODUCT(PRODUCT(1+P18:P$29)),4)</f>
        <v>1.36</v>
      </c>
      <c r="AB18" s="1553">
        <f>ROUND(SUMPRODUCT(PRODUCT(1+Q18:Q$29)),4)</f>
        <v>1.1733</v>
      </c>
      <c r="AC18" s="1566"/>
      <c r="AD18" s="1554">
        <f>ROUND(AVERAGE(I18:I$30)/100,4)</f>
        <v>2.3900000000000001E-2</v>
      </c>
      <c r="AE18" s="1554">
        <f>ROUND(AVERAGE(J18:J$30)/100,4)</f>
        <v>1.5699999999999999E-2</v>
      </c>
      <c r="AF18" s="1554">
        <f t="shared" si="1"/>
        <v>1.5699999999999999E-2</v>
      </c>
      <c r="AG18" s="1554">
        <f>ROUND(AVERAGE(K18:K$30)/100,4)</f>
        <v>2.6599999999999999E-2</v>
      </c>
      <c r="AH18" s="1554">
        <f>ROUND(AVERAGE(L18:L$30)/100,4)</f>
        <v>1.34E-2</v>
      </c>
    </row>
    <row r="19" spans="1:34">
      <c r="A19" s="1555" t="s">
        <v>1044</v>
      </c>
      <c r="B19" s="1564">
        <v>392</v>
      </c>
      <c r="C19" s="1564">
        <v>302</v>
      </c>
      <c r="D19" s="1564">
        <f t="shared" si="92"/>
        <v>302</v>
      </c>
      <c r="E19" s="1564">
        <v>553</v>
      </c>
      <c r="F19" s="1565">
        <v>266</v>
      </c>
      <c r="G19" s="3138">
        <v>2016</v>
      </c>
      <c r="H19" s="1556">
        <v>4</v>
      </c>
      <c r="I19" s="1556">
        <v>4.5599999999999996</v>
      </c>
      <c r="J19" s="1556">
        <v>2.15</v>
      </c>
      <c r="K19" s="1556">
        <v>5.32</v>
      </c>
      <c r="L19" s="1557">
        <v>1.57</v>
      </c>
      <c r="N19" s="1567">
        <f t="shared" si="95"/>
        <v>4.5599999999999995E-2</v>
      </c>
      <c r="O19" s="1568">
        <f t="shared" si="114"/>
        <v>2.1499999999999998E-2</v>
      </c>
      <c r="P19" s="1568">
        <f t="shared" si="114"/>
        <v>5.3200000000000004E-2</v>
      </c>
      <c r="Q19" s="1568">
        <f t="shared" si="114"/>
        <v>1.5700000000000002E-2</v>
      </c>
      <c r="R19" s="1569"/>
      <c r="S19" s="1570"/>
      <c r="T19" s="1571"/>
      <c r="U19" s="1571"/>
      <c r="V19" s="1571"/>
      <c r="X19" s="1553">
        <f>ROUND(SUMPRODUCT(PRODUCT(1+N19:N$29)),4)</f>
        <v>1.274</v>
      </c>
      <c r="Y19" s="1553">
        <f>ROUND(SUMPRODUCT(PRODUCT(1+O19:O$29)),4)</f>
        <v>1.1740999999999999</v>
      </c>
      <c r="Z19" s="1553">
        <f t="shared" si="0"/>
        <v>1.1740999999999999</v>
      </c>
      <c r="AA19" s="1553">
        <f>ROUND(SUMPRODUCT(PRODUCT(1+P19:P$29)),4)</f>
        <v>1.3087</v>
      </c>
      <c r="AB19" s="1553">
        <f>ROUND(SUMPRODUCT(PRODUCT(1+Q19:Q$29)),4)</f>
        <v>1.1551</v>
      </c>
      <c r="AD19" s="1554">
        <f>ROUND(AVERAGE(I19:I$30)/100,4)</f>
        <v>2.3E-2</v>
      </c>
      <c r="AE19" s="1554">
        <f>ROUND(AVERAGE(J19:J$30)/100,4)</f>
        <v>1.55E-2</v>
      </c>
      <c r="AF19" s="1554">
        <f t="shared" ref="AF19:AF28" si="115">AE19</f>
        <v>1.55E-2</v>
      </c>
      <c r="AG19" s="1554">
        <f>ROUND(AVERAGE(K19:K$30)/100,4)</f>
        <v>2.5600000000000001E-2</v>
      </c>
      <c r="AH19" s="1554">
        <f>ROUND(AVERAGE(L19:L$30)/100,4)</f>
        <v>1.32E-2</v>
      </c>
    </row>
    <row r="20" spans="1:34">
      <c r="A20" s="1555" t="s">
        <v>103</v>
      </c>
      <c r="B20" s="1572">
        <f t="shared" ref="B20:C22" si="116">B19/(1+N19)</f>
        <v>374.90436113236416</v>
      </c>
      <c r="C20" s="1572">
        <f t="shared" si="116"/>
        <v>295.64366128242779</v>
      </c>
      <c r="D20" s="1572">
        <f t="shared" ref="D20:D79" si="117">C20</f>
        <v>295.64366128242779</v>
      </c>
      <c r="E20" s="1572">
        <f t="shared" ref="E20:F22" si="118">E19/(1+P19)</f>
        <v>525.06646410938095</v>
      </c>
      <c r="F20" s="1572">
        <f t="shared" si="118"/>
        <v>261.88835286009646</v>
      </c>
      <c r="G20" s="3133"/>
      <c r="H20" s="1558">
        <v>3</v>
      </c>
      <c r="I20" s="1558">
        <v>4.12</v>
      </c>
      <c r="J20" s="1558">
        <v>2</v>
      </c>
      <c r="K20" s="1558">
        <v>4.79</v>
      </c>
      <c r="L20" s="1573">
        <v>1.97</v>
      </c>
      <c r="N20" s="1567">
        <f t="shared" ref="N20:Q54" si="119">I20/100</f>
        <v>4.1200000000000001E-2</v>
      </c>
      <c r="O20" s="1568">
        <f t="shared" si="114"/>
        <v>0.02</v>
      </c>
      <c r="P20" s="1568">
        <f t="shared" si="114"/>
        <v>4.7899999999999998E-2</v>
      </c>
      <c r="Q20" s="1568">
        <f t="shared" si="114"/>
        <v>1.9699999999999999E-2</v>
      </c>
      <c r="R20" s="1569"/>
      <c r="S20" s="1567"/>
      <c r="T20" s="1568"/>
      <c r="U20" s="1568"/>
      <c r="V20" s="1568"/>
      <c r="X20" s="1553">
        <f>ROUND(SUMPRODUCT(PRODUCT(1+N20:N$29)),4)</f>
        <v>1.2184999999999999</v>
      </c>
      <c r="Y20" s="1553">
        <f>ROUND(SUMPRODUCT(PRODUCT(1+O20:O$29)),4)</f>
        <v>1.1494</v>
      </c>
      <c r="Z20" s="1553">
        <f t="shared" si="0"/>
        <v>1.1494</v>
      </c>
      <c r="AA20" s="1553">
        <f>ROUND(SUMPRODUCT(PRODUCT(1+P20:P$29)),4)</f>
        <v>1.2425999999999999</v>
      </c>
      <c r="AB20" s="1553">
        <f>ROUND(SUMPRODUCT(PRODUCT(1+Q20:Q$29)),4)</f>
        <v>1.1372</v>
      </c>
      <c r="AD20" s="1554">
        <f>ROUND(AVERAGE(I20:I$30)/100,4)</f>
        <v>2.0899999999999998E-2</v>
      </c>
      <c r="AE20" s="1554">
        <f>ROUND(AVERAGE(J20:J$30)/100,4)</f>
        <v>1.49E-2</v>
      </c>
      <c r="AF20" s="1554">
        <f t="shared" si="115"/>
        <v>1.49E-2</v>
      </c>
      <c r="AG20" s="1554">
        <f>ROUND(AVERAGE(K20:K$30)/100,4)</f>
        <v>2.3099999999999999E-2</v>
      </c>
      <c r="AH20" s="1554">
        <f>ROUND(AVERAGE(L20:L$30)/100,4)</f>
        <v>1.2999999999999999E-2</v>
      </c>
    </row>
    <row r="21" spans="1:34">
      <c r="A21" s="1555" t="s">
        <v>93</v>
      </c>
      <c r="B21" s="1572">
        <f t="shared" si="116"/>
        <v>360.06949782209392</v>
      </c>
      <c r="C21" s="1572">
        <f t="shared" si="116"/>
        <v>289.84672674747821</v>
      </c>
      <c r="D21" s="1572">
        <f t="shared" si="117"/>
        <v>289.84672674747821</v>
      </c>
      <c r="E21" s="1572">
        <f t="shared" si="118"/>
        <v>501.06543001181495</v>
      </c>
      <c r="F21" s="1572">
        <f t="shared" si="118"/>
        <v>256.82882500744967</v>
      </c>
      <c r="G21" s="3133"/>
      <c r="H21" s="1559">
        <v>2</v>
      </c>
      <c r="I21" s="1559">
        <v>3.85</v>
      </c>
      <c r="J21" s="1559">
        <v>1.95</v>
      </c>
      <c r="K21" s="1559">
        <v>4.4800000000000004</v>
      </c>
      <c r="L21" s="1574">
        <v>1.41</v>
      </c>
      <c r="N21" s="1567">
        <f t="shared" si="119"/>
        <v>3.85E-2</v>
      </c>
      <c r="O21" s="1568">
        <f t="shared" si="114"/>
        <v>1.95E-2</v>
      </c>
      <c r="P21" s="1568">
        <f t="shared" si="114"/>
        <v>4.4800000000000006E-2</v>
      </c>
      <c r="Q21" s="1568">
        <f t="shared" si="114"/>
        <v>1.41E-2</v>
      </c>
      <c r="R21" s="1569"/>
      <c r="S21" s="1567"/>
      <c r="T21" s="1568"/>
      <c r="U21" s="1568"/>
      <c r="V21" s="1568"/>
      <c r="X21" s="1553">
        <f>ROUND(SUMPRODUCT(PRODUCT(1+N21:N$29)),4)</f>
        <v>1.1702999999999999</v>
      </c>
      <c r="Y21" s="1553">
        <f>ROUND(SUMPRODUCT(PRODUCT(1+O21:O$29)),4)</f>
        <v>1.1269</v>
      </c>
      <c r="Z21" s="1553">
        <f t="shared" si="0"/>
        <v>1.1269</v>
      </c>
      <c r="AA21" s="1553">
        <f>ROUND(SUMPRODUCT(PRODUCT(1+P21:P$29)),4)</f>
        <v>1.1858</v>
      </c>
      <c r="AB21" s="1553">
        <f>ROUND(SUMPRODUCT(PRODUCT(1+Q21:Q$29)),4)</f>
        <v>1.1152</v>
      </c>
      <c r="AD21" s="1554">
        <f>ROUND(AVERAGE(I21:I$30)/100,4)</f>
        <v>1.89E-2</v>
      </c>
      <c r="AE21" s="1554">
        <f>ROUND(AVERAGE(J21:J$30)/100,4)</f>
        <v>1.44E-2</v>
      </c>
      <c r="AF21" s="1554">
        <f t="shared" si="115"/>
        <v>1.44E-2</v>
      </c>
      <c r="AG21" s="1554">
        <f>ROUND(AVERAGE(K21:K$30)/100,4)</f>
        <v>2.06E-2</v>
      </c>
      <c r="AH21" s="1554">
        <f>ROUND(AVERAGE(L21:L$30)/100,4)</f>
        <v>1.23E-2</v>
      </c>
    </row>
    <row r="22" spans="1:34" ht="13.5" thickBot="1">
      <c r="A22" s="1555" t="s">
        <v>102</v>
      </c>
      <c r="B22" s="1572">
        <f t="shared" si="116"/>
        <v>346.720748986128</v>
      </c>
      <c r="C22" s="1572">
        <f t="shared" si="116"/>
        <v>284.30282172386285</v>
      </c>
      <c r="D22" s="1572">
        <f t="shared" si="117"/>
        <v>284.30282172386285</v>
      </c>
      <c r="E22" s="1572">
        <f t="shared" si="118"/>
        <v>479.58023546306947</v>
      </c>
      <c r="F22" s="1572">
        <f t="shared" si="118"/>
        <v>253.25788877571213</v>
      </c>
      <c r="G22" s="3134"/>
      <c r="H22" s="1558">
        <v>1</v>
      </c>
      <c r="I22" s="1558">
        <v>4.09</v>
      </c>
      <c r="J22" s="1558">
        <v>2.93</v>
      </c>
      <c r="K22" s="1558">
        <v>4.54</v>
      </c>
      <c r="L22" s="1573">
        <v>1.48</v>
      </c>
      <c r="N22" s="1567">
        <f t="shared" si="119"/>
        <v>4.0899999999999999E-2</v>
      </c>
      <c r="O22" s="1568">
        <f t="shared" si="114"/>
        <v>2.9300000000000003E-2</v>
      </c>
      <c r="P22" s="1568">
        <f t="shared" si="114"/>
        <v>4.5400000000000003E-2</v>
      </c>
      <c r="Q22" s="1568">
        <f t="shared" si="114"/>
        <v>1.4800000000000001E-2</v>
      </c>
      <c r="R22" s="1569"/>
      <c r="S22" s="1575">
        <f>B22/B23-1</f>
        <v>4.1203450408792808E-2</v>
      </c>
      <c r="T22" s="1576">
        <f>C22/C23-1</f>
        <v>2.6363977342465095E-2</v>
      </c>
      <c r="U22" s="1576">
        <f>E22/E23-1</f>
        <v>4.4837114298626357E-2</v>
      </c>
      <c r="V22" s="1576">
        <f>F22/F23-1</f>
        <v>1.7099954922538574E-2</v>
      </c>
      <c r="X22" s="1553">
        <f>ROUND(SUMPRODUCT(PRODUCT(1+N22:N$29)),4)</f>
        <v>1.1269</v>
      </c>
      <c r="Y22" s="1553">
        <f>ROUND(SUMPRODUCT(PRODUCT(1+O22:O$29)),4)</f>
        <v>1.1052999999999999</v>
      </c>
      <c r="Z22" s="1553">
        <f t="shared" si="0"/>
        <v>1.1052999999999999</v>
      </c>
      <c r="AA22" s="1553">
        <f>ROUND(SUMPRODUCT(PRODUCT(1+P22:P$29)),4)</f>
        <v>1.1349</v>
      </c>
      <c r="AB22" s="1553">
        <f>ROUND(SUMPRODUCT(PRODUCT(1+Q22:Q$29)),4)</f>
        <v>1.0996999999999999</v>
      </c>
      <c r="AD22" s="1554">
        <f>ROUND(AVERAGE(I22:I$30)/100,4)</f>
        <v>1.67E-2</v>
      </c>
      <c r="AE22" s="1554">
        <f>ROUND(AVERAGE(J22:J$30)/100,4)</f>
        <v>1.38E-2</v>
      </c>
      <c r="AF22" s="1554">
        <f t="shared" si="115"/>
        <v>1.38E-2</v>
      </c>
      <c r="AG22" s="1554">
        <f>ROUND(AVERAGE(K22:K$30)/100,4)</f>
        <v>1.7899999999999999E-2</v>
      </c>
      <c r="AH22" s="1554">
        <f>ROUND(AVERAGE(L22:L$30)/100,4)</f>
        <v>1.21E-2</v>
      </c>
    </row>
    <row r="23" spans="1:34" ht="13.5" thickBot="1">
      <c r="A23" s="1555" t="s">
        <v>101</v>
      </c>
      <c r="B23" s="1564">
        <v>333</v>
      </c>
      <c r="C23" s="1564">
        <v>277</v>
      </c>
      <c r="D23" s="1564">
        <f t="shared" si="117"/>
        <v>277</v>
      </c>
      <c r="E23" s="1564">
        <v>459</v>
      </c>
      <c r="F23" s="1565">
        <v>249</v>
      </c>
      <c r="G23" s="3132">
        <v>2015</v>
      </c>
      <c r="H23" s="1577">
        <v>4</v>
      </c>
      <c r="I23" s="1577">
        <v>1.63</v>
      </c>
      <c r="J23" s="1577">
        <v>1.1100000000000001</v>
      </c>
      <c r="K23" s="1577">
        <v>1.77</v>
      </c>
      <c r="L23" s="1578">
        <v>1.89</v>
      </c>
      <c r="N23" s="1579">
        <f t="shared" si="119"/>
        <v>1.6299999999999999E-2</v>
      </c>
      <c r="O23" s="1580">
        <f t="shared" si="114"/>
        <v>1.11E-2</v>
      </c>
      <c r="P23" s="1580">
        <f t="shared" si="114"/>
        <v>1.77E-2</v>
      </c>
      <c r="Q23" s="1580">
        <f t="shared" si="114"/>
        <v>1.89E-2</v>
      </c>
      <c r="R23" s="1569"/>
      <c r="X23" s="1553">
        <f>ROUND(SUMPRODUCT(PRODUCT(1+N23:N$29)),4)</f>
        <v>1.0826</v>
      </c>
      <c r="Y23" s="1553">
        <f>ROUND(SUMPRODUCT(PRODUCT(1+O23:O$29)),4)</f>
        <v>1.0738000000000001</v>
      </c>
      <c r="Z23" s="1553">
        <f t="shared" si="0"/>
        <v>1.0738000000000001</v>
      </c>
      <c r="AA23" s="1553">
        <f>ROUND(SUMPRODUCT(PRODUCT(1+P23:P$29)),4)</f>
        <v>1.0855999999999999</v>
      </c>
      <c r="AB23" s="1553">
        <f>ROUND(SUMPRODUCT(PRODUCT(1+Q23:Q$29)),4)</f>
        <v>1.0837000000000001</v>
      </c>
      <c r="AD23" s="1554">
        <f>ROUND(AVERAGE(I23:I$30)/100,4)</f>
        <v>1.37E-2</v>
      </c>
      <c r="AE23" s="1554">
        <f>ROUND(AVERAGE(J23:J$30)/100,4)</f>
        <v>1.1900000000000001E-2</v>
      </c>
      <c r="AF23" s="1554">
        <f t="shared" si="115"/>
        <v>1.1900000000000001E-2</v>
      </c>
      <c r="AG23" s="1554">
        <f>ROUND(AVERAGE(K23:K$30)/100,4)</f>
        <v>1.4500000000000001E-2</v>
      </c>
      <c r="AH23" s="1554">
        <f>ROUND(AVERAGE(L23:L$30)/100,4)</f>
        <v>1.18E-2</v>
      </c>
    </row>
    <row r="24" spans="1:34">
      <c r="A24" s="1555" t="s">
        <v>100</v>
      </c>
      <c r="B24" s="1572">
        <f t="shared" ref="B24:C26" si="120">B23/(1+N23)</f>
        <v>327.65915576109415</v>
      </c>
      <c r="C24" s="1572">
        <f t="shared" si="120"/>
        <v>273.95905449510434</v>
      </c>
      <c r="D24" s="1572">
        <f t="shared" si="117"/>
        <v>273.95905449510434</v>
      </c>
      <c r="E24" s="1572">
        <f t="shared" ref="E24:F26" si="121">E23/(1+P23)</f>
        <v>451.01699911565294</v>
      </c>
      <c r="F24" s="1572">
        <f t="shared" si="121"/>
        <v>244.38119540681129</v>
      </c>
      <c r="G24" s="3133"/>
      <c r="H24" s="1582">
        <v>3</v>
      </c>
      <c r="I24" s="1582">
        <v>1.65</v>
      </c>
      <c r="J24" s="1582">
        <v>0.92</v>
      </c>
      <c r="K24" s="1582">
        <v>1.88</v>
      </c>
      <c r="L24" s="1583">
        <v>1.26</v>
      </c>
      <c r="N24" s="1567">
        <f t="shared" si="119"/>
        <v>1.6500000000000001E-2</v>
      </c>
      <c r="O24" s="1584">
        <f t="shared" si="114"/>
        <v>9.1999999999999998E-3</v>
      </c>
      <c r="P24" s="1584">
        <f t="shared" si="114"/>
        <v>1.8799999999999997E-2</v>
      </c>
      <c r="Q24" s="1584">
        <f t="shared" si="114"/>
        <v>1.26E-2</v>
      </c>
      <c r="R24" s="1569"/>
      <c r="S24" s="1567"/>
      <c r="T24" s="1568"/>
      <c r="U24" s="1568"/>
      <c r="V24" s="1568"/>
      <c r="X24" s="1553">
        <f>ROUND(SUMPRODUCT(PRODUCT(1+N24:N$29)),4)</f>
        <v>1.0651999999999999</v>
      </c>
      <c r="Y24" s="1553">
        <f>ROUND(SUMPRODUCT(PRODUCT(1+O24:O$29)),4)</f>
        <v>1.0621</v>
      </c>
      <c r="Z24" s="1553">
        <f t="shared" si="0"/>
        <v>1.0621</v>
      </c>
      <c r="AA24" s="1553">
        <f>ROUND(SUMPRODUCT(PRODUCT(1+P24:P$29)),4)</f>
        <v>1.0668</v>
      </c>
      <c r="AB24" s="1553">
        <f>ROUND(SUMPRODUCT(PRODUCT(1+Q24:Q$29)),4)</f>
        <v>1.0636000000000001</v>
      </c>
      <c r="AD24" s="1554">
        <f>ROUND(AVERAGE(I24:I$30)/100,4)</f>
        <v>1.3299999999999999E-2</v>
      </c>
      <c r="AE24" s="1554">
        <f>ROUND(AVERAGE(J24:J$30)/100,4)</f>
        <v>1.2E-2</v>
      </c>
      <c r="AF24" s="1554">
        <f t="shared" si="115"/>
        <v>1.2E-2</v>
      </c>
      <c r="AG24" s="1554">
        <f>ROUND(AVERAGE(K24:K$30)/100,4)</f>
        <v>1.4E-2</v>
      </c>
      <c r="AH24" s="1554">
        <f>ROUND(AVERAGE(L24:L$30)/100,4)</f>
        <v>1.0800000000000001E-2</v>
      </c>
    </row>
    <row r="25" spans="1:34">
      <c r="A25" s="1555" t="s">
        <v>99</v>
      </c>
      <c r="B25" s="1572">
        <f t="shared" si="120"/>
        <v>322.34053690220776</v>
      </c>
      <c r="C25" s="1572">
        <f t="shared" si="120"/>
        <v>271.46160770422546</v>
      </c>
      <c r="D25" s="1572">
        <f t="shared" si="117"/>
        <v>271.46160770422546</v>
      </c>
      <c r="E25" s="1572">
        <f t="shared" si="121"/>
        <v>442.69434542172456</v>
      </c>
      <c r="F25" s="1572">
        <f t="shared" si="121"/>
        <v>241.34030753190925</v>
      </c>
      <c r="G25" s="3133"/>
      <c r="H25" s="1559">
        <v>2</v>
      </c>
      <c r="I25" s="1559">
        <v>0.77</v>
      </c>
      <c r="J25" s="1559">
        <v>0.69</v>
      </c>
      <c r="K25" s="1559">
        <v>0.8</v>
      </c>
      <c r="L25" s="1574">
        <v>0.88</v>
      </c>
      <c r="N25" s="1567">
        <f t="shared" si="119"/>
        <v>7.7000000000000002E-3</v>
      </c>
      <c r="O25" s="1584">
        <f t="shared" si="114"/>
        <v>6.8999999999999999E-3</v>
      </c>
      <c r="P25" s="1584">
        <f t="shared" si="114"/>
        <v>8.0000000000000002E-3</v>
      </c>
      <c r="Q25" s="1584">
        <f t="shared" si="114"/>
        <v>8.8000000000000005E-3</v>
      </c>
      <c r="R25" s="1569"/>
      <c r="S25" s="1567"/>
      <c r="T25" s="1568"/>
      <c r="U25" s="1568"/>
      <c r="V25" s="1568"/>
      <c r="X25" s="1553">
        <f>ROUND(SUMPRODUCT(PRODUCT(1+N25:N$29)),4)</f>
        <v>1.048</v>
      </c>
      <c r="Y25" s="1553">
        <f>ROUND(SUMPRODUCT(PRODUCT(1+O25:O$29)),4)</f>
        <v>1.0524</v>
      </c>
      <c r="Z25" s="1553">
        <f t="shared" si="0"/>
        <v>1.0524</v>
      </c>
      <c r="AA25" s="1553">
        <f>ROUND(SUMPRODUCT(PRODUCT(1+P25:P$29)),4)</f>
        <v>1.0470999999999999</v>
      </c>
      <c r="AB25" s="1553">
        <f>ROUND(SUMPRODUCT(PRODUCT(1+Q25:Q$29)),4)</f>
        <v>1.0504</v>
      </c>
      <c r="AD25" s="1554">
        <f>ROUND(AVERAGE(I25:I$30)/100,4)</f>
        <v>1.2800000000000001E-2</v>
      </c>
      <c r="AE25" s="1554">
        <f>ROUND(AVERAGE(J25:J$30)/100,4)</f>
        <v>1.2500000000000001E-2</v>
      </c>
      <c r="AF25" s="1554">
        <f t="shared" si="115"/>
        <v>1.2500000000000001E-2</v>
      </c>
      <c r="AG25" s="1554">
        <f>ROUND(AVERAGE(K25:K$30)/100,4)</f>
        <v>1.32E-2</v>
      </c>
      <c r="AH25" s="1554">
        <f>ROUND(AVERAGE(L25:L$30)/100,4)</f>
        <v>1.0500000000000001E-2</v>
      </c>
    </row>
    <row r="26" spans="1:34">
      <c r="A26" s="1555" t="s">
        <v>98</v>
      </c>
      <c r="B26" s="1572">
        <f t="shared" si="120"/>
        <v>319.87748030386797</v>
      </c>
      <c r="C26" s="1572">
        <f t="shared" si="120"/>
        <v>269.60135833173649</v>
      </c>
      <c r="D26" s="1572">
        <f t="shared" si="117"/>
        <v>269.60135833173649</v>
      </c>
      <c r="E26" s="1572">
        <f t="shared" si="121"/>
        <v>439.18089823583784</v>
      </c>
      <c r="F26" s="1572">
        <f t="shared" si="121"/>
        <v>239.23503918706311</v>
      </c>
      <c r="G26" s="3134"/>
      <c r="H26" s="1558">
        <v>1</v>
      </c>
      <c r="I26" s="1558">
        <v>0.51</v>
      </c>
      <c r="J26" s="1558">
        <v>0.54</v>
      </c>
      <c r="K26" s="1558">
        <v>0.48</v>
      </c>
      <c r="L26" s="1573">
        <v>0.93</v>
      </c>
      <c r="N26" s="1575">
        <f t="shared" si="119"/>
        <v>5.1000000000000004E-3</v>
      </c>
      <c r="O26" s="1576">
        <f t="shared" si="114"/>
        <v>5.4000000000000003E-3</v>
      </c>
      <c r="P26" s="1576">
        <f t="shared" si="114"/>
        <v>4.7999999999999996E-3</v>
      </c>
      <c r="Q26" s="1576">
        <f t="shared" si="114"/>
        <v>9.300000000000001E-3</v>
      </c>
      <c r="R26" s="1569"/>
      <c r="S26" s="1575">
        <f>B26/B27-1</f>
        <v>5.9040261127922822E-3</v>
      </c>
      <c r="T26" s="1576">
        <f>C26/C27-1</f>
        <v>5.9752176557332781E-3</v>
      </c>
      <c r="U26" s="1576">
        <f>E26/E27-1</f>
        <v>4.9906138119859556E-3</v>
      </c>
      <c r="V26" s="1576">
        <f>F26/F27-1</f>
        <v>9.4305450930933787E-3</v>
      </c>
      <c r="X26" s="1553">
        <f>ROUND(SUMPRODUCT(PRODUCT(1+N26:N$29)),4)</f>
        <v>1.0399</v>
      </c>
      <c r="Y26" s="1553">
        <f>ROUND(SUMPRODUCT(PRODUCT(1+O26:O$29)),4)</f>
        <v>1.0451999999999999</v>
      </c>
      <c r="Z26" s="1553">
        <f t="shared" si="0"/>
        <v>1.0451999999999999</v>
      </c>
      <c r="AA26" s="1553">
        <f>ROUND(SUMPRODUCT(PRODUCT(1+P26:P$29)),4)</f>
        <v>1.0387999999999999</v>
      </c>
      <c r="AB26" s="1553">
        <f>ROUND(SUMPRODUCT(PRODUCT(1+Q26:Q$29)),4)</f>
        <v>1.0411999999999999</v>
      </c>
      <c r="AD26" s="1554">
        <f>ROUND(AVERAGE(I26:I$30)/100,4)</f>
        <v>1.38E-2</v>
      </c>
      <c r="AE26" s="1554">
        <f>ROUND(AVERAGE(J26:J$30)/100,4)</f>
        <v>1.3599999999999999E-2</v>
      </c>
      <c r="AF26" s="1554">
        <f t="shared" si="115"/>
        <v>1.3599999999999999E-2</v>
      </c>
      <c r="AG26" s="1554">
        <f>ROUND(AVERAGE(K26:K$30)/100,4)</f>
        <v>1.4200000000000001E-2</v>
      </c>
      <c r="AH26" s="1554">
        <f>ROUND(AVERAGE(L26:L$30)/100,4)</f>
        <v>1.0800000000000001E-2</v>
      </c>
    </row>
    <row r="27" spans="1:34" ht="13.5" thickBot="1">
      <c r="A27" s="1555" t="s">
        <v>97</v>
      </c>
      <c r="B27" s="1585">
        <v>318</v>
      </c>
      <c r="C27" s="1585">
        <v>268</v>
      </c>
      <c r="D27" s="1585">
        <f t="shared" si="117"/>
        <v>268</v>
      </c>
      <c r="E27" s="1585">
        <v>437</v>
      </c>
      <c r="F27" s="1586">
        <v>237</v>
      </c>
      <c r="G27" s="3132">
        <v>2014</v>
      </c>
      <c r="H27" s="1577">
        <v>4</v>
      </c>
      <c r="I27" s="1577">
        <v>0.21</v>
      </c>
      <c r="J27" s="1577">
        <v>0.41</v>
      </c>
      <c r="K27" s="1577">
        <v>0.12</v>
      </c>
      <c r="L27" s="1578">
        <v>0.89</v>
      </c>
      <c r="N27" s="1567">
        <f t="shared" si="119"/>
        <v>2.0999999999999999E-3</v>
      </c>
      <c r="O27" s="1568">
        <f t="shared" si="114"/>
        <v>4.0999999999999995E-3</v>
      </c>
      <c r="P27" s="1568">
        <f t="shared" si="114"/>
        <v>1.1999999999999999E-3</v>
      </c>
      <c r="Q27" s="1568">
        <f t="shared" si="114"/>
        <v>8.8999999999999999E-3</v>
      </c>
      <c r="R27" s="1569"/>
      <c r="S27" s="1570"/>
      <c r="T27" s="1571"/>
      <c r="U27" s="1571"/>
      <c r="V27" s="1571"/>
      <c r="X27" s="1553">
        <f>ROUND(SUMPRODUCT(PRODUCT(1+N27:N$29)),4)</f>
        <v>1.0347</v>
      </c>
      <c r="Y27" s="1553">
        <f>ROUND(SUMPRODUCT(PRODUCT(1+O27:O$29)),4)</f>
        <v>1.0395000000000001</v>
      </c>
      <c r="Z27" s="1553">
        <f t="shared" si="0"/>
        <v>1.0395000000000001</v>
      </c>
      <c r="AA27" s="1553">
        <f>ROUND(SUMPRODUCT(PRODUCT(1+P27:P$29)),4)</f>
        <v>1.0338000000000001</v>
      </c>
      <c r="AB27" s="1553">
        <f>ROUND(SUMPRODUCT(PRODUCT(1+Q27:Q$29)),4)</f>
        <v>1.0316000000000001</v>
      </c>
      <c r="AD27" s="1554">
        <f>ROUND(AVERAGE(I27:I$30)/100,4)</f>
        <v>1.6E-2</v>
      </c>
      <c r="AE27" s="1554">
        <f>ROUND(AVERAGE(J27:J$30)/100,4)</f>
        <v>1.5599999999999999E-2</v>
      </c>
      <c r="AF27" s="1554">
        <f t="shared" si="115"/>
        <v>1.5599999999999999E-2</v>
      </c>
      <c r="AG27" s="1554">
        <f>ROUND(AVERAGE(K27:K$30)/100,4)</f>
        <v>1.66E-2</v>
      </c>
      <c r="AH27" s="1554">
        <f>ROUND(AVERAGE(L27:L$30)/100,4)</f>
        <v>1.12E-2</v>
      </c>
    </row>
    <row r="28" spans="1:34">
      <c r="A28" s="1555" t="s">
        <v>96</v>
      </c>
      <c r="B28" s="1572">
        <f t="shared" ref="B28:C30" si="122">B27/(1+N27)</f>
        <v>317.33359944117353</v>
      </c>
      <c r="C28" s="1572">
        <f t="shared" si="122"/>
        <v>266.90568668459315</v>
      </c>
      <c r="D28" s="1572">
        <f t="shared" si="117"/>
        <v>266.90568668459315</v>
      </c>
      <c r="E28" s="1572">
        <f t="shared" ref="E28:F30" si="123">E27/(1+P27)</f>
        <v>436.47622852576905</v>
      </c>
      <c r="F28" s="1572">
        <f t="shared" si="123"/>
        <v>234.90930716622066</v>
      </c>
      <c r="G28" s="3133"/>
      <c r="H28" s="1587">
        <v>3</v>
      </c>
      <c r="I28" s="1587">
        <v>0.83</v>
      </c>
      <c r="J28" s="1587">
        <v>1.47</v>
      </c>
      <c r="K28" s="1587">
        <v>0.65</v>
      </c>
      <c r="L28" s="1588">
        <v>0.72</v>
      </c>
      <c r="N28" s="1567">
        <f t="shared" si="119"/>
        <v>8.3000000000000001E-3</v>
      </c>
      <c r="O28" s="1568">
        <f t="shared" si="114"/>
        <v>1.47E-2</v>
      </c>
      <c r="P28" s="1568">
        <f t="shared" si="114"/>
        <v>6.5000000000000006E-3</v>
      </c>
      <c r="Q28" s="1568">
        <f t="shared" si="114"/>
        <v>7.1999999999999998E-3</v>
      </c>
      <c r="R28" s="1569"/>
      <c r="S28" s="1567"/>
      <c r="T28" s="1568"/>
      <c r="U28" s="1568"/>
      <c r="V28" s="1568"/>
      <c r="X28" s="1553">
        <f>ROUND(SUMPRODUCT(PRODUCT(1+N28:N$29)),4)</f>
        <v>1.0325</v>
      </c>
      <c r="Y28" s="1553">
        <f>ROUND(SUMPRODUCT(PRODUCT(1+O28:O$29)),4)</f>
        <v>1.0353000000000001</v>
      </c>
      <c r="Z28" s="1553">
        <f t="shared" ref="Z28:Z29" si="124">Y28</f>
        <v>1.0353000000000001</v>
      </c>
      <c r="AA28" s="1553">
        <f>ROUND(SUMPRODUCT(PRODUCT(1+P28:P$29)),4)</f>
        <v>1.0326</v>
      </c>
      <c r="AB28" s="1553">
        <f>ROUND(SUMPRODUCT(PRODUCT(1+Q28:Q$29)),4)</f>
        <v>1.0225</v>
      </c>
      <c r="AD28" s="1554">
        <f>ROUND(AVERAGE(I28:I$30)/100,4)</f>
        <v>2.07E-2</v>
      </c>
      <c r="AE28" s="1554">
        <f>ROUND(AVERAGE(J28:J$30)/100,4)</f>
        <v>1.95E-2</v>
      </c>
      <c r="AF28" s="1554">
        <f t="shared" si="115"/>
        <v>1.95E-2</v>
      </c>
      <c r="AG28" s="1554">
        <f>ROUND(AVERAGE(K28:K$30)/100,4)</f>
        <v>2.1700000000000001E-2</v>
      </c>
      <c r="AH28" s="1554">
        <f>ROUND(AVERAGE(L28:L$30)/100,4)</f>
        <v>1.2E-2</v>
      </c>
    </row>
    <row r="29" spans="1:34" ht="13.5" thickBot="1">
      <c r="A29" s="1555" t="s">
        <v>95</v>
      </c>
      <c r="B29" s="1572">
        <f t="shared" si="122"/>
        <v>314.72141172386546</v>
      </c>
      <c r="C29" s="1572">
        <f t="shared" si="122"/>
        <v>263.03901319069001</v>
      </c>
      <c r="D29" s="1572">
        <f t="shared" si="117"/>
        <v>263.03901319069001</v>
      </c>
      <c r="E29" s="1572">
        <f t="shared" si="123"/>
        <v>433.65745506782821</v>
      </c>
      <c r="F29" s="1572">
        <f t="shared" si="123"/>
        <v>233.23005080045735</v>
      </c>
      <c r="G29" s="3133"/>
      <c r="H29" s="1577">
        <v>2</v>
      </c>
      <c r="I29" s="1577">
        <v>2.4</v>
      </c>
      <c r="J29" s="1577">
        <v>2.0299999999999998</v>
      </c>
      <c r="K29" s="1577">
        <v>2.59</v>
      </c>
      <c r="L29" s="1578">
        <v>1.52</v>
      </c>
      <c r="N29" s="1567">
        <f t="shared" si="119"/>
        <v>2.4E-2</v>
      </c>
      <c r="O29" s="1568">
        <f t="shared" si="114"/>
        <v>2.0299999999999999E-2</v>
      </c>
      <c r="P29" s="1568">
        <f t="shared" si="114"/>
        <v>2.5899999999999999E-2</v>
      </c>
      <c r="Q29" s="1568">
        <f t="shared" si="114"/>
        <v>1.52E-2</v>
      </c>
      <c r="R29" s="1569"/>
      <c r="S29" s="1567"/>
      <c r="T29" s="1568"/>
      <c r="U29" s="1568"/>
      <c r="V29" s="1568"/>
      <c r="X29" s="1553">
        <f>1+N29</f>
        <v>1.024</v>
      </c>
      <c r="Y29" s="1553">
        <f>1+O29</f>
        <v>1.0203</v>
      </c>
      <c r="Z29" s="1553">
        <f t="shared" si="124"/>
        <v>1.0203</v>
      </c>
      <c r="AA29" s="1553">
        <f>1+P29</f>
        <v>1.0259</v>
      </c>
      <c r="AB29" s="1553">
        <f>1+Q29</f>
        <v>1.0152000000000001</v>
      </c>
      <c r="AD29" s="1554">
        <f>ROUND(AVERAGE(I29:I$30)/100,4)</f>
        <v>2.69E-2</v>
      </c>
      <c r="AE29" s="1554">
        <f>ROUND(AVERAGE(J29:J$30)/100,4)</f>
        <v>2.1899999999999999E-2</v>
      </c>
      <c r="AF29" s="1554">
        <f t="shared" ref="AF29" si="125">AE29</f>
        <v>2.1899999999999999E-2</v>
      </c>
      <c r="AG29" s="1554">
        <f>ROUND(AVERAGE(K29:K$30)/100,4)</f>
        <v>2.9399999999999999E-2</v>
      </c>
      <c r="AH29" s="1554">
        <f>ROUND(AVERAGE(L29:L$30)/100,4)</f>
        <v>1.44E-2</v>
      </c>
    </row>
    <row r="30" spans="1:34" s="1593" customFormat="1" ht="13.5" thickBot="1">
      <c r="A30" s="1589" t="s">
        <v>94</v>
      </c>
      <c r="B30" s="1590">
        <f t="shared" si="122"/>
        <v>307.34512863658733</v>
      </c>
      <c r="C30" s="1590">
        <f t="shared" si="122"/>
        <v>257.80556031626975</v>
      </c>
      <c r="D30" s="1590">
        <f t="shared" si="117"/>
        <v>257.80556031626975</v>
      </c>
      <c r="E30" s="1590">
        <f t="shared" si="123"/>
        <v>422.70928459677179</v>
      </c>
      <c r="F30" s="1590">
        <f t="shared" si="123"/>
        <v>229.73803270336617</v>
      </c>
      <c r="G30" s="3134"/>
      <c r="H30" s="1591">
        <v>1</v>
      </c>
      <c r="I30" s="1591">
        <v>2.97</v>
      </c>
      <c r="J30" s="1591">
        <v>2.34</v>
      </c>
      <c r="K30" s="1591">
        <v>3.28</v>
      </c>
      <c r="L30" s="1592">
        <v>1.36</v>
      </c>
      <c r="N30" s="1594">
        <f t="shared" si="119"/>
        <v>2.9700000000000001E-2</v>
      </c>
      <c r="O30" s="1595">
        <f t="shared" si="114"/>
        <v>2.3399999999999997E-2</v>
      </c>
      <c r="P30" s="1595">
        <f t="shared" si="114"/>
        <v>3.2799999999999996E-2</v>
      </c>
      <c r="Q30" s="1595">
        <f t="shared" si="114"/>
        <v>1.3600000000000001E-2</v>
      </c>
      <c r="R30" s="1596"/>
      <c r="S30" s="1597">
        <f>B30/B31-1</f>
        <v>2.7910129219355539E-2</v>
      </c>
      <c r="T30" s="1598">
        <f>C30/C31-1</f>
        <v>2.3037937762975247E-2</v>
      </c>
      <c r="U30" s="1598">
        <f>E30/E31-1</f>
        <v>3.3519033243940788E-2</v>
      </c>
      <c r="V30" s="1598">
        <f>F30/F31-1</f>
        <v>1.2061818076502862E-2</v>
      </c>
      <c r="W30" s="1599" t="s">
        <v>1212</v>
      </c>
      <c r="X30" s="1600">
        <v>1</v>
      </c>
      <c r="Y30" s="1600">
        <v>1</v>
      </c>
      <c r="Z30" s="1600">
        <v>1</v>
      </c>
      <c r="AA30" s="1600">
        <v>1</v>
      </c>
      <c r="AB30" s="1600">
        <v>1</v>
      </c>
      <c r="AD30" s="1807">
        <f>I30/100</f>
        <v>2.9700000000000001E-2</v>
      </c>
      <c r="AE30" s="1807">
        <f>J30/100</f>
        <v>2.3399999999999997E-2</v>
      </c>
      <c r="AF30" s="1807">
        <f>AE30</f>
        <v>2.3399999999999997E-2</v>
      </c>
      <c r="AG30" s="1807">
        <f>K30/100</f>
        <v>3.2799999999999996E-2</v>
      </c>
      <c r="AH30" s="1807">
        <f>L30/100</f>
        <v>1.3600000000000001E-2</v>
      </c>
    </row>
    <row r="31" spans="1:34" ht="13.5" thickBot="1">
      <c r="A31" s="1555" t="s">
        <v>1045</v>
      </c>
      <c r="B31" s="1564">
        <v>299</v>
      </c>
      <c r="C31" s="1564">
        <v>252</v>
      </c>
      <c r="D31" s="1564">
        <f t="shared" si="117"/>
        <v>252</v>
      </c>
      <c r="E31" s="1564">
        <v>409</v>
      </c>
      <c r="F31" s="1565">
        <v>227</v>
      </c>
      <c r="G31" s="3139">
        <v>2013</v>
      </c>
      <c r="H31" s="1601">
        <v>4</v>
      </c>
      <c r="I31" s="1601">
        <v>1.83</v>
      </c>
      <c r="J31" s="1601">
        <v>1.68</v>
      </c>
      <c r="K31" s="1601">
        <v>1.97</v>
      </c>
      <c r="L31" s="1602">
        <v>0.87</v>
      </c>
      <c r="N31" s="1579">
        <f t="shared" si="119"/>
        <v>1.83E-2</v>
      </c>
      <c r="O31" s="1580">
        <f t="shared" si="114"/>
        <v>1.6799999999999999E-2</v>
      </c>
      <c r="P31" s="1580">
        <f t="shared" si="114"/>
        <v>1.9699999999999999E-2</v>
      </c>
      <c r="Q31" s="1580">
        <f t="shared" si="114"/>
        <v>8.6999999999999994E-3</v>
      </c>
      <c r="R31" s="1569"/>
      <c r="S31" s="1570"/>
      <c r="T31" s="1571"/>
      <c r="U31" s="1571"/>
      <c r="V31" s="1571"/>
      <c r="X31" s="1571"/>
      <c r="Y31" s="1571"/>
      <c r="Z31" s="1571"/>
    </row>
    <row r="32" spans="1:34">
      <c r="A32" s="1555" t="s">
        <v>1046</v>
      </c>
      <c r="B32" s="1572">
        <f t="shared" ref="B32:C34" si="126">B31/(1+N31)</f>
        <v>293.62663262299913</v>
      </c>
      <c r="C32" s="1572">
        <f t="shared" si="126"/>
        <v>247.83634933123525</v>
      </c>
      <c r="D32" s="1572">
        <f t="shared" si="117"/>
        <v>247.83634933123525</v>
      </c>
      <c r="E32" s="1572">
        <f t="shared" ref="E32:F34" si="127">E31/(1+P31)</f>
        <v>401.09836226341076</v>
      </c>
      <c r="F32" s="1572">
        <f t="shared" si="127"/>
        <v>225.04213343908003</v>
      </c>
      <c r="G32" s="3140"/>
      <c r="H32" s="1582">
        <v>3</v>
      </c>
      <c r="I32" s="1582">
        <v>1.86</v>
      </c>
      <c r="J32" s="1582">
        <v>1.72</v>
      </c>
      <c r="K32" s="1582">
        <v>1.98</v>
      </c>
      <c r="L32" s="1583">
        <v>0.88</v>
      </c>
      <c r="N32" s="1567">
        <f t="shared" si="119"/>
        <v>1.8600000000000002E-2</v>
      </c>
      <c r="O32" s="1584">
        <f t="shared" si="114"/>
        <v>1.72E-2</v>
      </c>
      <c r="P32" s="1584">
        <f t="shared" si="114"/>
        <v>1.9799999999999998E-2</v>
      </c>
      <c r="Q32" s="1584">
        <f t="shared" si="114"/>
        <v>8.8000000000000005E-3</v>
      </c>
      <c r="R32" s="1569"/>
      <c r="S32" s="1567"/>
      <c r="T32" s="1568"/>
      <c r="U32" s="1568"/>
      <c r="V32" s="1568"/>
    </row>
    <row r="33" spans="1:26">
      <c r="A33" s="1555" t="s">
        <v>1047</v>
      </c>
      <c r="B33" s="1572">
        <f t="shared" si="126"/>
        <v>288.2649053828776</v>
      </c>
      <c r="C33" s="1572">
        <f t="shared" si="126"/>
        <v>243.64564425013293</v>
      </c>
      <c r="D33" s="1572">
        <f t="shared" si="117"/>
        <v>243.64564425013293</v>
      </c>
      <c r="E33" s="1572">
        <f t="shared" si="127"/>
        <v>393.31080825986544</v>
      </c>
      <c r="F33" s="1572">
        <f t="shared" si="127"/>
        <v>223.07903790551154</v>
      </c>
      <c r="G33" s="3140"/>
      <c r="H33" s="1559">
        <v>2</v>
      </c>
      <c r="I33" s="1559">
        <v>2.04</v>
      </c>
      <c r="J33" s="1559">
        <v>2.33</v>
      </c>
      <c r="K33" s="1559">
        <v>2.0699999999999998</v>
      </c>
      <c r="L33" s="1574">
        <v>0.69</v>
      </c>
      <c r="N33" s="1567">
        <f t="shared" si="119"/>
        <v>2.0400000000000001E-2</v>
      </c>
      <c r="O33" s="1584">
        <f t="shared" si="114"/>
        <v>2.3300000000000001E-2</v>
      </c>
      <c r="P33" s="1584">
        <f t="shared" si="114"/>
        <v>2.07E-2</v>
      </c>
      <c r="Q33" s="1584">
        <f t="shared" si="114"/>
        <v>6.8999999999999999E-3</v>
      </c>
      <c r="R33" s="1569"/>
      <c r="S33" s="1567"/>
      <c r="T33" s="1568"/>
      <c r="U33" s="1568"/>
      <c r="V33" s="1568"/>
      <c r="X33" s="1603"/>
      <c r="Y33" s="1604"/>
    </row>
    <row r="34" spans="1:26">
      <c r="A34" s="1555" t="s">
        <v>1048</v>
      </c>
      <c r="B34" s="1572">
        <f t="shared" si="126"/>
        <v>282.50186729015837</v>
      </c>
      <c r="C34" s="1572">
        <f t="shared" si="126"/>
        <v>238.09796174155468</v>
      </c>
      <c r="D34" s="1572">
        <f t="shared" si="117"/>
        <v>238.09796174155468</v>
      </c>
      <c r="E34" s="1572">
        <f t="shared" si="127"/>
        <v>385.33438646014054</v>
      </c>
      <c r="F34" s="1572">
        <f t="shared" si="127"/>
        <v>221.55034055567739</v>
      </c>
      <c r="G34" s="3141"/>
      <c r="H34" s="1558">
        <v>1</v>
      </c>
      <c r="I34" s="1558">
        <v>1.67</v>
      </c>
      <c r="J34" s="1558">
        <v>1.31</v>
      </c>
      <c r="K34" s="1558">
        <v>1.85</v>
      </c>
      <c r="L34" s="1573">
        <v>0.96</v>
      </c>
      <c r="N34" s="1575">
        <f t="shared" si="119"/>
        <v>1.67E-2</v>
      </c>
      <c r="O34" s="1576">
        <f t="shared" si="119"/>
        <v>1.3100000000000001E-2</v>
      </c>
      <c r="P34" s="1576">
        <f t="shared" si="119"/>
        <v>1.8500000000000003E-2</v>
      </c>
      <c r="Q34" s="1576">
        <f t="shared" si="119"/>
        <v>9.5999999999999992E-3</v>
      </c>
      <c r="R34" s="1569"/>
      <c r="S34" s="1575">
        <f>B34/B35-1</f>
        <v>1.6193767230785472E-2</v>
      </c>
      <c r="T34" s="1576">
        <f>C34/C35-1</f>
        <v>1.7512657015190891E-2</v>
      </c>
      <c r="U34" s="1576">
        <f>E34/E35-1</f>
        <v>1.6713420739157048E-2</v>
      </c>
      <c r="V34" s="1576">
        <f>F34/F35-1</f>
        <v>7.0470025258062563E-3</v>
      </c>
      <c r="X34" s="1605"/>
      <c r="Y34" s="1554"/>
      <c r="Z34" s="1554"/>
    </row>
    <row r="35" spans="1:26" ht="13.5" thickBot="1">
      <c r="A35" s="1555" t="s">
        <v>1049</v>
      </c>
      <c r="B35" s="1606">
        <v>278</v>
      </c>
      <c r="C35" s="1606">
        <v>234</v>
      </c>
      <c r="D35" s="1606">
        <f t="shared" si="117"/>
        <v>234</v>
      </c>
      <c r="E35" s="1606">
        <v>379</v>
      </c>
      <c r="F35" s="1607">
        <v>220</v>
      </c>
      <c r="G35" s="3132">
        <v>2012</v>
      </c>
      <c r="H35" s="1577">
        <v>4</v>
      </c>
      <c r="I35" s="1577">
        <v>0.91</v>
      </c>
      <c r="J35" s="1577">
        <v>0.68</v>
      </c>
      <c r="K35" s="1577">
        <v>0.98</v>
      </c>
      <c r="L35" s="1578">
        <v>0.9</v>
      </c>
      <c r="N35" s="1567">
        <f t="shared" si="119"/>
        <v>9.1000000000000004E-3</v>
      </c>
      <c r="O35" s="1568">
        <f t="shared" si="119"/>
        <v>6.8000000000000005E-3</v>
      </c>
      <c r="P35" s="1568">
        <f t="shared" si="119"/>
        <v>9.7999999999999997E-3</v>
      </c>
      <c r="Q35" s="1568">
        <f t="shared" si="119"/>
        <v>9.0000000000000011E-3</v>
      </c>
      <c r="R35" s="1569"/>
      <c r="S35" s="1570"/>
      <c r="T35" s="1571"/>
      <c r="U35" s="1571"/>
      <c r="V35" s="1571"/>
      <c r="X35" s="1571"/>
      <c r="Y35" s="1571"/>
      <c r="Z35" s="1571"/>
    </row>
    <row r="36" spans="1:26">
      <c r="A36" s="1555" t="s">
        <v>1050</v>
      </c>
      <c r="B36" s="1572">
        <f>B35/(1+N35)</f>
        <v>275.49301357645425</v>
      </c>
      <c r="C36" s="1572">
        <f>C35/(1+O35)</f>
        <v>232.41954707985698</v>
      </c>
      <c r="D36" s="1572">
        <f t="shared" si="117"/>
        <v>232.41954707985698</v>
      </c>
      <c r="E36" s="1572">
        <f t="shared" ref="E36:F38" si="128">E35/(1+P35)</f>
        <v>375.32184591008121</v>
      </c>
      <c r="F36" s="1572">
        <f t="shared" si="128"/>
        <v>218.03766105054513</v>
      </c>
      <c r="G36" s="3133"/>
      <c r="H36" s="1582">
        <v>3</v>
      </c>
      <c r="I36" s="1582">
        <v>0.09</v>
      </c>
      <c r="J36" s="1582">
        <v>0.28999999999999998</v>
      </c>
      <c r="K36" s="1582">
        <v>-0.01</v>
      </c>
      <c r="L36" s="1583">
        <v>0.57999999999999996</v>
      </c>
      <c r="N36" s="1567">
        <f t="shared" si="119"/>
        <v>8.9999999999999998E-4</v>
      </c>
      <c r="O36" s="1568">
        <f t="shared" si="119"/>
        <v>2.8999999999999998E-3</v>
      </c>
      <c r="P36" s="1568">
        <f t="shared" si="119"/>
        <v>-1E-4</v>
      </c>
      <c r="Q36" s="1568">
        <f t="shared" si="119"/>
        <v>5.7999999999999996E-3</v>
      </c>
      <c r="R36" s="1569"/>
      <c r="S36" s="1567"/>
      <c r="T36" s="1568"/>
      <c r="U36" s="1568"/>
      <c r="V36" s="1568"/>
    </row>
    <row r="37" spans="1:26">
      <c r="A37" s="1555" t="s">
        <v>1051</v>
      </c>
      <c r="B37" s="1572">
        <f>B36/(1+N36)</f>
        <v>275.24529281292263</v>
      </c>
      <c r="C37" s="1572">
        <f>C36/(1+O36)</f>
        <v>231.74747938962707</v>
      </c>
      <c r="D37" s="1572">
        <f t="shared" si="117"/>
        <v>231.74747938962707</v>
      </c>
      <c r="E37" s="1572">
        <f t="shared" si="128"/>
        <v>375.35938184826603</v>
      </c>
      <c r="F37" s="1572">
        <f t="shared" si="128"/>
        <v>216.78033510692495</v>
      </c>
      <c r="G37" s="3133"/>
      <c r="H37" s="1559">
        <v>2</v>
      </c>
      <c r="I37" s="1559">
        <v>0.02</v>
      </c>
      <c r="J37" s="1559">
        <v>0.12</v>
      </c>
      <c r="K37" s="1559">
        <v>-0.08</v>
      </c>
      <c r="L37" s="1574">
        <v>1.24</v>
      </c>
      <c r="N37" s="1567">
        <f t="shared" si="119"/>
        <v>2.0000000000000001E-4</v>
      </c>
      <c r="O37" s="1568">
        <f t="shared" si="119"/>
        <v>1.1999999999999999E-3</v>
      </c>
      <c r="P37" s="1568">
        <f t="shared" si="119"/>
        <v>-8.0000000000000004E-4</v>
      </c>
      <c r="Q37" s="1568">
        <f t="shared" si="119"/>
        <v>1.24E-2</v>
      </c>
      <c r="R37" s="1569"/>
      <c r="S37" s="1567"/>
      <c r="T37" s="1568"/>
      <c r="U37" s="1568"/>
      <c r="V37" s="1568"/>
    </row>
    <row r="38" spans="1:26" ht="13.5" thickBot="1">
      <c r="A38" s="1555" t="s">
        <v>1052</v>
      </c>
      <c r="B38" s="1572">
        <f>B37/(1+N37)</f>
        <v>275.19025476197027</v>
      </c>
      <c r="C38" s="1608">
        <v>232</v>
      </c>
      <c r="D38" s="1608">
        <f t="shared" si="117"/>
        <v>232</v>
      </c>
      <c r="E38" s="1572">
        <f t="shared" si="128"/>
        <v>375.65990977608692</v>
      </c>
      <c r="F38" s="1572">
        <f t="shared" si="128"/>
        <v>214.12518283971252</v>
      </c>
      <c r="G38" s="3134"/>
      <c r="H38" s="1558">
        <v>1</v>
      </c>
      <c r="I38" s="1558">
        <v>0.02</v>
      </c>
      <c r="J38" s="1558">
        <v>0.13</v>
      </c>
      <c r="K38" s="1558">
        <v>-0.04</v>
      </c>
      <c r="L38" s="1573">
        <v>0.46</v>
      </c>
      <c r="N38" s="1567">
        <f t="shared" si="119"/>
        <v>2.0000000000000001E-4</v>
      </c>
      <c r="O38" s="1568">
        <f t="shared" si="119"/>
        <v>1.2999999999999999E-3</v>
      </c>
      <c r="P38" s="1568">
        <f t="shared" si="119"/>
        <v>-4.0000000000000002E-4</v>
      </c>
      <c r="Q38" s="1568">
        <f t="shared" si="119"/>
        <v>4.5999999999999999E-3</v>
      </c>
      <c r="R38" s="1569"/>
      <c r="S38" s="1575">
        <f>B38/B39-1</f>
        <v>6.9183549807361189E-4</v>
      </c>
      <c r="T38" s="1576">
        <f>C38/C39-1</f>
        <v>0</v>
      </c>
      <c r="U38" s="1576">
        <f>E38/E39-1</f>
        <v>-9.0449527636460303E-4</v>
      </c>
      <c r="V38" s="1576">
        <f>F38/F39-1</f>
        <v>5.2825485432512753E-3</v>
      </c>
      <c r="X38" s="1554"/>
      <c r="Y38" s="1554"/>
      <c r="Z38" s="1554"/>
    </row>
    <row r="39" spans="1:26" ht="13.5" thickBot="1">
      <c r="A39" s="1555" t="s">
        <v>1053</v>
      </c>
      <c r="B39" s="1564">
        <v>275</v>
      </c>
      <c r="C39" s="1564">
        <v>232</v>
      </c>
      <c r="D39" s="1564">
        <f t="shared" si="117"/>
        <v>232</v>
      </c>
      <c r="E39" s="1564">
        <v>376</v>
      </c>
      <c r="F39" s="1565">
        <v>213</v>
      </c>
      <c r="G39" s="3132">
        <v>2011</v>
      </c>
      <c r="H39" s="1577">
        <v>4</v>
      </c>
      <c r="I39" s="1577">
        <v>-0.2</v>
      </c>
      <c r="J39" s="1577">
        <v>0.04</v>
      </c>
      <c r="K39" s="1577">
        <v>-0.34</v>
      </c>
      <c r="L39" s="1578">
        <v>0.46</v>
      </c>
      <c r="N39" s="1579">
        <f t="shared" si="119"/>
        <v>-2E-3</v>
      </c>
      <c r="O39" s="1580">
        <f t="shared" si="119"/>
        <v>4.0000000000000002E-4</v>
      </c>
      <c r="P39" s="1580">
        <f t="shared" si="119"/>
        <v>-3.4000000000000002E-3</v>
      </c>
      <c r="Q39" s="1580">
        <f t="shared" si="119"/>
        <v>4.5999999999999999E-3</v>
      </c>
      <c r="R39" s="1569"/>
      <c r="S39" s="1570"/>
      <c r="T39" s="1571"/>
      <c r="U39" s="1571"/>
      <c r="V39" s="1571"/>
      <c r="X39" s="1571"/>
      <c r="Y39" s="1571"/>
      <c r="Z39" s="1571"/>
    </row>
    <row r="40" spans="1:26">
      <c r="A40" s="1555" t="s">
        <v>1054</v>
      </c>
      <c r="B40" s="1572">
        <f t="shared" ref="B40:C42" si="129">B39/(1+N39)</f>
        <v>275.55110220440883</v>
      </c>
      <c r="C40" s="1572">
        <f t="shared" si="129"/>
        <v>231.90723710515795</v>
      </c>
      <c r="D40" s="1572">
        <f t="shared" si="117"/>
        <v>231.90723710515795</v>
      </c>
      <c r="E40" s="1572">
        <f t="shared" ref="E40:F42" si="130">E39/(1+P39)</f>
        <v>377.28276138872161</v>
      </c>
      <c r="F40" s="1572">
        <f t="shared" si="130"/>
        <v>212.02468644236512</v>
      </c>
      <c r="G40" s="3133">
        <v>2011</v>
      </c>
      <c r="H40" s="1582">
        <v>3</v>
      </c>
      <c r="I40" s="1582">
        <v>0.13</v>
      </c>
      <c r="J40" s="1582">
        <v>0.75</v>
      </c>
      <c r="K40" s="1582">
        <v>-0.08</v>
      </c>
      <c r="L40" s="1583">
        <v>0.53</v>
      </c>
      <c r="N40" s="1567">
        <f t="shared" si="119"/>
        <v>1.2999999999999999E-3</v>
      </c>
      <c r="O40" s="1584">
        <f t="shared" si="119"/>
        <v>7.4999999999999997E-3</v>
      </c>
      <c r="P40" s="1584">
        <f t="shared" si="119"/>
        <v>-8.0000000000000004E-4</v>
      </c>
      <c r="Q40" s="1584">
        <f t="shared" si="119"/>
        <v>5.3E-3</v>
      </c>
      <c r="R40" s="1569"/>
      <c r="S40" s="1567"/>
      <c r="T40" s="1568"/>
      <c r="U40" s="1568"/>
      <c r="V40" s="1568"/>
    </row>
    <row r="41" spans="1:26">
      <c r="A41" s="1555" t="s">
        <v>1055</v>
      </c>
      <c r="B41" s="1572">
        <f t="shared" si="129"/>
        <v>275.19335084830601</v>
      </c>
      <c r="C41" s="1572">
        <f t="shared" si="129"/>
        <v>230.18088050139744</v>
      </c>
      <c r="D41" s="1572">
        <f t="shared" si="117"/>
        <v>230.18088050139744</v>
      </c>
      <c r="E41" s="1572">
        <f t="shared" si="130"/>
        <v>377.58482925212331</v>
      </c>
      <c r="F41" s="1572">
        <f t="shared" si="130"/>
        <v>210.90687997847917</v>
      </c>
      <c r="G41" s="3133">
        <v>2011</v>
      </c>
      <c r="H41" s="1559">
        <v>2</v>
      </c>
      <c r="I41" s="1559">
        <v>-0.4</v>
      </c>
      <c r="J41" s="1559">
        <v>0.17</v>
      </c>
      <c r="K41" s="1559">
        <v>-0.57999999999999996</v>
      </c>
      <c r="L41" s="1574">
        <v>-0.2</v>
      </c>
      <c r="N41" s="1567">
        <f t="shared" si="119"/>
        <v>-4.0000000000000001E-3</v>
      </c>
      <c r="O41" s="1584">
        <f t="shared" si="119"/>
        <v>1.7000000000000001E-3</v>
      </c>
      <c r="P41" s="1584">
        <f t="shared" si="119"/>
        <v>-5.7999999999999996E-3</v>
      </c>
      <c r="Q41" s="1584">
        <f t="shared" si="119"/>
        <v>-2E-3</v>
      </c>
      <c r="R41" s="1569"/>
      <c r="S41" s="1567"/>
      <c r="T41" s="1568"/>
      <c r="U41" s="1568"/>
      <c r="V41" s="1568"/>
    </row>
    <row r="42" spans="1:26" ht="13.5" thickBot="1">
      <c r="A42" s="1555" t="s">
        <v>1056</v>
      </c>
      <c r="B42" s="1572">
        <f t="shared" si="129"/>
        <v>276.29854502841971</v>
      </c>
      <c r="C42" s="1572">
        <f t="shared" si="129"/>
        <v>229.79023709833027</v>
      </c>
      <c r="D42" s="1572">
        <f t="shared" si="117"/>
        <v>229.79023709833027</v>
      </c>
      <c r="E42" s="1572">
        <f t="shared" si="130"/>
        <v>379.78759731655936</v>
      </c>
      <c r="F42" s="1572">
        <f t="shared" si="130"/>
        <v>211.32953905659235</v>
      </c>
      <c r="G42" s="3134">
        <v>2011</v>
      </c>
      <c r="H42" s="1558">
        <v>1</v>
      </c>
      <c r="I42" s="1558">
        <v>2.65</v>
      </c>
      <c r="J42" s="1558">
        <v>3.76</v>
      </c>
      <c r="K42" s="1558">
        <v>1.89</v>
      </c>
      <c r="L42" s="1573">
        <v>7.95</v>
      </c>
      <c r="N42" s="1575">
        <f t="shared" si="119"/>
        <v>2.6499999999999999E-2</v>
      </c>
      <c r="O42" s="1576">
        <f t="shared" si="119"/>
        <v>3.7599999999999995E-2</v>
      </c>
      <c r="P42" s="1576">
        <f t="shared" si="119"/>
        <v>1.89E-2</v>
      </c>
      <c r="Q42" s="1576">
        <f t="shared" si="119"/>
        <v>7.9500000000000001E-2</v>
      </c>
      <c r="R42" s="1569"/>
      <c r="S42" s="1575">
        <f>B42/B43-1</f>
        <v>2.713213765211786E-2</v>
      </c>
      <c r="T42" s="1576">
        <f>C42/C43-1</f>
        <v>3.9774828499231862E-2</v>
      </c>
      <c r="U42" s="1576">
        <f>E42/E43-1</f>
        <v>1.8197311840641772E-2</v>
      </c>
      <c r="V42" s="1576">
        <f>F42/F43-1</f>
        <v>7.8211933962205826E-2</v>
      </c>
      <c r="X42" s="1554"/>
      <c r="Y42" s="1554"/>
      <c r="Z42" s="1554"/>
    </row>
    <row r="43" spans="1:26" ht="13.5" thickBot="1">
      <c r="A43" s="1555" t="s">
        <v>1057</v>
      </c>
      <c r="B43" s="1564">
        <v>269</v>
      </c>
      <c r="C43" s="1564">
        <v>221</v>
      </c>
      <c r="D43" s="1564">
        <f t="shared" si="117"/>
        <v>221</v>
      </c>
      <c r="E43" s="1564">
        <v>373</v>
      </c>
      <c r="F43" s="1565">
        <v>196</v>
      </c>
      <c r="G43" s="3132">
        <v>2010</v>
      </c>
      <c r="H43" s="1577">
        <v>4</v>
      </c>
      <c r="I43" s="1577">
        <v>5.72</v>
      </c>
      <c r="J43" s="1577">
        <v>6.57</v>
      </c>
      <c r="K43" s="1577">
        <v>5.72</v>
      </c>
      <c r="L43" s="1578">
        <v>2.72</v>
      </c>
      <c r="N43" s="1567">
        <f t="shared" si="119"/>
        <v>5.7200000000000001E-2</v>
      </c>
      <c r="O43" s="1568">
        <f t="shared" si="119"/>
        <v>6.5700000000000008E-2</v>
      </c>
      <c r="P43" s="1568">
        <f t="shared" si="119"/>
        <v>5.7200000000000001E-2</v>
      </c>
      <c r="Q43" s="1568">
        <f t="shared" si="119"/>
        <v>2.7200000000000002E-2</v>
      </c>
      <c r="R43" s="1569"/>
      <c r="S43" s="1570"/>
      <c r="T43" s="1571"/>
      <c r="U43" s="1571"/>
      <c r="V43" s="1571"/>
      <c r="X43" s="1571"/>
      <c r="Y43" s="1571"/>
      <c r="Z43" s="1571"/>
    </row>
    <row r="44" spans="1:26">
      <c r="A44" s="1555" t="s">
        <v>1058</v>
      </c>
      <c r="B44" s="1572">
        <f t="shared" ref="B44:C46" si="131">B43/(1+N43)</f>
        <v>254.44570563753314</v>
      </c>
      <c r="C44" s="1572">
        <f t="shared" si="131"/>
        <v>207.37543398705074</v>
      </c>
      <c r="D44" s="1572">
        <f t="shared" si="117"/>
        <v>207.37543398705074</v>
      </c>
      <c r="E44" s="1572">
        <f t="shared" ref="E44:F46" si="132">E43/(1+P43)</f>
        <v>352.81876655315932</v>
      </c>
      <c r="F44" s="1572">
        <f t="shared" si="132"/>
        <v>190.809968847352</v>
      </c>
      <c r="G44" s="3133">
        <v>2010</v>
      </c>
      <c r="H44" s="1582">
        <v>3</v>
      </c>
      <c r="I44" s="1582">
        <v>4.7300000000000004</v>
      </c>
      <c r="J44" s="1582">
        <v>3.9</v>
      </c>
      <c r="K44" s="1582">
        <v>5.03</v>
      </c>
      <c r="L44" s="1583">
        <v>4.21</v>
      </c>
      <c r="N44" s="1567">
        <f t="shared" si="119"/>
        <v>4.7300000000000002E-2</v>
      </c>
      <c r="O44" s="1568">
        <f t="shared" si="119"/>
        <v>3.9E-2</v>
      </c>
      <c r="P44" s="1568">
        <f t="shared" si="119"/>
        <v>5.0300000000000004E-2</v>
      </c>
      <c r="Q44" s="1568">
        <f t="shared" si="119"/>
        <v>4.2099999999999999E-2</v>
      </c>
      <c r="R44" s="1569"/>
      <c r="S44" s="1567"/>
      <c r="T44" s="1568"/>
      <c r="U44" s="1568"/>
      <c r="V44" s="1568"/>
    </row>
    <row r="45" spans="1:26">
      <c r="A45" s="1555" t="s">
        <v>1059</v>
      </c>
      <c r="B45" s="1572">
        <f t="shared" si="131"/>
        <v>242.95398227588385</v>
      </c>
      <c r="C45" s="1572">
        <f t="shared" si="131"/>
        <v>199.59137053614126</v>
      </c>
      <c r="D45" s="1572">
        <f t="shared" si="117"/>
        <v>199.59137053614126</v>
      </c>
      <c r="E45" s="1572">
        <f t="shared" si="132"/>
        <v>335.92189522342125</v>
      </c>
      <c r="F45" s="1572">
        <f t="shared" si="132"/>
        <v>183.10139991109489</v>
      </c>
      <c r="G45" s="3133">
        <v>2010</v>
      </c>
      <c r="H45" s="1559">
        <v>2</v>
      </c>
      <c r="I45" s="1559">
        <v>4.6900000000000004</v>
      </c>
      <c r="J45" s="1559">
        <v>3.55</v>
      </c>
      <c r="K45" s="1559">
        <v>5.07</v>
      </c>
      <c r="L45" s="1574">
        <v>4.2300000000000004</v>
      </c>
      <c r="N45" s="1567">
        <f t="shared" si="119"/>
        <v>4.6900000000000004E-2</v>
      </c>
      <c r="O45" s="1568">
        <f t="shared" si="119"/>
        <v>3.5499999999999997E-2</v>
      </c>
      <c r="P45" s="1568">
        <f t="shared" si="119"/>
        <v>5.0700000000000002E-2</v>
      </c>
      <c r="Q45" s="1568">
        <f t="shared" si="119"/>
        <v>4.2300000000000004E-2</v>
      </c>
      <c r="R45" s="1569"/>
      <c r="S45" s="1567"/>
      <c r="T45" s="1568"/>
      <c r="U45" s="1568"/>
      <c r="V45" s="1568"/>
    </row>
    <row r="46" spans="1:26" ht="13.5" thickBot="1">
      <c r="A46" s="1555" t="s">
        <v>1060</v>
      </c>
      <c r="B46" s="1572">
        <f t="shared" si="131"/>
        <v>232.06990378821649</v>
      </c>
      <c r="C46" s="1572">
        <f t="shared" si="131"/>
        <v>192.74878854286936</v>
      </c>
      <c r="D46" s="1572">
        <f t="shared" si="117"/>
        <v>192.74878854286936</v>
      </c>
      <c r="E46" s="1572">
        <f t="shared" si="132"/>
        <v>319.71247284992984</v>
      </c>
      <c r="F46" s="1572">
        <f t="shared" si="132"/>
        <v>175.67053622862409</v>
      </c>
      <c r="G46" s="3134">
        <v>2010</v>
      </c>
      <c r="H46" s="1558">
        <v>1</v>
      </c>
      <c r="I46" s="1558">
        <v>5.4</v>
      </c>
      <c r="J46" s="1558">
        <v>3.2</v>
      </c>
      <c r="K46" s="1558">
        <v>6.16</v>
      </c>
      <c r="L46" s="1573">
        <v>4.51</v>
      </c>
      <c r="N46" s="1567">
        <f t="shared" si="119"/>
        <v>5.4000000000000006E-2</v>
      </c>
      <c r="O46" s="1568">
        <f t="shared" si="119"/>
        <v>3.2000000000000001E-2</v>
      </c>
      <c r="P46" s="1568">
        <f t="shared" si="119"/>
        <v>6.1600000000000002E-2</v>
      </c>
      <c r="Q46" s="1568">
        <f t="shared" si="119"/>
        <v>4.5100000000000001E-2</v>
      </c>
      <c r="R46" s="1569"/>
      <c r="S46" s="1575">
        <f>B46/B47-1</f>
        <v>5.4863199037347599E-2</v>
      </c>
      <c r="T46" s="1576">
        <f>C46/C47-1</f>
        <v>3.0742184721226584E-2</v>
      </c>
      <c r="U46" s="1576">
        <f>E46/E47-1</f>
        <v>6.2167683886810154E-2</v>
      </c>
      <c r="V46" s="1576">
        <f>F46/F47-1</f>
        <v>4.5657953741810031E-2</v>
      </c>
      <c r="X46" s="1554"/>
      <c r="Y46" s="1554"/>
      <c r="Z46" s="1554"/>
    </row>
    <row r="47" spans="1:26" ht="13.5" thickBot="1">
      <c r="A47" s="1555" t="s">
        <v>1061</v>
      </c>
      <c r="B47" s="1564">
        <v>220</v>
      </c>
      <c r="C47" s="1564">
        <v>187</v>
      </c>
      <c r="D47" s="1564">
        <f t="shared" si="117"/>
        <v>187</v>
      </c>
      <c r="E47" s="1564">
        <v>301</v>
      </c>
      <c r="F47" s="1565">
        <v>168</v>
      </c>
      <c r="G47" s="3132">
        <v>2009</v>
      </c>
      <c r="H47" s="1577">
        <v>4</v>
      </c>
      <c r="I47" s="1577">
        <v>2.2999999999999998</v>
      </c>
      <c r="J47" s="1577">
        <v>1.04</v>
      </c>
      <c r="K47" s="1577">
        <v>2.84</v>
      </c>
      <c r="L47" s="1578">
        <v>0.67</v>
      </c>
      <c r="N47" s="1579">
        <f t="shared" si="119"/>
        <v>2.3E-2</v>
      </c>
      <c r="O47" s="1580">
        <f t="shared" si="119"/>
        <v>1.04E-2</v>
      </c>
      <c r="P47" s="1580">
        <f t="shared" si="119"/>
        <v>2.8399999999999998E-2</v>
      </c>
      <c r="Q47" s="1580">
        <f t="shared" si="119"/>
        <v>6.7000000000000002E-3</v>
      </c>
      <c r="R47" s="1569"/>
      <c r="S47" s="1570"/>
      <c r="T47" s="1571"/>
      <c r="U47" s="1571"/>
      <c r="V47" s="1571"/>
      <c r="X47" s="1571"/>
      <c r="Y47" s="1571"/>
      <c r="Z47" s="1571"/>
    </row>
    <row r="48" spans="1:26">
      <c r="A48" s="1555" t="s">
        <v>1062</v>
      </c>
      <c r="B48" s="1572">
        <f t="shared" ref="B48:C50" si="133">B47/(1+N47)</f>
        <v>215.05376344086022</v>
      </c>
      <c r="C48" s="1572">
        <f t="shared" si="133"/>
        <v>185.0752177355503</v>
      </c>
      <c r="D48" s="1572">
        <f t="shared" si="117"/>
        <v>185.0752177355503</v>
      </c>
      <c r="E48" s="1572">
        <f t="shared" ref="E48:F50" si="134">E47/(1+P47)</f>
        <v>292.68767016725008</v>
      </c>
      <c r="F48" s="1572">
        <f t="shared" si="134"/>
        <v>166.88189132810174</v>
      </c>
      <c r="G48" s="3133">
        <v>2009</v>
      </c>
      <c r="H48" s="1582">
        <v>3</v>
      </c>
      <c r="I48" s="1582">
        <v>2.1</v>
      </c>
      <c r="J48" s="1582">
        <v>1.86</v>
      </c>
      <c r="K48" s="1582">
        <v>2.29</v>
      </c>
      <c r="L48" s="1583">
        <v>0.85</v>
      </c>
      <c r="N48" s="1567">
        <f t="shared" si="119"/>
        <v>2.1000000000000001E-2</v>
      </c>
      <c r="O48" s="1584">
        <f t="shared" si="119"/>
        <v>1.8600000000000002E-2</v>
      </c>
      <c r="P48" s="1584">
        <f t="shared" si="119"/>
        <v>2.29E-2</v>
      </c>
      <c r="Q48" s="1584">
        <f t="shared" si="119"/>
        <v>8.5000000000000006E-3</v>
      </c>
      <c r="R48" s="1569"/>
      <c r="S48" s="1567"/>
      <c r="T48" s="1568"/>
      <c r="U48" s="1568"/>
      <c r="V48" s="1568"/>
    </row>
    <row r="49" spans="1:26">
      <c r="A49" s="1555" t="s">
        <v>1063</v>
      </c>
      <c r="B49" s="1572">
        <f t="shared" si="133"/>
        <v>210.630522469011</v>
      </c>
      <c r="C49" s="1572">
        <f t="shared" si="133"/>
        <v>181.69567812247232</v>
      </c>
      <c r="D49" s="1572">
        <f t="shared" si="117"/>
        <v>181.69567812247232</v>
      </c>
      <c r="E49" s="1572">
        <f t="shared" si="134"/>
        <v>286.13517466736738</v>
      </c>
      <c r="F49" s="1572">
        <f t="shared" si="134"/>
        <v>165.47535084591149</v>
      </c>
      <c r="G49" s="3133">
        <v>2009</v>
      </c>
      <c r="H49" s="1559">
        <v>2</v>
      </c>
      <c r="I49" s="1559">
        <v>0.86</v>
      </c>
      <c r="J49" s="1559">
        <v>-1.1299999999999999</v>
      </c>
      <c r="K49" s="1559">
        <v>1.79</v>
      </c>
      <c r="L49" s="1574">
        <v>-2.0699999999999998</v>
      </c>
      <c r="N49" s="1567">
        <f t="shared" si="119"/>
        <v>8.6E-3</v>
      </c>
      <c r="O49" s="1584">
        <f t="shared" si="119"/>
        <v>-1.1299999999999999E-2</v>
      </c>
      <c r="P49" s="1584">
        <f t="shared" si="119"/>
        <v>1.7899999999999999E-2</v>
      </c>
      <c r="Q49" s="1584">
        <f t="shared" si="119"/>
        <v>-2.07E-2</v>
      </c>
      <c r="R49" s="1569"/>
      <c r="S49" s="1567"/>
      <c r="T49" s="1568"/>
      <c r="U49" s="1568"/>
      <c r="V49" s="1568"/>
    </row>
    <row r="50" spans="1:26">
      <c r="A50" s="1555" t="s">
        <v>1064</v>
      </c>
      <c r="B50" s="1572">
        <f t="shared" si="133"/>
        <v>208.83454537875372</v>
      </c>
      <c r="C50" s="1572">
        <f t="shared" si="133"/>
        <v>183.77230517090351</v>
      </c>
      <c r="D50" s="1572">
        <f t="shared" si="117"/>
        <v>183.77230517090351</v>
      </c>
      <c r="E50" s="1572">
        <f t="shared" si="134"/>
        <v>281.10342338870947</v>
      </c>
      <c r="F50" s="1572">
        <f t="shared" si="134"/>
        <v>168.97309388942256</v>
      </c>
      <c r="G50" s="3134">
        <v>2009</v>
      </c>
      <c r="H50" s="1558">
        <v>1</v>
      </c>
      <c r="I50" s="1558">
        <v>-2.64</v>
      </c>
      <c r="J50" s="1558">
        <v>-2.5299999999999998</v>
      </c>
      <c r="K50" s="1558">
        <v>-3.02</v>
      </c>
      <c r="L50" s="1573">
        <v>1.52</v>
      </c>
      <c r="N50" s="1575">
        <f t="shared" si="119"/>
        <v>-2.64E-2</v>
      </c>
      <c r="O50" s="1576">
        <f t="shared" si="119"/>
        <v>-2.53E-2</v>
      </c>
      <c r="P50" s="1576">
        <f t="shared" si="119"/>
        <v>-3.0200000000000001E-2</v>
      </c>
      <c r="Q50" s="1576">
        <f t="shared" si="119"/>
        <v>1.52E-2</v>
      </c>
      <c r="R50" s="1569"/>
      <c r="S50" s="1575">
        <f>B50/B51-1</f>
        <v>-2.4137638417038754E-2</v>
      </c>
      <c r="T50" s="1576">
        <f>C50/C51-1</f>
        <v>-2.248773845264096E-2</v>
      </c>
      <c r="U50" s="1576">
        <f>E50/E51-1</f>
        <v>-2.7323794502735366E-2</v>
      </c>
      <c r="V50" s="1576">
        <f>F50/F51-1</f>
        <v>1.7910204153148035E-2</v>
      </c>
      <c r="X50" s="1554"/>
      <c r="Y50" s="1554"/>
      <c r="Z50" s="1554"/>
    </row>
    <row r="51" spans="1:26" ht="13.5" thickBot="1">
      <c r="A51" s="1555" t="s">
        <v>1065</v>
      </c>
      <c r="B51" s="1606">
        <v>214</v>
      </c>
      <c r="C51" s="1606">
        <v>188</v>
      </c>
      <c r="D51" s="1606">
        <f t="shared" si="117"/>
        <v>188</v>
      </c>
      <c r="E51" s="1606">
        <v>289</v>
      </c>
      <c r="F51" s="1607">
        <v>166</v>
      </c>
      <c r="G51" s="3132">
        <v>2008</v>
      </c>
      <c r="H51" s="1577">
        <v>4</v>
      </c>
      <c r="I51" s="1577">
        <v>1.73</v>
      </c>
      <c r="J51" s="1577">
        <v>0.03</v>
      </c>
      <c r="K51" s="1577">
        <v>2.59</v>
      </c>
      <c r="L51" s="1578">
        <v>-1.66</v>
      </c>
      <c r="N51" s="1567">
        <f t="shared" si="119"/>
        <v>1.7299999999999999E-2</v>
      </c>
      <c r="O51" s="1568">
        <f t="shared" si="119"/>
        <v>2.9999999999999997E-4</v>
      </c>
      <c r="P51" s="1568">
        <f t="shared" si="119"/>
        <v>2.5899999999999999E-2</v>
      </c>
      <c r="Q51" s="1568">
        <f t="shared" si="119"/>
        <v>-1.66E-2</v>
      </c>
      <c r="R51" s="1569"/>
      <c r="S51" s="1570"/>
      <c r="T51" s="1571"/>
      <c r="U51" s="1571"/>
      <c r="V51" s="1571"/>
      <c r="X51" s="1571"/>
      <c r="Y51" s="1571"/>
      <c r="Z51" s="1571"/>
    </row>
    <row r="52" spans="1:26">
      <c r="A52" s="1555" t="s">
        <v>1066</v>
      </c>
      <c r="B52" s="1572">
        <f t="shared" ref="B52:C54" si="135">B51/(1+N51)</f>
        <v>210.36075887152265</v>
      </c>
      <c r="C52" s="1572">
        <f t="shared" si="135"/>
        <v>187.94361691492554</v>
      </c>
      <c r="D52" s="1572">
        <f t="shared" si="117"/>
        <v>187.94361691492554</v>
      </c>
      <c r="E52" s="1572">
        <f t="shared" ref="E52:F54" si="136">E51/(1+P51)</f>
        <v>281.70386977288234</v>
      </c>
      <c r="F52" s="1572">
        <f t="shared" si="136"/>
        <v>168.80211511083994</v>
      </c>
      <c r="G52" s="3133">
        <v>2008</v>
      </c>
      <c r="H52" s="1582">
        <v>3</v>
      </c>
      <c r="I52" s="1582">
        <v>1.96</v>
      </c>
      <c r="J52" s="1582">
        <v>2.36</v>
      </c>
      <c r="K52" s="1582">
        <v>1.82</v>
      </c>
      <c r="L52" s="1583">
        <v>2.2200000000000002</v>
      </c>
      <c r="N52" s="1567">
        <f t="shared" si="119"/>
        <v>1.9599999999999999E-2</v>
      </c>
      <c r="O52" s="1568">
        <f t="shared" si="119"/>
        <v>2.3599999999999999E-2</v>
      </c>
      <c r="P52" s="1568">
        <f t="shared" si="119"/>
        <v>1.8200000000000001E-2</v>
      </c>
      <c r="Q52" s="1568">
        <f t="shared" si="119"/>
        <v>2.2200000000000001E-2</v>
      </c>
      <c r="R52" s="1569"/>
      <c r="S52" s="1567"/>
      <c r="T52" s="1568"/>
      <c r="U52" s="1568"/>
      <c r="V52" s="1568"/>
    </row>
    <row r="53" spans="1:26">
      <c r="A53" s="1555" t="s">
        <v>1067</v>
      </c>
      <c r="B53" s="1572">
        <f t="shared" si="135"/>
        <v>206.31694671589116</v>
      </c>
      <c r="C53" s="1572">
        <f t="shared" si="135"/>
        <v>183.61041121036101</v>
      </c>
      <c r="D53" s="1572">
        <f t="shared" si="117"/>
        <v>183.61041121036101</v>
      </c>
      <c r="E53" s="1572">
        <f t="shared" si="136"/>
        <v>276.66850301795557</v>
      </c>
      <c r="F53" s="1572">
        <f t="shared" si="136"/>
        <v>165.1360938278614</v>
      </c>
      <c r="G53" s="3133">
        <v>2008</v>
      </c>
      <c r="H53" s="1559">
        <v>2</v>
      </c>
      <c r="I53" s="1559">
        <v>4.93</v>
      </c>
      <c r="J53" s="1559">
        <v>7.38</v>
      </c>
      <c r="K53" s="1559">
        <v>3.98</v>
      </c>
      <c r="L53" s="1574">
        <v>6.86</v>
      </c>
      <c r="N53" s="1567">
        <f t="shared" si="119"/>
        <v>4.9299999999999997E-2</v>
      </c>
      <c r="O53" s="1568">
        <f t="shared" si="119"/>
        <v>7.3800000000000004E-2</v>
      </c>
      <c r="P53" s="1568">
        <f t="shared" si="119"/>
        <v>3.9800000000000002E-2</v>
      </c>
      <c r="Q53" s="1568">
        <f t="shared" si="119"/>
        <v>6.8600000000000008E-2</v>
      </c>
      <c r="R53" s="1569"/>
      <c r="S53" s="1567"/>
      <c r="T53" s="1568"/>
      <c r="U53" s="1568"/>
      <c r="V53" s="1568"/>
    </row>
    <row r="54" spans="1:26" s="1612" customFormat="1" ht="13.5" thickBot="1">
      <c r="A54" s="1555" t="s">
        <v>1068</v>
      </c>
      <c r="B54" s="1609">
        <f t="shared" si="135"/>
        <v>196.62341248059772</v>
      </c>
      <c r="C54" s="1609">
        <f t="shared" si="135"/>
        <v>170.99125648199012</v>
      </c>
      <c r="D54" s="1609">
        <f t="shared" si="117"/>
        <v>170.99125648199012</v>
      </c>
      <c r="E54" s="1609">
        <f t="shared" si="136"/>
        <v>266.07857570490052</v>
      </c>
      <c r="F54" s="1609">
        <f t="shared" si="136"/>
        <v>154.53499328828505</v>
      </c>
      <c r="G54" s="3134">
        <v>2008</v>
      </c>
      <c r="H54" s="1610">
        <v>1</v>
      </c>
      <c r="I54" s="1610">
        <v>4.1399999999999997</v>
      </c>
      <c r="J54" s="1610">
        <v>3.45</v>
      </c>
      <c r="K54" s="1610">
        <v>4.95</v>
      </c>
      <c r="L54" s="1611">
        <v>4.82</v>
      </c>
      <c r="N54" s="1613">
        <f t="shared" si="119"/>
        <v>4.1399999999999999E-2</v>
      </c>
      <c r="O54" s="1614">
        <f t="shared" si="119"/>
        <v>3.4500000000000003E-2</v>
      </c>
      <c r="P54" s="1614">
        <f t="shared" si="119"/>
        <v>4.9500000000000002E-2</v>
      </c>
      <c r="Q54" s="1614">
        <f t="shared" si="119"/>
        <v>4.82E-2</v>
      </c>
      <c r="R54" s="1615"/>
      <c r="S54" s="1613">
        <f>B54/B55-1</f>
        <v>4.5869215322328349E-2</v>
      </c>
      <c r="T54" s="1614">
        <f>C54/C55-1</f>
        <v>3.6310645345394743E-2</v>
      </c>
      <c r="U54" s="1614">
        <f>E54/E55-1</f>
        <v>4.7553447657088688E-2</v>
      </c>
      <c r="V54" s="1614">
        <f>F54/F55-1</f>
        <v>4.4155360055980086E-2</v>
      </c>
      <c r="X54" s="1616"/>
      <c r="Y54" s="1616"/>
      <c r="Z54" s="1616"/>
    </row>
    <row r="55" spans="1:26" ht="13.5" thickBot="1">
      <c r="A55" s="1555" t="s">
        <v>1069</v>
      </c>
      <c r="B55" s="1564">
        <v>188</v>
      </c>
      <c r="C55" s="1564">
        <v>165</v>
      </c>
      <c r="D55" s="1564">
        <f t="shared" si="117"/>
        <v>165</v>
      </c>
      <c r="E55" s="1564">
        <v>254</v>
      </c>
      <c r="F55" s="1565">
        <v>148</v>
      </c>
      <c r="G55" s="3132">
        <v>2007</v>
      </c>
      <c r="H55" s="1617">
        <v>4</v>
      </c>
      <c r="I55" s="1617">
        <v>5.51</v>
      </c>
      <c r="J55" s="1617">
        <v>4.8899999999999997</v>
      </c>
      <c r="K55" s="1617">
        <v>6.43</v>
      </c>
      <c r="L55" s="1618">
        <v>5.36</v>
      </c>
      <c r="N55" s="1619">
        <f t="shared" ref="N55:O58" si="137">B55/B56-1</f>
        <v>4.1339718365245526E-2</v>
      </c>
      <c r="O55" s="1620">
        <f t="shared" si="137"/>
        <v>4.0324492593776018E-2</v>
      </c>
      <c r="P55" s="1620">
        <f t="shared" ref="P55:Q58" si="138">E55/E56-1</f>
        <v>6.1625555347990968E-2</v>
      </c>
      <c r="Q55" s="1620">
        <f t="shared" si="138"/>
        <v>4.6757569250590603E-2</v>
      </c>
      <c r="R55" s="1569"/>
      <c r="S55" s="1570"/>
      <c r="T55" s="1571"/>
      <c r="U55" s="1571"/>
      <c r="V55" s="1571"/>
      <c r="X55" s="1571"/>
      <c r="Y55" s="1571"/>
      <c r="Z55" s="1571"/>
    </row>
    <row r="56" spans="1:26">
      <c r="A56" s="1555" t="s">
        <v>1070</v>
      </c>
      <c r="B56" s="1572">
        <f t="shared" ref="B56:C58" si="139">B57+(B$55-B$59)*I56/SUM(I$55:I$58)</f>
        <v>180.5366651097618</v>
      </c>
      <c r="C56" s="1572">
        <f t="shared" si="139"/>
        <v>158.60435967302453</v>
      </c>
      <c r="D56" s="1572">
        <f t="shared" si="117"/>
        <v>158.60435967302453</v>
      </c>
      <c r="E56" s="1572">
        <f t="shared" ref="E56:F58" si="140">E57+(E$55-E$59)*K56/SUM(K$55:K$58)</f>
        <v>239.25573260785075</v>
      </c>
      <c r="F56" s="1572">
        <f t="shared" si="140"/>
        <v>141.38899430740037</v>
      </c>
      <c r="G56" s="3133">
        <v>2007</v>
      </c>
      <c r="H56" s="1582">
        <v>3</v>
      </c>
      <c r="I56" s="1582">
        <v>8.65</v>
      </c>
      <c r="J56" s="1582">
        <v>8.06</v>
      </c>
      <c r="K56" s="1582">
        <v>9.94</v>
      </c>
      <c r="L56" s="1583">
        <v>5.8</v>
      </c>
      <c r="N56" s="1619">
        <f t="shared" si="137"/>
        <v>6.940217571740015E-2</v>
      </c>
      <c r="O56" s="1620">
        <f t="shared" si="137"/>
        <v>7.1197482471153428E-2</v>
      </c>
      <c r="P56" s="1620">
        <f t="shared" si="138"/>
        <v>0.10529679922579582</v>
      </c>
      <c r="Q56" s="1620">
        <f t="shared" si="138"/>
        <v>5.3292245059512133E-2</v>
      </c>
      <c r="R56" s="1569"/>
      <c r="S56" s="1567"/>
      <c r="T56" s="1568"/>
      <c r="U56" s="1568"/>
      <c r="V56" s="1568"/>
      <c r="X56" s="1621"/>
      <c r="Y56" s="1621"/>
      <c r="Z56" s="1621"/>
    </row>
    <row r="57" spans="1:26">
      <c r="A57" s="1555" t="s">
        <v>1071</v>
      </c>
      <c r="B57" s="1572">
        <f t="shared" si="139"/>
        <v>168.82017748715555</v>
      </c>
      <c r="C57" s="1572">
        <f t="shared" si="139"/>
        <v>148.06267029972753</v>
      </c>
      <c r="D57" s="1572">
        <f t="shared" si="117"/>
        <v>148.06267029972753</v>
      </c>
      <c r="E57" s="1572">
        <f t="shared" si="140"/>
        <v>216.46288379323747</v>
      </c>
      <c r="F57" s="1572">
        <f t="shared" si="140"/>
        <v>134.23529411764704</v>
      </c>
      <c r="G57" s="3133">
        <v>2007</v>
      </c>
      <c r="H57" s="1559">
        <v>2</v>
      </c>
      <c r="I57" s="1559">
        <v>3.67</v>
      </c>
      <c r="J57" s="1559">
        <v>2.3199999999999998</v>
      </c>
      <c r="K57" s="1559">
        <v>5.0199999999999996</v>
      </c>
      <c r="L57" s="1574">
        <v>6.71</v>
      </c>
      <c r="N57" s="1619">
        <f t="shared" si="137"/>
        <v>3.0339138143848032E-2</v>
      </c>
      <c r="O57" s="1620">
        <f t="shared" si="137"/>
        <v>2.0922341588790472E-2</v>
      </c>
      <c r="P57" s="1620">
        <f t="shared" si="138"/>
        <v>5.6164796592717003E-2</v>
      </c>
      <c r="Q57" s="1620">
        <f t="shared" si="138"/>
        <v>6.5704536723887319E-2</v>
      </c>
      <c r="R57" s="1569"/>
      <c r="S57" s="1567"/>
      <c r="T57" s="1568"/>
      <c r="U57" s="1568"/>
      <c r="V57" s="1568"/>
      <c r="X57" s="1621"/>
      <c r="Y57" s="1621"/>
      <c r="Z57" s="1621"/>
    </row>
    <row r="58" spans="1:26">
      <c r="A58" s="1555" t="s">
        <v>1072</v>
      </c>
      <c r="B58" s="1572">
        <f t="shared" si="139"/>
        <v>163.84913591779542</v>
      </c>
      <c r="C58" s="1572">
        <f t="shared" si="139"/>
        <v>145.0283378746594</v>
      </c>
      <c r="D58" s="1572">
        <f t="shared" si="117"/>
        <v>145.0283378746594</v>
      </c>
      <c r="E58" s="1572">
        <f t="shared" si="140"/>
        <v>204.95180722891567</v>
      </c>
      <c r="F58" s="1572">
        <f t="shared" si="140"/>
        <v>125.95920303605313</v>
      </c>
      <c r="G58" s="3134">
        <v>2007</v>
      </c>
      <c r="H58" s="1558">
        <v>1</v>
      </c>
      <c r="I58" s="1558">
        <v>3.58</v>
      </c>
      <c r="J58" s="1558">
        <v>3.08</v>
      </c>
      <c r="K58" s="1558">
        <v>4.34</v>
      </c>
      <c r="L58" s="1573">
        <v>3.21</v>
      </c>
      <c r="N58" s="1622">
        <f t="shared" si="137"/>
        <v>3.0497710174814063E-2</v>
      </c>
      <c r="O58" s="1623">
        <f t="shared" si="137"/>
        <v>2.8569772160704998E-2</v>
      </c>
      <c r="P58" s="1623">
        <f t="shared" si="138"/>
        <v>5.1034908866234296E-2</v>
      </c>
      <c r="Q58" s="1623">
        <f t="shared" si="138"/>
        <v>3.245248390207478E-2</v>
      </c>
      <c r="R58" s="1569"/>
      <c r="S58" s="1575">
        <f>B58/B59-1</f>
        <v>3.0497710174814063E-2</v>
      </c>
      <c r="T58" s="1576">
        <f>C58/C59-1</f>
        <v>2.8569772160704998E-2</v>
      </c>
      <c r="U58" s="1576">
        <f>E58/E59-1</f>
        <v>5.1034908866234296E-2</v>
      </c>
      <c r="V58" s="1576">
        <f>F58/F59-1</f>
        <v>3.245248390207478E-2</v>
      </c>
      <c r="X58" s="1621"/>
      <c r="Y58" s="1621"/>
      <c r="Z58" s="1621"/>
    </row>
    <row r="59" spans="1:26" ht="13.5" thickBot="1">
      <c r="A59" s="1555" t="s">
        <v>1073</v>
      </c>
      <c r="B59" s="1585">
        <v>159</v>
      </c>
      <c r="C59" s="1585">
        <v>141</v>
      </c>
      <c r="D59" s="1585">
        <f t="shared" si="117"/>
        <v>141</v>
      </c>
      <c r="E59" s="1585">
        <v>195</v>
      </c>
      <c r="F59" s="1586">
        <v>122</v>
      </c>
      <c r="G59" s="3132">
        <v>2006</v>
      </c>
      <c r="H59" s="1577">
        <v>4</v>
      </c>
      <c r="I59" s="1577">
        <v>3.79</v>
      </c>
      <c r="J59" s="1577">
        <v>2.21</v>
      </c>
      <c r="K59" s="1577">
        <v>5.65</v>
      </c>
      <c r="L59" s="1578">
        <v>5.41</v>
      </c>
      <c r="N59" s="1619">
        <f t="shared" ref="N59:O62" si="141">I59/SUM(I$59:I$62)*(B$59/B$63-1)</f>
        <v>7.245466462748526E-2</v>
      </c>
      <c r="O59" s="1620">
        <f t="shared" si="141"/>
        <v>2.3237230038062766E-2</v>
      </c>
      <c r="P59" s="1620">
        <f t="shared" ref="P59:Q62" si="142">K59/SUM(K$59:K$62)*(E$59/E$63-1)</f>
        <v>0.16146893866323722</v>
      </c>
      <c r="Q59" s="1620">
        <f t="shared" si="142"/>
        <v>5.0755230321793784E-2</v>
      </c>
      <c r="R59" s="1569"/>
      <c r="S59" s="1570"/>
      <c r="T59" s="1571"/>
      <c r="U59" s="1571"/>
      <c r="V59" s="1571"/>
      <c r="X59" s="1621"/>
      <c r="Y59" s="1621"/>
      <c r="Z59" s="1621"/>
    </row>
    <row r="60" spans="1:26">
      <c r="A60" s="1555" t="s">
        <v>1074</v>
      </c>
      <c r="B60" s="1572">
        <f t="shared" ref="B60:C62" si="143">B61+(B$59-B$63)*I60/SUM(I$59:I$62)</f>
        <v>149.00125628140702</v>
      </c>
      <c r="C60" s="1572">
        <f t="shared" si="143"/>
        <v>137.95592286501378</v>
      </c>
      <c r="D60" s="1572">
        <f t="shared" si="117"/>
        <v>137.95592286501378</v>
      </c>
      <c r="E60" s="1572">
        <f t="shared" ref="E60:F62" si="144">E61+(E$59-E$63)*K60/SUM(K$59:K$62)</f>
        <v>169.97231450719823</v>
      </c>
      <c r="F60" s="1572">
        <f t="shared" si="144"/>
        <v>116.21390374331551</v>
      </c>
      <c r="G60" s="3133">
        <v>2006</v>
      </c>
      <c r="H60" s="1582">
        <v>3</v>
      </c>
      <c r="I60" s="1582">
        <v>0.92</v>
      </c>
      <c r="J60" s="1582">
        <v>1.08</v>
      </c>
      <c r="K60" s="1582">
        <v>0.73</v>
      </c>
      <c r="L60" s="1583">
        <v>1.08</v>
      </c>
      <c r="N60" s="1619">
        <f t="shared" si="141"/>
        <v>1.7587939698492462E-2</v>
      </c>
      <c r="O60" s="1620">
        <f t="shared" si="141"/>
        <v>1.1355750425840628E-2</v>
      </c>
      <c r="P60" s="1620">
        <f t="shared" si="142"/>
        <v>2.0862358446754544E-2</v>
      </c>
      <c r="Q60" s="1620">
        <f t="shared" si="142"/>
        <v>1.0132282578103011E-2</v>
      </c>
      <c r="R60" s="1569"/>
      <c r="S60" s="1567"/>
      <c r="T60" s="1568"/>
      <c r="U60" s="1568"/>
      <c r="V60" s="1568"/>
      <c r="X60" s="1621"/>
      <c r="Y60" s="1621"/>
      <c r="Z60" s="1621"/>
    </row>
    <row r="61" spans="1:26">
      <c r="A61" s="1555" t="s">
        <v>1075</v>
      </c>
      <c r="B61" s="1572">
        <f t="shared" si="143"/>
        <v>146.57412060301507</v>
      </c>
      <c r="C61" s="1572">
        <f t="shared" si="143"/>
        <v>136.46831955922866</v>
      </c>
      <c r="D61" s="1572">
        <f t="shared" si="117"/>
        <v>136.46831955922866</v>
      </c>
      <c r="E61" s="1572">
        <f t="shared" si="144"/>
        <v>166.73864894795128</v>
      </c>
      <c r="F61" s="1572">
        <f t="shared" si="144"/>
        <v>115.05882352941177</v>
      </c>
      <c r="G61" s="3133">
        <v>2006</v>
      </c>
      <c r="H61" s="1559">
        <v>2</v>
      </c>
      <c r="I61" s="1559">
        <v>0.96</v>
      </c>
      <c r="J61" s="1559">
        <v>0.25</v>
      </c>
      <c r="K61" s="1559">
        <v>1.9</v>
      </c>
      <c r="L61" s="1574">
        <v>0.95</v>
      </c>
      <c r="N61" s="1619">
        <f t="shared" si="141"/>
        <v>1.8352632728861701E-2</v>
      </c>
      <c r="O61" s="1620">
        <f t="shared" si="141"/>
        <v>2.6286459319075526E-3</v>
      </c>
      <c r="P61" s="1620">
        <f t="shared" si="142"/>
        <v>5.4299289107991269E-2</v>
      </c>
      <c r="Q61" s="1620">
        <f t="shared" si="142"/>
        <v>8.9126559714794995E-3</v>
      </c>
      <c r="R61" s="1569"/>
      <c r="S61" s="1567"/>
      <c r="T61" s="1568"/>
      <c r="U61" s="1568"/>
      <c r="V61" s="1568"/>
      <c r="X61" s="1621"/>
      <c r="Y61" s="1621"/>
      <c r="Z61" s="1621"/>
    </row>
    <row r="62" spans="1:26">
      <c r="A62" s="1555" t="s">
        <v>1076</v>
      </c>
      <c r="B62" s="1572">
        <f t="shared" si="143"/>
        <v>144.04145728643215</v>
      </c>
      <c r="C62" s="1572">
        <f t="shared" si="143"/>
        <v>136.12396694214877</v>
      </c>
      <c r="D62" s="1572">
        <f t="shared" si="117"/>
        <v>136.12396694214877</v>
      </c>
      <c r="E62" s="1572">
        <f t="shared" si="144"/>
        <v>158.32225913621264</v>
      </c>
      <c r="F62" s="1572">
        <f t="shared" si="144"/>
        <v>114.04278074866311</v>
      </c>
      <c r="G62" s="3134">
        <v>2006</v>
      </c>
      <c r="H62" s="1558">
        <v>1</v>
      </c>
      <c r="I62" s="1558">
        <v>2.29</v>
      </c>
      <c r="J62" s="1558">
        <v>3.72</v>
      </c>
      <c r="K62" s="1558">
        <v>0.75</v>
      </c>
      <c r="L62" s="1573">
        <v>0.04</v>
      </c>
      <c r="N62" s="1622">
        <f t="shared" si="141"/>
        <v>4.3778675988638847E-2</v>
      </c>
      <c r="O62" s="1623">
        <f t="shared" si="141"/>
        <v>3.9114251466784385E-2</v>
      </c>
      <c r="P62" s="1623">
        <f t="shared" si="142"/>
        <v>2.1433929911049188E-2</v>
      </c>
      <c r="Q62" s="1623">
        <f t="shared" si="142"/>
        <v>3.7526972511492629E-4</v>
      </c>
      <c r="R62" s="1569"/>
      <c r="S62" s="1575">
        <f>B62/B63-1</f>
        <v>4.3778675988638716E-2</v>
      </c>
      <c r="T62" s="1576">
        <f>C62/C63-1</f>
        <v>3.91142514667846E-2</v>
      </c>
      <c r="U62" s="1576">
        <f>E62/E63-1</f>
        <v>2.143392991104931E-2</v>
      </c>
      <c r="V62" s="1576">
        <f>F62/F63-1</f>
        <v>3.7526972511492396E-4</v>
      </c>
      <c r="X62" s="1621"/>
      <c r="Y62" s="1621"/>
      <c r="Z62" s="1621"/>
    </row>
    <row r="63" spans="1:26" ht="13.5" thickBot="1">
      <c r="A63" s="1555" t="s">
        <v>1077</v>
      </c>
      <c r="B63" s="1585">
        <v>138</v>
      </c>
      <c r="C63" s="1585">
        <v>131</v>
      </c>
      <c r="D63" s="1585">
        <f t="shared" si="117"/>
        <v>131</v>
      </c>
      <c r="E63" s="1585">
        <v>155</v>
      </c>
      <c r="F63" s="1586">
        <v>114</v>
      </c>
      <c r="G63" s="3132">
        <v>2005</v>
      </c>
      <c r="H63" s="1577">
        <v>4</v>
      </c>
      <c r="I63" s="1577">
        <v>3.29</v>
      </c>
      <c r="J63" s="1577">
        <v>1.44</v>
      </c>
      <c r="K63" s="1577">
        <v>0.66</v>
      </c>
      <c r="L63" s="1578">
        <v>7.78</v>
      </c>
      <c r="N63" s="1619">
        <f t="shared" ref="N63:O66" si="145">I63/SUM(I$63:I$66)*(B$63/B$67-1)</f>
        <v>9.9404603216919935E-2</v>
      </c>
      <c r="O63" s="1620">
        <f t="shared" si="145"/>
        <v>4.7636550760861554E-2</v>
      </c>
      <c r="P63" s="1620">
        <f t="shared" ref="P63:Q66" si="146">K63/SUM(K$63:K$66)*(E$63/E$67-1)</f>
        <v>8.3756345177664976E-2</v>
      </c>
      <c r="Q63" s="1620">
        <f t="shared" si="146"/>
        <v>5.2148766661559584E-2</v>
      </c>
      <c r="R63" s="1569"/>
      <c r="S63" s="1570"/>
      <c r="T63" s="1571"/>
      <c r="U63" s="1571"/>
      <c r="V63" s="1571"/>
      <c r="X63" s="1621"/>
      <c r="Y63" s="1621"/>
      <c r="Z63" s="1621"/>
    </row>
    <row r="64" spans="1:26">
      <c r="A64" s="1555" t="s">
        <v>1078</v>
      </c>
      <c r="B64" s="1572">
        <f t="shared" ref="B64:C66" si="147">B65+(B$63-B$67)*I64/SUM(I$63:I$66)</f>
        <v>125.9720430107527</v>
      </c>
      <c r="C64" s="1572">
        <f t="shared" si="147"/>
        <v>125.1883408071749</v>
      </c>
      <c r="D64" s="1572">
        <f t="shared" si="117"/>
        <v>125.1883408071749</v>
      </c>
      <c r="E64" s="1572">
        <f t="shared" ref="E64:F66" si="148">E65+(E$63-E$67)*K64/SUM(K$63:K$66)</f>
        <v>144.61421319796952</v>
      </c>
      <c r="F64" s="1572">
        <f t="shared" si="148"/>
        <v>108.42008196721311</v>
      </c>
      <c r="G64" s="3133">
        <v>2005</v>
      </c>
      <c r="H64" s="1582">
        <v>3</v>
      </c>
      <c r="I64" s="1582">
        <v>0.46</v>
      </c>
      <c r="J64" s="1582">
        <v>0.32</v>
      </c>
      <c r="K64" s="1582">
        <v>0.42</v>
      </c>
      <c r="L64" s="1583">
        <v>0.64</v>
      </c>
      <c r="N64" s="1619">
        <f t="shared" si="145"/>
        <v>1.3898515951301874E-2</v>
      </c>
      <c r="O64" s="1620">
        <f t="shared" si="145"/>
        <v>1.0585900169080346E-2</v>
      </c>
      <c r="P64" s="1620">
        <f t="shared" si="146"/>
        <v>5.3299492385786795E-2</v>
      </c>
      <c r="Q64" s="1620">
        <f t="shared" si="146"/>
        <v>4.2898728359123568E-3</v>
      </c>
      <c r="R64" s="1569"/>
      <c r="S64" s="1567"/>
      <c r="T64" s="1568"/>
      <c r="U64" s="1568"/>
      <c r="V64" s="1568"/>
      <c r="X64" s="1621"/>
      <c r="Y64" s="1621"/>
      <c r="Z64" s="1621"/>
    </row>
    <row r="65" spans="1:26">
      <c r="A65" s="1555" t="s">
        <v>1079</v>
      </c>
      <c r="B65" s="1572">
        <f t="shared" si="147"/>
        <v>124.29032258064517</v>
      </c>
      <c r="C65" s="1572">
        <f t="shared" si="147"/>
        <v>123.8968609865471</v>
      </c>
      <c r="D65" s="1572">
        <f t="shared" si="117"/>
        <v>123.8968609865471</v>
      </c>
      <c r="E65" s="1572">
        <f t="shared" si="148"/>
        <v>138.00507614213197</v>
      </c>
      <c r="F65" s="1572">
        <f t="shared" si="148"/>
        <v>107.96106557377048</v>
      </c>
      <c r="G65" s="3133">
        <v>2005</v>
      </c>
      <c r="H65" s="1559">
        <v>2</v>
      </c>
      <c r="I65" s="1559">
        <v>0.47</v>
      </c>
      <c r="J65" s="1559">
        <v>0.1</v>
      </c>
      <c r="K65" s="1559">
        <v>0.52</v>
      </c>
      <c r="L65" s="1574">
        <v>0.79</v>
      </c>
      <c r="N65" s="1619">
        <f t="shared" si="145"/>
        <v>1.420065760241713E-2</v>
      </c>
      <c r="O65" s="1620">
        <f t="shared" si="145"/>
        <v>3.3080938028376083E-3</v>
      </c>
      <c r="P65" s="1620">
        <f t="shared" si="146"/>
        <v>6.598984771573603E-2</v>
      </c>
      <c r="Q65" s="1620">
        <f t="shared" si="146"/>
        <v>5.2953117818293153E-3</v>
      </c>
      <c r="R65" s="1569"/>
      <c r="S65" s="1567"/>
      <c r="T65" s="1568"/>
      <c r="U65" s="1568"/>
      <c r="V65" s="1568"/>
      <c r="X65" s="1621"/>
      <c r="Y65" s="1621"/>
      <c r="Z65" s="1621"/>
    </row>
    <row r="66" spans="1:26">
      <c r="A66" s="1555" t="s">
        <v>1080</v>
      </c>
      <c r="B66" s="1572">
        <f t="shared" si="147"/>
        <v>122.57204301075269</v>
      </c>
      <c r="C66" s="1572">
        <f t="shared" si="147"/>
        <v>123.4932735426009</v>
      </c>
      <c r="D66" s="1572">
        <f t="shared" si="117"/>
        <v>123.4932735426009</v>
      </c>
      <c r="E66" s="1572">
        <f t="shared" si="148"/>
        <v>129.82233502538071</v>
      </c>
      <c r="F66" s="1572">
        <f t="shared" si="148"/>
        <v>107.39446721311475</v>
      </c>
      <c r="G66" s="3134">
        <v>2005</v>
      </c>
      <c r="H66" s="1558">
        <v>1</v>
      </c>
      <c r="I66" s="1558">
        <v>0.43</v>
      </c>
      <c r="J66" s="1558">
        <v>0.37</v>
      </c>
      <c r="K66" s="1558">
        <v>0.37</v>
      </c>
      <c r="L66" s="1573">
        <v>0.55000000000000004</v>
      </c>
      <c r="N66" s="1622">
        <f t="shared" si="145"/>
        <v>1.2992090997956099E-2</v>
      </c>
      <c r="O66" s="1623">
        <f t="shared" si="145"/>
        <v>1.2239947070499151E-2</v>
      </c>
      <c r="P66" s="1623">
        <f t="shared" si="146"/>
        <v>4.6954314720812178E-2</v>
      </c>
      <c r="Q66" s="1623">
        <f t="shared" si="146"/>
        <v>3.6866094683621815E-3</v>
      </c>
      <c r="R66" s="1569"/>
      <c r="S66" s="1575">
        <f>B66/B67-1</f>
        <v>1.2992090997956174E-2</v>
      </c>
      <c r="T66" s="1576">
        <f>C66/C67-1</f>
        <v>1.2239947070499246E-2</v>
      </c>
      <c r="U66" s="1576">
        <f>E66/E67-1</f>
        <v>4.695431472081224E-2</v>
      </c>
      <c r="V66" s="1576">
        <f>F66/F67-1</f>
        <v>3.6866094683620787E-3</v>
      </c>
      <c r="X66" s="1621"/>
      <c r="Y66" s="1621"/>
      <c r="Z66" s="1621"/>
    </row>
    <row r="67" spans="1:26" ht="13.5" thickBot="1">
      <c r="A67" s="1555" t="s">
        <v>1081</v>
      </c>
      <c r="B67" s="1606">
        <v>121</v>
      </c>
      <c r="C67" s="1606">
        <v>122</v>
      </c>
      <c r="D67" s="1606">
        <f t="shared" si="117"/>
        <v>122</v>
      </c>
      <c r="E67" s="1606">
        <v>124</v>
      </c>
      <c r="F67" s="1607">
        <v>107</v>
      </c>
      <c r="G67" s="3132">
        <v>2004</v>
      </c>
      <c r="H67" s="1577">
        <v>4</v>
      </c>
      <c r="I67" s="1577">
        <v>0.33</v>
      </c>
      <c r="J67" s="1577">
        <v>0.5</v>
      </c>
      <c r="K67" s="1577">
        <v>0.5</v>
      </c>
      <c r="L67" s="1578">
        <v>0</v>
      </c>
      <c r="N67" s="1619">
        <f t="shared" ref="N67:O70" si="149">I67/SUM(I$67:I$70)*(B$67/B$71-1)</f>
        <v>1.3391770148526898E-2</v>
      </c>
      <c r="O67" s="1620">
        <f t="shared" si="149"/>
        <v>1.063264221158958E-2</v>
      </c>
      <c r="P67" s="1620">
        <f t="shared" ref="P67:Q70" si="150">K67/SUM(K$67:K$70)*(E$67/E$71-1)</f>
        <v>2.2244466688911134E-2</v>
      </c>
      <c r="Q67" s="1620">
        <f t="shared" si="150"/>
        <v>0</v>
      </c>
      <c r="R67" s="1569"/>
      <c r="S67" s="1570"/>
      <c r="T67" s="1571"/>
      <c r="U67" s="1571"/>
      <c r="V67" s="1571"/>
      <c r="X67" s="1621"/>
      <c r="Y67" s="1621"/>
      <c r="Z67" s="1621"/>
    </row>
    <row r="68" spans="1:26">
      <c r="A68" s="1555" t="s">
        <v>1082</v>
      </c>
      <c r="B68" s="1572">
        <f t="shared" ref="B68:C70" si="151">B69+(B$67-B$71)*I68/SUM(I$67:I$70)</f>
        <v>119.51351351351352</v>
      </c>
      <c r="C68" s="1572">
        <f t="shared" si="151"/>
        <v>120.7878787878788</v>
      </c>
      <c r="D68" s="1572">
        <f t="shared" si="117"/>
        <v>120.7878787878788</v>
      </c>
      <c r="E68" s="1572">
        <f t="shared" ref="E68:F70" si="152">E69+(E$67-E$71)*K68/SUM(K$67:K$70)</f>
        <v>121.5975975975976</v>
      </c>
      <c r="F68" s="1572">
        <f t="shared" si="152"/>
        <v>107</v>
      </c>
      <c r="G68" s="3133">
        <v>2004</v>
      </c>
      <c r="H68" s="1582">
        <v>3</v>
      </c>
      <c r="I68" s="1582">
        <v>0.56000000000000005</v>
      </c>
      <c r="J68" s="1582">
        <v>0.8</v>
      </c>
      <c r="K68" s="1582">
        <v>0.83</v>
      </c>
      <c r="L68" s="1583">
        <v>0.06</v>
      </c>
      <c r="N68" s="1619">
        <f t="shared" si="149"/>
        <v>2.2725428130833527E-2</v>
      </c>
      <c r="O68" s="1620">
        <f t="shared" si="149"/>
        <v>1.7012227538543329E-2</v>
      </c>
      <c r="P68" s="1620">
        <f t="shared" si="150"/>
        <v>3.6925814703592477E-2</v>
      </c>
      <c r="Q68" s="1620">
        <f t="shared" si="150"/>
        <v>2.8846153846153744E-2</v>
      </c>
      <c r="R68" s="1569"/>
      <c r="S68" s="1567"/>
      <c r="T68" s="1568"/>
      <c r="U68" s="1568"/>
      <c r="V68" s="1568"/>
      <c r="X68" s="1621"/>
      <c r="Y68" s="1621"/>
      <c r="Z68" s="1621"/>
    </row>
    <row r="69" spans="1:26">
      <c r="A69" s="1555" t="s">
        <v>1083</v>
      </c>
      <c r="B69" s="1572">
        <f t="shared" si="151"/>
        <v>116.99099099099099</v>
      </c>
      <c r="C69" s="1572">
        <f t="shared" si="151"/>
        <v>118.84848484848486</v>
      </c>
      <c r="D69" s="1572">
        <f t="shared" si="117"/>
        <v>118.84848484848486</v>
      </c>
      <c r="E69" s="1572">
        <f t="shared" si="152"/>
        <v>117.60960960960961</v>
      </c>
      <c r="F69" s="1572">
        <f t="shared" si="152"/>
        <v>104</v>
      </c>
      <c r="G69" s="3133">
        <v>2004</v>
      </c>
      <c r="H69" s="1559">
        <v>2</v>
      </c>
      <c r="I69" s="1559">
        <v>1</v>
      </c>
      <c r="J69" s="1559">
        <v>1.5</v>
      </c>
      <c r="K69" s="1559">
        <v>1.5</v>
      </c>
      <c r="L69" s="1574">
        <v>0</v>
      </c>
      <c r="N69" s="1619">
        <f t="shared" si="149"/>
        <v>4.0581121662202721E-2</v>
      </c>
      <c r="O69" s="1620">
        <f t="shared" si="149"/>
        <v>3.1897926634768738E-2</v>
      </c>
      <c r="P69" s="1620">
        <f t="shared" si="150"/>
        <v>6.6733400066733395E-2</v>
      </c>
      <c r="Q69" s="1620">
        <f t="shared" si="150"/>
        <v>0</v>
      </c>
      <c r="R69" s="1569"/>
      <c r="S69" s="1567"/>
      <c r="T69" s="1568"/>
      <c r="U69" s="1568"/>
      <c r="V69" s="1568"/>
      <c r="X69" s="1621"/>
      <c r="Y69" s="1621"/>
      <c r="Z69" s="1621"/>
    </row>
    <row r="70" spans="1:26" s="1612" customFormat="1" ht="13.5" thickBot="1">
      <c r="A70" s="1555" t="s">
        <v>1084</v>
      </c>
      <c r="B70" s="1609">
        <f t="shared" si="151"/>
        <v>112.48648648648648</v>
      </c>
      <c r="C70" s="1609">
        <f t="shared" si="151"/>
        <v>115.21212121212122</v>
      </c>
      <c r="D70" s="1609">
        <f t="shared" si="117"/>
        <v>115.21212121212122</v>
      </c>
      <c r="E70" s="1609">
        <f t="shared" si="152"/>
        <v>110.4024024024024</v>
      </c>
      <c r="F70" s="1609">
        <f t="shared" si="152"/>
        <v>104</v>
      </c>
      <c r="G70" s="3134">
        <v>2004</v>
      </c>
      <c r="H70" s="1610">
        <v>1</v>
      </c>
      <c r="I70" s="1610">
        <v>0.33</v>
      </c>
      <c r="J70" s="1610">
        <v>0.5</v>
      </c>
      <c r="K70" s="1610">
        <v>0.5</v>
      </c>
      <c r="L70" s="1611">
        <v>0</v>
      </c>
      <c r="N70" s="1624">
        <f t="shared" si="149"/>
        <v>1.3391770148526898E-2</v>
      </c>
      <c r="O70" s="1625">
        <f t="shared" si="149"/>
        <v>1.063264221158958E-2</v>
      </c>
      <c r="P70" s="1625">
        <f t="shared" si="150"/>
        <v>2.2244466688911134E-2</v>
      </c>
      <c r="Q70" s="1625">
        <f t="shared" si="150"/>
        <v>0</v>
      </c>
      <c r="R70" s="1615"/>
      <c r="S70" s="1613">
        <f>B70/B71-1</f>
        <v>1.3391770148526883E-2</v>
      </c>
      <c r="T70" s="1614">
        <f>C70/C71-1</f>
        <v>1.063264221158966E-2</v>
      </c>
      <c r="U70" s="1614">
        <f>E70/E71-1</f>
        <v>2.2244466688911224E-2</v>
      </c>
      <c r="V70" s="1614">
        <f>F70/F71-1</f>
        <v>0</v>
      </c>
      <c r="X70" s="1626"/>
      <c r="Y70" s="1626"/>
      <c r="Z70" s="1626"/>
    </row>
    <row r="71" spans="1:26" ht="13.5" thickBot="1">
      <c r="A71" s="1555" t="s">
        <v>1085</v>
      </c>
      <c r="B71" s="1627">
        <v>111</v>
      </c>
      <c r="C71" s="1627">
        <v>114</v>
      </c>
      <c r="D71" s="1627">
        <f t="shared" si="117"/>
        <v>114</v>
      </c>
      <c r="E71" s="1627">
        <v>108</v>
      </c>
      <c r="F71" s="1628">
        <v>104</v>
      </c>
      <c r="G71" s="3132">
        <v>2003</v>
      </c>
      <c r="H71" s="1617">
        <v>4</v>
      </c>
      <c r="I71" s="1629"/>
      <c r="J71" s="1629"/>
      <c r="K71" s="1629"/>
      <c r="L71" s="1629"/>
      <c r="N71" s="1630"/>
      <c r="O71" s="1629"/>
      <c r="P71" s="1629"/>
      <c r="Q71" s="1629"/>
      <c r="S71" s="1630"/>
      <c r="T71" s="1629"/>
      <c r="U71" s="1629"/>
      <c r="V71" s="1629"/>
      <c r="X71" s="1621"/>
      <c r="Y71" s="1621"/>
      <c r="Z71" s="1621"/>
    </row>
    <row r="72" spans="1:26">
      <c r="A72" s="1555" t="s">
        <v>1086</v>
      </c>
      <c r="B72" s="1631">
        <f t="shared" ref="B72:C74" si="153">B73+(B$71-B$75)/4</f>
        <v>109.75</v>
      </c>
      <c r="C72" s="1631">
        <f t="shared" si="153"/>
        <v>112.25</v>
      </c>
      <c r="D72" s="1631">
        <f t="shared" si="117"/>
        <v>112.25</v>
      </c>
      <c r="E72" s="1631">
        <f t="shared" ref="E72:F74" si="154">E73+(E$71-E$75)/4</f>
        <v>107.25</v>
      </c>
      <c r="F72" s="1631">
        <f t="shared" si="154"/>
        <v>103.5</v>
      </c>
      <c r="G72" s="3133">
        <v>2003</v>
      </c>
      <c r="H72" s="1582">
        <v>3</v>
      </c>
      <c r="I72" s="1629"/>
      <c r="J72" s="1629"/>
      <c r="K72" s="1629"/>
      <c r="L72" s="1629"/>
      <c r="X72" s="1621"/>
      <c r="Y72" s="1621"/>
      <c r="Z72" s="1621"/>
    </row>
    <row r="73" spans="1:26">
      <c r="A73" s="1555" t="s">
        <v>1087</v>
      </c>
      <c r="B73" s="1631">
        <f t="shared" si="153"/>
        <v>108.5</v>
      </c>
      <c r="C73" s="1631">
        <f t="shared" si="153"/>
        <v>110.5</v>
      </c>
      <c r="D73" s="1631">
        <f t="shared" si="117"/>
        <v>110.5</v>
      </c>
      <c r="E73" s="1631">
        <f t="shared" si="154"/>
        <v>106.5</v>
      </c>
      <c r="F73" s="1631">
        <f t="shared" si="154"/>
        <v>103</v>
      </c>
      <c r="G73" s="3133">
        <v>2003</v>
      </c>
      <c r="H73" s="1559">
        <v>2</v>
      </c>
      <c r="I73" s="1629"/>
      <c r="J73" s="1629"/>
      <c r="K73" s="1629"/>
      <c r="L73" s="1629"/>
      <c r="X73" s="1621"/>
      <c r="Y73" s="1621"/>
      <c r="Z73" s="1621"/>
    </row>
    <row r="74" spans="1:26" ht="13.5" thickBot="1">
      <c r="A74" s="1555" t="s">
        <v>1088</v>
      </c>
      <c r="B74" s="1631">
        <f t="shared" si="153"/>
        <v>107.25</v>
      </c>
      <c r="C74" s="1631">
        <f t="shared" si="153"/>
        <v>108.75</v>
      </c>
      <c r="D74" s="1631">
        <f t="shared" si="117"/>
        <v>108.75</v>
      </c>
      <c r="E74" s="1631">
        <f t="shared" si="154"/>
        <v>105.75</v>
      </c>
      <c r="F74" s="1631">
        <f t="shared" si="154"/>
        <v>102.5</v>
      </c>
      <c r="G74" s="3134">
        <v>2003</v>
      </c>
      <c r="H74" s="1632">
        <v>1</v>
      </c>
      <c r="I74" s="1629"/>
      <c r="J74" s="1629"/>
      <c r="K74" s="1629"/>
      <c r="L74" s="1629"/>
      <c r="S74" s="1567"/>
      <c r="T74" s="1568"/>
      <c r="U74" s="1568"/>
      <c r="X74" s="1621"/>
      <c r="Y74" s="1621"/>
      <c r="Z74" s="1621"/>
    </row>
    <row r="75" spans="1:26" ht="13.5" thickBot="1">
      <c r="A75" s="1555" t="s">
        <v>1089</v>
      </c>
      <c r="B75" s="1633">
        <v>106</v>
      </c>
      <c r="C75" s="1633">
        <v>107</v>
      </c>
      <c r="D75" s="1633">
        <f t="shared" si="117"/>
        <v>107</v>
      </c>
      <c r="E75" s="1633">
        <v>105</v>
      </c>
      <c r="F75" s="1634">
        <v>102</v>
      </c>
      <c r="G75" s="3132">
        <v>2002</v>
      </c>
      <c r="H75" s="1577">
        <v>4</v>
      </c>
      <c r="I75" s="1629"/>
      <c r="J75" s="1629"/>
      <c r="K75" s="1629"/>
      <c r="L75" s="1629"/>
      <c r="N75" s="1630"/>
      <c r="O75" s="1629"/>
      <c r="P75" s="1629"/>
      <c r="Q75" s="1629"/>
      <c r="S75" s="1630"/>
      <c r="T75" s="1629"/>
      <c r="U75" s="1629"/>
      <c r="V75" s="1629"/>
      <c r="X75" s="1621"/>
      <c r="Y75" s="1621"/>
      <c r="Z75" s="1621"/>
    </row>
    <row r="76" spans="1:26">
      <c r="A76" s="1555" t="s">
        <v>1090</v>
      </c>
      <c r="B76" s="1631">
        <f t="shared" ref="B76:C78" si="155">B77+(B$75-B$79)/4</f>
        <v>105</v>
      </c>
      <c r="C76" s="1631">
        <f t="shared" si="155"/>
        <v>106</v>
      </c>
      <c r="D76" s="1631">
        <f t="shared" si="117"/>
        <v>106</v>
      </c>
      <c r="E76" s="1631">
        <f t="shared" ref="E76:F78" si="156">E77+(E$75-E$79)/4</f>
        <v>104.5</v>
      </c>
      <c r="F76" s="1631">
        <f t="shared" si="156"/>
        <v>101.5</v>
      </c>
      <c r="G76" s="3133">
        <v>2002</v>
      </c>
      <c r="H76" s="1582">
        <v>3</v>
      </c>
      <c r="I76" s="1629"/>
      <c r="J76" s="1629"/>
      <c r="K76" s="1629"/>
      <c r="L76" s="1629"/>
      <c r="X76" s="1621"/>
      <c r="Y76" s="1621"/>
      <c r="Z76" s="1621"/>
    </row>
    <row r="77" spans="1:26">
      <c r="A77" s="1555" t="s">
        <v>1091</v>
      </c>
      <c r="B77" s="1631">
        <f t="shared" si="155"/>
        <v>104</v>
      </c>
      <c r="C77" s="1631">
        <f t="shared" si="155"/>
        <v>105</v>
      </c>
      <c r="D77" s="1631">
        <f t="shared" si="117"/>
        <v>105</v>
      </c>
      <c r="E77" s="1631">
        <f t="shared" si="156"/>
        <v>104</v>
      </c>
      <c r="F77" s="1631">
        <f t="shared" si="156"/>
        <v>101</v>
      </c>
      <c r="G77" s="3133">
        <v>2002</v>
      </c>
      <c r="H77" s="1559">
        <v>2</v>
      </c>
      <c r="I77" s="1629"/>
      <c r="J77" s="1629"/>
      <c r="K77" s="1629"/>
      <c r="L77" s="1629"/>
      <c r="X77" s="1621"/>
      <c r="Y77" s="1621"/>
      <c r="Z77" s="1621"/>
    </row>
    <row r="78" spans="1:26" s="1593" customFormat="1" ht="13.5" thickBot="1">
      <c r="A78" s="1589" t="s">
        <v>1092</v>
      </c>
      <c r="B78" s="1635">
        <f t="shared" si="155"/>
        <v>103</v>
      </c>
      <c r="C78" s="1635">
        <f t="shared" si="155"/>
        <v>104</v>
      </c>
      <c r="D78" s="1635">
        <f t="shared" si="117"/>
        <v>104</v>
      </c>
      <c r="E78" s="1635">
        <f t="shared" si="156"/>
        <v>103.5</v>
      </c>
      <c r="F78" s="1635">
        <f t="shared" si="156"/>
        <v>100.5</v>
      </c>
      <c r="G78" s="3134">
        <v>2002</v>
      </c>
      <c r="H78" s="1636">
        <v>1</v>
      </c>
      <c r="I78" s="1637"/>
      <c r="J78" s="1637"/>
      <c r="K78" s="1637"/>
      <c r="L78" s="1637"/>
      <c r="N78" s="1638"/>
      <c r="S78" s="1638"/>
      <c r="X78" s="1639"/>
      <c r="Y78" s="1639"/>
      <c r="Z78" s="1639"/>
    </row>
    <row r="79" spans="1:26" ht="13.5" thickBot="1">
      <c r="B79" s="1640">
        <v>102</v>
      </c>
      <c r="C79" s="1641">
        <v>103</v>
      </c>
      <c r="D79" s="1641">
        <f t="shared" si="117"/>
        <v>103</v>
      </c>
      <c r="E79" s="1641">
        <v>103</v>
      </c>
      <c r="F79" s="1642">
        <v>100</v>
      </c>
      <c r="I79" s="1629"/>
      <c r="J79" s="1629"/>
      <c r="K79" s="1629"/>
      <c r="L79" s="1629"/>
      <c r="N79" s="1630"/>
      <c r="O79" s="1629"/>
      <c r="P79" s="1629"/>
      <c r="Q79" s="1629"/>
      <c r="S79" s="1630"/>
      <c r="T79" s="1629"/>
      <c r="U79" s="1629"/>
      <c r="V79" s="1629"/>
      <c r="X79" s="1571"/>
      <c r="Y79" s="1571"/>
      <c r="Z79" s="1571"/>
    </row>
    <row r="81" spans="1:22" s="1644" customFormat="1">
      <c r="A81" s="1643" t="s">
        <v>1093</v>
      </c>
      <c r="G81" s="1645"/>
      <c r="N81" s="1645"/>
      <c r="S81" s="1645"/>
    </row>
    <row r="82" spans="1:22" s="1644" customFormat="1">
      <c r="A82" s="1644" t="s">
        <v>1094</v>
      </c>
      <c r="G82" s="1645"/>
      <c r="N82" s="1645"/>
      <c r="S82" s="1645"/>
    </row>
    <row r="83" spans="1:22" s="1644" customFormat="1">
      <c r="A83" s="1644" t="s">
        <v>1095</v>
      </c>
      <c r="G83" s="1645"/>
      <c r="I83" s="1646"/>
      <c r="J83" s="1646"/>
      <c r="K83" s="1646"/>
      <c r="L83" s="1646"/>
      <c r="N83" s="1647"/>
      <c r="O83" s="1646"/>
      <c r="P83" s="1646"/>
      <c r="Q83" s="1646"/>
      <c r="S83" s="1647"/>
      <c r="T83" s="1646"/>
      <c r="U83" s="1646"/>
      <c r="V83" s="1646"/>
    </row>
    <row r="84" spans="1:22" s="1644" customFormat="1">
      <c r="A84" s="1644" t="s">
        <v>1096</v>
      </c>
      <c r="G84" s="1645"/>
      <c r="N84" s="1645"/>
      <c r="S84" s="1645"/>
    </row>
    <row r="91" spans="1:22" ht="13.5" thickBot="1"/>
    <row r="92" spans="1:22">
      <c r="G92" s="1566"/>
      <c r="S92" s="1648" t="s">
        <v>1097</v>
      </c>
      <c r="T92" s="1649" t="s">
        <v>1098</v>
      </c>
      <c r="U92" s="1649" t="s">
        <v>1099</v>
      </c>
      <c r="V92" s="1649" t="s">
        <v>1100</v>
      </c>
    </row>
    <row r="93" spans="1:22">
      <c r="G93" s="1566"/>
      <c r="N93" s="1570"/>
      <c r="O93" s="1571"/>
      <c r="P93" s="1571"/>
      <c r="Q93" s="1571"/>
      <c r="S93" s="1650">
        <v>2006</v>
      </c>
      <c r="T93" s="1651">
        <v>15.1</v>
      </c>
      <c r="U93" s="1651">
        <v>7.43</v>
      </c>
      <c r="V93" s="1651">
        <v>26.26</v>
      </c>
    </row>
    <row r="94" spans="1:22">
      <c r="G94" s="1566"/>
      <c r="N94" s="1570"/>
      <c r="O94" s="1571"/>
      <c r="P94" s="1571"/>
      <c r="Q94" s="1571"/>
      <c r="S94" s="1652">
        <v>2005</v>
      </c>
      <c r="T94" s="1653">
        <v>13.9</v>
      </c>
      <c r="U94" s="1653">
        <v>7.49</v>
      </c>
      <c r="V94" s="1653">
        <v>24.92</v>
      </c>
    </row>
    <row r="95" spans="1:22">
      <c r="G95" s="1566"/>
      <c r="N95" s="1570"/>
      <c r="O95" s="1571"/>
      <c r="P95" s="1571"/>
      <c r="Q95" s="1571"/>
      <c r="S95" s="1650">
        <v>2004</v>
      </c>
      <c r="T95" s="1651">
        <v>9.48</v>
      </c>
      <c r="U95" s="1651">
        <v>7.2</v>
      </c>
      <c r="V95" s="1651">
        <v>14.68</v>
      </c>
    </row>
    <row r="96" spans="1:22">
      <c r="G96" s="1566"/>
      <c r="N96" s="1570"/>
      <c r="O96" s="1571"/>
      <c r="P96" s="1571"/>
      <c r="Q96" s="1571"/>
      <c r="S96" s="1652">
        <v>2003</v>
      </c>
      <c r="T96" s="1653">
        <v>4.5</v>
      </c>
      <c r="U96" s="1653">
        <v>6.12</v>
      </c>
      <c r="V96" s="1653">
        <v>2.34</v>
      </c>
    </row>
    <row r="97" spans="7:22" ht="13.5" thickBot="1">
      <c r="G97" s="1566"/>
      <c r="N97" s="1570"/>
      <c r="O97" s="1571"/>
      <c r="P97" s="1571"/>
      <c r="Q97" s="1571"/>
      <c r="S97" s="1654">
        <v>2002</v>
      </c>
      <c r="T97" s="1655">
        <v>3.59</v>
      </c>
      <c r="U97" s="1655">
        <v>4.54</v>
      </c>
      <c r="V97" s="1655">
        <v>2.5499999999999998</v>
      </c>
    </row>
    <row r="98" spans="7:22">
      <c r="G98" s="1566"/>
      <c r="N98" s="1570"/>
      <c r="O98" s="1571"/>
      <c r="P98" s="1571"/>
      <c r="Q98" s="1571"/>
    </row>
    <row r="99" spans="7:22">
      <c r="G99" s="1566"/>
      <c r="N99" s="1570"/>
      <c r="O99" s="1571"/>
      <c r="P99" s="1571"/>
      <c r="Q99" s="1571"/>
    </row>
    <row r="100" spans="7:22">
      <c r="G100" s="1566"/>
      <c r="N100" s="1570"/>
      <c r="O100" s="1571"/>
      <c r="P100" s="1571"/>
      <c r="Q100" s="1571"/>
    </row>
    <row r="101" spans="7:22">
      <c r="G101" s="1566"/>
      <c r="N101" s="1570"/>
      <c r="O101" s="1571"/>
      <c r="P101" s="1571"/>
      <c r="Q101" s="1571"/>
    </row>
    <row r="102" spans="7:22">
      <c r="G102" s="1566"/>
      <c r="N102" s="1570"/>
      <c r="O102" s="1571"/>
      <c r="P102" s="1571"/>
      <c r="Q102" s="1571"/>
    </row>
    <row r="103" spans="7:22">
      <c r="G103" s="1566"/>
      <c r="N103" s="1570"/>
      <c r="O103" s="1571"/>
      <c r="P103" s="1571"/>
      <c r="Q103" s="1571"/>
    </row>
    <row r="104" spans="7:22">
      <c r="G104" s="1566"/>
      <c r="N104" s="1570"/>
      <c r="O104" s="1571"/>
      <c r="P104" s="1571"/>
      <c r="Q104" s="1571"/>
    </row>
    <row r="105" spans="7:22">
      <c r="G105" s="1566"/>
      <c r="N105" s="1570"/>
      <c r="O105" s="1571"/>
      <c r="P105" s="1571"/>
      <c r="Q105" s="1571"/>
    </row>
    <row r="106" spans="7:22">
      <c r="G106" s="1566"/>
      <c r="N106" s="1570"/>
      <c r="O106" s="1571"/>
      <c r="P106" s="1571"/>
      <c r="Q106" s="1571"/>
    </row>
    <row r="107" spans="7:22">
      <c r="G107" s="1566"/>
      <c r="N107" s="1570"/>
      <c r="O107" s="1571"/>
      <c r="P107" s="1571"/>
      <c r="Q107" s="1571"/>
    </row>
    <row r="108" spans="7:22">
      <c r="G108" s="1566"/>
      <c r="N108" s="1570"/>
      <c r="O108" s="1571"/>
      <c r="P108" s="1571"/>
      <c r="Q108" s="1571"/>
      <c r="S108" s="1566"/>
    </row>
    <row r="109" spans="7:22">
      <c r="G109" s="1566"/>
      <c r="N109" s="1570"/>
      <c r="O109" s="1571"/>
      <c r="P109" s="1571"/>
      <c r="Q109" s="1571"/>
      <c r="S109" s="1566"/>
    </row>
    <row r="110" spans="7:22">
      <c r="G110" s="1566"/>
      <c r="N110" s="1570"/>
      <c r="O110" s="1571"/>
      <c r="P110" s="1571"/>
      <c r="Q110" s="1571"/>
      <c r="S110" s="1566"/>
    </row>
    <row r="111" spans="7:22">
      <c r="G111" s="1566"/>
      <c r="N111" s="1570"/>
      <c r="O111" s="1571"/>
      <c r="P111" s="1571"/>
      <c r="Q111" s="1571"/>
      <c r="S111" s="1566"/>
    </row>
    <row r="112" spans="7:22">
      <c r="G112" s="1566"/>
      <c r="N112" s="1570"/>
      <c r="O112" s="1571"/>
      <c r="P112" s="1571"/>
      <c r="Q112" s="1571"/>
      <c r="S112" s="1566"/>
    </row>
    <row r="113" spans="7:19">
      <c r="G113" s="1566"/>
      <c r="N113" s="1570"/>
      <c r="O113" s="1571"/>
      <c r="P113" s="1571"/>
      <c r="Q113" s="1571"/>
      <c r="S113" s="1566"/>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1179</v>
      </c>
      <c r="C1" s="1799">
        <f>项目基本情况!D2</f>
        <v>43999</v>
      </c>
      <c r="D1" s="1794" t="s">
        <v>1180</v>
      </c>
      <c r="E1" s="1800">
        <f>'数据-取费表'!B23</f>
        <v>2</v>
      </c>
      <c r="F1" s="1794" t="s">
        <v>1181</v>
      </c>
      <c r="G1" s="1801">
        <f ca="1">INDIRECT("d"&amp;$K$1)/100</f>
        <v>4.7500000000000001E-2</v>
      </c>
      <c r="H1" s="1794" t="s">
        <v>1211</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1182</v>
      </c>
      <c r="E2" s="1736"/>
      <c r="F2" s="1736" t="s">
        <v>1183</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1184</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1185</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1186</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1187</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1188</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1189</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1190</v>
      </c>
      <c r="C10" s="1764"/>
      <c r="D10" s="1764"/>
      <c r="E10" s="1764"/>
      <c r="F10" s="1764"/>
      <c r="G10" s="1764"/>
      <c r="H10" s="1764"/>
      <c r="I10" s="1738"/>
      <c r="J10" s="1738"/>
      <c r="K10" s="1764"/>
      <c r="L10" s="1765" t="s">
        <v>1191</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1192</v>
      </c>
      <c r="C11" s="1769" t="s">
        <v>1193</v>
      </c>
      <c r="D11" s="1770" t="s">
        <v>1194</v>
      </c>
      <c r="E11" s="1771"/>
      <c r="F11" s="1770" t="s">
        <v>1195</v>
      </c>
      <c r="G11" s="1772"/>
      <c r="H11" s="1771"/>
      <c r="I11" s="1770" t="s">
        <v>1196</v>
      </c>
      <c r="J11" s="1771"/>
      <c r="K11" s="1767"/>
      <c r="L11" s="1768" t="s">
        <v>1192</v>
      </c>
      <c r="M11" s="1769" t="s">
        <v>1193</v>
      </c>
      <c r="N11" s="1768" t="s">
        <v>1197</v>
      </c>
      <c r="O11" s="1770" t="s">
        <v>1198</v>
      </c>
      <c r="P11" s="1772"/>
      <c r="Q11" s="1772"/>
      <c r="R11" s="1772"/>
      <c r="S11" s="1772"/>
      <c r="T11" s="1771"/>
      <c r="U11" s="1770" t="s">
        <v>1199</v>
      </c>
      <c r="V11" s="1772"/>
      <c r="W11" s="1771"/>
      <c r="X11" s="1768" t="s">
        <v>1200</v>
      </c>
      <c r="Y11" s="1768" t="s">
        <v>1201</v>
      </c>
      <c r="Z11" s="1768" t="s">
        <v>1202</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1203</v>
      </c>
      <c r="E12" s="1777" t="s">
        <v>1204</v>
      </c>
      <c r="F12" s="1777" t="s">
        <v>1205</v>
      </c>
      <c r="G12" s="1777" t="s">
        <v>1206</v>
      </c>
      <c r="H12" s="1777" t="s">
        <v>1188</v>
      </c>
      <c r="I12" s="1778" t="s">
        <v>1207</v>
      </c>
      <c r="J12" s="1778" t="s">
        <v>1207</v>
      </c>
      <c r="K12" s="1774"/>
      <c r="L12" s="1775"/>
      <c r="M12" s="1776"/>
      <c r="N12" s="1775"/>
      <c r="O12" s="1778" t="s">
        <v>1208</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1209</v>
      </c>
      <c r="C13" s="1782">
        <v>42301</v>
      </c>
      <c r="D13" s="1783">
        <v>4.3499999999999996</v>
      </c>
      <c r="E13" s="1783">
        <v>4.3499999999999996</v>
      </c>
      <c r="F13" s="1783">
        <v>4.75</v>
      </c>
      <c r="G13" s="1783">
        <v>4.75</v>
      </c>
      <c r="H13" s="1783">
        <v>4.9000000000000004</v>
      </c>
      <c r="I13" s="1783">
        <v>2.75</v>
      </c>
      <c r="J13" s="1783">
        <v>3.25</v>
      </c>
      <c r="K13" s="1780"/>
      <c r="L13" s="1781" t="s">
        <v>1209</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1210</v>
      </c>
      <c r="Y42" s="1787" t="s">
        <v>1210</v>
      </c>
      <c r="Z42" s="1787" t="s">
        <v>1210</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1210</v>
      </c>
      <c r="Y43" s="1787" t="s">
        <v>1210</v>
      </c>
      <c r="Z43" s="1787" t="s">
        <v>1210</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1210</v>
      </c>
      <c r="Y44" s="1787" t="s">
        <v>1210</v>
      </c>
      <c r="Z44" s="1787" t="s">
        <v>1210</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1210</v>
      </c>
      <c r="Y45" s="1787" t="s">
        <v>1210</v>
      </c>
      <c r="Z45" s="1787" t="s">
        <v>1210</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1210</v>
      </c>
      <c r="Y46" s="1787" t="s">
        <v>1210</v>
      </c>
      <c r="Z46" s="1787" t="s">
        <v>1210</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1210</v>
      </c>
      <c r="Y47" s="1787" t="s">
        <v>1210</v>
      </c>
      <c r="Z47" s="1787" t="s">
        <v>1210</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1210</v>
      </c>
      <c r="Y48" s="1787" t="s">
        <v>1210</v>
      </c>
      <c r="Z48" s="1787" t="s">
        <v>1210</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1210</v>
      </c>
      <c r="Y49" s="1787" t="s">
        <v>1210</v>
      </c>
      <c r="Z49" s="1787" t="s">
        <v>1210</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1210</v>
      </c>
      <c r="Y50" s="1787" t="s">
        <v>1210</v>
      </c>
      <c r="Z50" s="1787" t="s">
        <v>1210</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1210</v>
      </c>
      <c r="V51" s="1787" t="s">
        <v>1210</v>
      </c>
      <c r="W51" s="1787" t="s">
        <v>1210</v>
      </c>
      <c r="X51" s="1787" t="s">
        <v>1210</v>
      </c>
      <c r="Y51" s="1787" t="s">
        <v>1210</v>
      </c>
      <c r="Z51" s="1787" t="s">
        <v>1210</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1210</v>
      </c>
      <c r="J55" s="1787" t="s">
        <v>1210</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
  <sheetViews>
    <sheetView topLeftCell="A4" zoomScale="145" zoomScaleNormal="145" workbookViewId="0">
      <selection activeCell="P9" sqref="P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2" customWidth="1"/>
    <col min="2" max="2" width="37.875" style="1892" customWidth="1"/>
    <col min="3" max="3" width="16.125" style="1892" customWidth="1"/>
    <col min="4" max="4" width="22.25" style="1892" customWidth="1"/>
    <col min="5" max="5" width="4.125" style="1892" customWidth="1"/>
    <col min="6" max="7" width="13" style="1892" customWidth="1"/>
    <col min="8" max="16384" width="9" style="1892"/>
  </cols>
  <sheetData>
    <row r="1" spans="1:5" ht="18.75">
      <c r="A1" s="1912" t="s">
        <v>778</v>
      </c>
      <c r="B1" s="1910"/>
      <c r="C1" s="1910"/>
      <c r="D1" s="1910"/>
      <c r="E1" s="1910"/>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3"/>
      <c r="C2" s="2783"/>
      <c r="D2" s="2783"/>
      <c r="E2" s="2783"/>
    </row>
    <row r="3" spans="1:5" ht="13.5" customHeight="1">
      <c r="A3" s="1913"/>
      <c r="B3" s="1913"/>
      <c r="C3" s="1913"/>
      <c r="D3" s="1913"/>
      <c r="E3" s="1913"/>
    </row>
    <row r="4" spans="1:5" ht="19.5" thickBot="1">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thickTop="1">
      <c r="A5" s="1910"/>
      <c r="B5" s="1914" t="s">
        <v>742</v>
      </c>
      <c r="C5" s="2785" t="s">
        <v>779</v>
      </c>
      <c r="D5" s="2786"/>
      <c r="E5" s="1910"/>
    </row>
    <row r="6" spans="1:5" ht="14.25">
      <c r="A6" s="1910"/>
      <c r="B6" s="1915" t="str">
        <f>项目基本情况!I1</f>
        <v>辽宁省大连市房地产</v>
      </c>
      <c r="C6" s="2787">
        <f>项目基本情况!C12</f>
        <v>0</v>
      </c>
      <c r="D6" s="2787"/>
      <c r="E6" s="1910"/>
    </row>
    <row r="7" spans="1:5" ht="14.25">
      <c r="A7" s="1910"/>
      <c r="B7" s="2781" t="s">
        <v>780</v>
      </c>
      <c r="C7" s="1916" t="str">
        <f>IF('数据-取费表'!B3="万元","总价（万元）","总价（元）")</f>
        <v>总价（万元）</v>
      </c>
      <c r="D7" s="1917">
        <f ca="1">IF('数据-取费表'!E3="否",结果表!I102,'结果表 (1修多)'!I103)</f>
        <v>420</v>
      </c>
      <c r="E7" s="1910"/>
    </row>
    <row r="8" spans="1:5" ht="14.25">
      <c r="A8" s="1910"/>
      <c r="B8" s="2781"/>
      <c r="C8" s="1918" t="s">
        <v>1169</v>
      </c>
      <c r="D8" s="1919" t="str">
        <f ca="1">IF('数据-取费表'!B3="万元",NUMBERSTRING(INT(D7*10000),2)&amp;"元整",NUMBERSTRING(INT(D7),2)&amp;"元整")</f>
        <v>肆佰贰拾万元整</v>
      </c>
      <c r="E8" s="1910"/>
    </row>
    <row r="9" spans="1:5" ht="14.25">
      <c r="A9" s="1910"/>
      <c r="B9" s="2781"/>
      <c r="C9" s="1920" t="s">
        <v>1267</v>
      </c>
      <c r="D9" s="1917">
        <f ca="1">IF('数据-取费表'!E3="否",结果表!I103,'结果表 (1修多)'!I104)</f>
        <v>11092</v>
      </c>
      <c r="E9" s="1910"/>
    </row>
    <row r="10" spans="1:5" ht="14.25">
      <c r="A10" s="1910"/>
      <c r="B10" s="2788" t="str">
        <f>IF('数据-取费表'!E3="否",结果表!F105,'结果表 (1修多)'!F106)</f>
        <v>2.估价师所知悉的法定优先受偿款</v>
      </c>
      <c r="C10" s="1921" t="str">
        <f>IF('数据-取费表'!B3="万元","总额（万元）","总额（元）")</f>
        <v>总额（万元）</v>
      </c>
      <c r="D10" s="1917">
        <f>IF('数据-取费表'!E3="否",结果表!I105,'结果表 (1修多)'!I106)</f>
        <v>0</v>
      </c>
      <c r="E10" s="1910"/>
    </row>
    <row r="11" spans="1:5" ht="14.25">
      <c r="A11" s="1910"/>
      <c r="B11" s="2788"/>
      <c r="C11" s="1918" t="s">
        <v>1169</v>
      </c>
      <c r="D11" s="1919" t="str">
        <f>IF('数据-取费表'!B3="万元",NUMBERSTRING(INT(D10*10000),2)&amp;"元整",NUMBERSTRING(INT(D10),2)&amp;"元整")</f>
        <v>零元整</v>
      </c>
      <c r="E11" s="1910"/>
    </row>
    <row r="12" spans="1:5" ht="14.25">
      <c r="A12" s="1910"/>
      <c r="B12" s="1922" t="s">
        <v>743</v>
      </c>
      <c r="C12" s="1923" t="str">
        <f>C10</f>
        <v>总额（万元）</v>
      </c>
      <c r="D12" s="1924">
        <f>IF('数据-取费表'!E3="否",结果表!I106,'结果表 (1修多)'!I107)</f>
        <v>0</v>
      </c>
      <c r="E12" s="1910"/>
    </row>
    <row r="13" spans="1:5" ht="14.25">
      <c r="A13" s="1910"/>
      <c r="B13" s="1922" t="s">
        <v>744</v>
      </c>
      <c r="C13" s="1923" t="str">
        <f>C10</f>
        <v>总额（万元）</v>
      </c>
      <c r="D13" s="1924">
        <f>IF('数据-取费表'!E3="否",结果表!I107,'结果表 (1修多)'!I108)</f>
        <v>0</v>
      </c>
      <c r="E13" s="1910"/>
    </row>
    <row r="14" spans="1:5" ht="14.25">
      <c r="A14" s="1910"/>
      <c r="B14" s="1922" t="s">
        <v>745</v>
      </c>
      <c r="C14" s="1923" t="str">
        <f>C10</f>
        <v>总额（万元）</v>
      </c>
      <c r="D14" s="1924">
        <f>IF('数据-取费表'!E3="否",结果表!I108,'结果表 (1修多)'!I109)</f>
        <v>0</v>
      </c>
      <c r="E14" s="1910"/>
    </row>
    <row r="15" spans="1:5" ht="14.25">
      <c r="A15" s="1910"/>
      <c r="B15" s="2788" t="str">
        <f>IF('数据-取费表'!E3="否",结果表!F110,'结果表 (1修多)'!F111)</f>
        <v>3.房地产抵押价值</v>
      </c>
      <c r="C15" s="1911" t="str">
        <f>C7</f>
        <v>总价（万元）</v>
      </c>
      <c r="D15" s="1917">
        <f ca="1">IF('数据-取费表'!E3="否",结果表!I110,'结果表 (1修多)'!I111)</f>
        <v>420</v>
      </c>
      <c r="E15" s="1910"/>
    </row>
    <row r="16" spans="1:5" ht="14.25">
      <c r="A16" s="1910"/>
      <c r="B16" s="2788"/>
      <c r="C16" s="1918" t="s">
        <v>1169</v>
      </c>
      <c r="D16" s="1917" t="str">
        <f ca="1">IF('数据-取费表'!B3="万元",NUMBERSTRING(INT(D15*10000),2)&amp;"元整",NUMBERSTRING(INT(D15),2)&amp;"元整")</f>
        <v>肆佰贰拾万元整</v>
      </c>
      <c r="E16" s="1910"/>
    </row>
    <row r="17" spans="1:5" ht="14.25">
      <c r="A17" s="1910"/>
      <c r="B17" s="2788"/>
      <c r="C17" s="1920" t="s">
        <v>1267</v>
      </c>
      <c r="D17" s="1917">
        <f ca="1">IF('数据-取费表'!E3="否",结果表!I111,'结果表 (1修多)'!I112)</f>
        <v>11092</v>
      </c>
      <c r="E17" s="1910"/>
    </row>
    <row r="18" spans="1:5" ht="14.25">
      <c r="A18" s="1910"/>
      <c r="B18" s="2788" t="str">
        <f>IF('数据-取费表'!E3="否",结果表!F112,'结果表 (1修多)'!F113)</f>
        <v>——</v>
      </c>
      <c r="C18" s="1911" t="str">
        <f>C7</f>
        <v>总价（万元）</v>
      </c>
      <c r="D18" s="1917" t="str">
        <f>IF('数据-取费表'!E3="否",结果表!I112,'结果表 (1修多)'!I113)</f>
        <v>——</v>
      </c>
      <c r="E18" s="1910"/>
    </row>
    <row r="19" spans="1:5" ht="14.25">
      <c r="A19" s="1910"/>
      <c r="B19" s="2788"/>
      <c r="C19" s="1918" t="s">
        <v>1169</v>
      </c>
      <c r="D19" s="1917" t="e">
        <f>IF('数据-取费表'!B3="万元",NUMBERSTRING(INT(D18*10000),2)&amp;"元整",NUMBERSTRING(INT(D18),2)&amp;"元整")</f>
        <v>#VALUE!</v>
      </c>
      <c r="E19" s="1910"/>
    </row>
    <row r="20" spans="1:5" ht="14.25">
      <c r="A20" s="1910"/>
      <c r="B20" s="2788"/>
      <c r="C20" s="1920" t="s">
        <v>1267</v>
      </c>
      <c r="D20" s="1917" t="str">
        <f>IF('数据-取费表'!E3="否",结果表!I113,'结果表 (1修多)'!I114)</f>
        <v>——</v>
      </c>
      <c r="E20" s="1910"/>
    </row>
    <row r="21" spans="1:5" ht="14.25">
      <c r="A21" s="1910"/>
      <c r="B21" s="2781" t="str">
        <f>IF('数据-取费表'!E3="否",结果表!F114,'结果表 (1修多)'!F115)</f>
        <v>——</v>
      </c>
      <c r="C21" s="1916" t="str">
        <f>C7</f>
        <v>总价（万元）</v>
      </c>
      <c r="D21" s="1917" t="str">
        <f>IF('数据-取费表'!E3="否",结果表!I114,'结果表 (1修多)'!I115)</f>
        <v>——</v>
      </c>
      <c r="E21" s="1910"/>
    </row>
    <row r="22" spans="1:5" ht="14.25">
      <c r="A22" s="1910"/>
      <c r="B22" s="2781"/>
      <c r="C22" s="1918" t="s">
        <v>1169</v>
      </c>
      <c r="D22" s="1919" t="e">
        <f>IF('数据-取费表'!B3="万元",NUMBERSTRING(INT(D21*10000),2)&amp;"元整",NUMBERSTRING(INT(D21),2)&amp;"元整")</f>
        <v>#VALUE!</v>
      </c>
      <c r="E22" s="1910"/>
    </row>
    <row r="23" spans="1:5" ht="15" thickBot="1">
      <c r="A23" s="1910"/>
      <c r="B23" s="2782"/>
      <c r="C23" s="1925" t="s">
        <v>1267</v>
      </c>
      <c r="D23" s="1926" t="str">
        <f ca="1">IF('数据-取费表'!E3="否",结果表!I115,'结果表 (1修多)'!I116)</f>
        <v>——</v>
      </c>
      <c r="E23" s="1910"/>
    </row>
    <row r="24" spans="1:5" ht="14.25" thickTop="1">
      <c r="A24" s="1910"/>
      <c r="B24" s="1910"/>
      <c r="C24" s="1910"/>
      <c r="D24" s="1910"/>
      <c r="E24" s="1910"/>
    </row>
    <row r="25" spans="1:5" ht="18.75" customHeight="1" thickBot="1">
      <c r="A25" s="1910"/>
      <c r="B25" s="2796" t="s">
        <v>1268</v>
      </c>
      <c r="C25" s="2796"/>
      <c r="D25" s="2796"/>
      <c r="E25" s="1910"/>
    </row>
    <row r="26" spans="1:5" ht="18.75" customHeight="1" thickTop="1">
      <c r="A26" s="1910"/>
      <c r="B26" s="2799" t="s">
        <v>1168</v>
      </c>
      <c r="C26" s="2800"/>
      <c r="D26" s="2797" t="s">
        <v>1167</v>
      </c>
      <c r="E26" s="1910"/>
    </row>
    <row r="27" spans="1:5" ht="18.75" customHeight="1">
      <c r="A27" s="1910"/>
      <c r="B27" s="2801"/>
      <c r="C27" s="2802"/>
      <c r="D27" s="2798"/>
      <c r="E27" s="1910"/>
    </row>
    <row r="28" spans="1:5" ht="14.25">
      <c r="A28" s="1910"/>
      <c r="B28" s="2789" t="s">
        <v>780</v>
      </c>
      <c r="C28" s="1927" t="s">
        <v>1170</v>
      </c>
      <c r="D28" s="1928">
        <f ca="1">IF('数据-取费表'!E3="否",结果表!I102,'结果表 (1修多)'!I103)</f>
        <v>420</v>
      </c>
      <c r="E28" s="1910"/>
    </row>
    <row r="29" spans="1:5" ht="14.25">
      <c r="A29" s="1910"/>
      <c r="B29" s="2790"/>
      <c r="C29" s="1929" t="s">
        <v>1169</v>
      </c>
      <c r="D29" s="1930" t="str">
        <f ca="1">IF('数据-取费表'!B3="万元",NUMBERSTRING(INT(D28*10000),2)&amp;"元整",NUMBERSTRING(INT(D28),2)&amp;"元整")</f>
        <v>肆佰贰拾万元整</v>
      </c>
      <c r="E29" s="1910"/>
    </row>
    <row r="30" spans="1:5" ht="14.25">
      <c r="A30" s="1910"/>
      <c r="B30" s="2791"/>
      <c r="C30" s="1920" t="s">
        <v>1172</v>
      </c>
      <c r="D30" s="1931">
        <f ca="1">IF('数据-取费表'!E3="否",结果表!I103,'结果表 (1修多)'!I104)</f>
        <v>11092</v>
      </c>
      <c r="E30" s="1910"/>
    </row>
    <row r="31" spans="1:5" ht="14.25">
      <c r="A31" s="1910"/>
      <c r="B31" s="2794" t="str">
        <f>B10</f>
        <v>2.估价师所知悉的法定优先受偿款</v>
      </c>
      <c r="C31" s="1932" t="s">
        <v>1171</v>
      </c>
      <c r="D31" s="1933">
        <f>IF('数据-取费表'!E3="否",结果表!I105,'结果表 (1修多)'!I106)</f>
        <v>0</v>
      </c>
      <c r="E31" s="1910"/>
    </row>
    <row r="32" spans="1:5" ht="14.25">
      <c r="A32" s="1910"/>
      <c r="B32" s="2803"/>
      <c r="C32" s="1929" t="s">
        <v>1169</v>
      </c>
      <c r="D32" s="1934" t="str">
        <f>IF('数据-取费表'!B3="万元",NUMBERSTRING(INT(D31*10000),2)&amp;"元整",NUMBERSTRING(INT(D31),2)&amp;"元整")</f>
        <v>零元整</v>
      </c>
      <c r="E32" s="1910"/>
    </row>
    <row r="33" spans="1:5" ht="14.25">
      <c r="A33" s="1910"/>
      <c r="B33" s="1918" t="s">
        <v>1152</v>
      </c>
      <c r="C33" s="1918" t="str">
        <f>C31</f>
        <v>总额</v>
      </c>
      <c r="D33" s="1931">
        <f>IF('数据-取费表'!E3="否",结果表!I106,'结果表 (1修多)'!I107)</f>
        <v>0</v>
      </c>
      <c r="E33" s="1910"/>
    </row>
    <row r="34" spans="1:5" ht="14.25">
      <c r="A34" s="1910"/>
      <c r="B34" s="1918" t="s">
        <v>1153</v>
      </c>
      <c r="C34" s="1918" t="str">
        <f>C31</f>
        <v>总额</v>
      </c>
      <c r="D34" s="1931">
        <f>IF('数据-取费表'!E3="否",结果表!I107,'结果表 (1修多)'!I108)</f>
        <v>0</v>
      </c>
      <c r="E34" s="1910"/>
    </row>
    <row r="35" spans="1:5" ht="14.25">
      <c r="A35" s="1910"/>
      <c r="B35" s="1918" t="s">
        <v>1154</v>
      </c>
      <c r="C35" s="1918" t="str">
        <f>C31</f>
        <v>总额</v>
      </c>
      <c r="D35" s="1931">
        <f>IF('数据-取费表'!E3="否",结果表!I108,'结果表 (1修多)'!I109)</f>
        <v>0</v>
      </c>
      <c r="E35" s="1910"/>
    </row>
    <row r="36" spans="1:5" ht="14.25">
      <c r="A36" s="1910"/>
      <c r="B36" s="2792" t="str">
        <f>B15</f>
        <v>3.房地产抵押价值</v>
      </c>
      <c r="C36" s="1932" t="str">
        <f>C28</f>
        <v>总价</v>
      </c>
      <c r="D36" s="1933">
        <f ca="1">IF('数据-取费表'!E3="否",结果表!I110,'结果表 (1修多)'!I111)</f>
        <v>420</v>
      </c>
      <c r="E36" s="1910"/>
    </row>
    <row r="37" spans="1:5" ht="14.25">
      <c r="A37" s="1910"/>
      <c r="B37" s="2792"/>
      <c r="C37" s="1929" t="s">
        <v>1169</v>
      </c>
      <c r="D37" s="1934" t="str">
        <f ca="1">IF('数据-取费表'!B3="万元",NUMBERSTRING(INT(D36*10000),2)&amp;"元整",NUMBERSTRING(INT(D36),2)&amp;"元整")</f>
        <v>肆佰贰拾万元整</v>
      </c>
      <c r="E37" s="1910"/>
    </row>
    <row r="38" spans="1:5" ht="14.25">
      <c r="A38" s="1910"/>
      <c r="B38" s="2792"/>
      <c r="C38" s="1920" t="s">
        <v>1173</v>
      </c>
      <c r="D38" s="1931">
        <f ca="1">IF('数据-取费表'!E3="否",结果表!D113,'结果表 (1修多)'!D116)</f>
        <v>11092</v>
      </c>
      <c r="E38" s="1910"/>
    </row>
    <row r="39" spans="1:5" ht="14.25">
      <c r="A39" s="1910"/>
      <c r="B39" s="2793" t="str">
        <f>B18</f>
        <v>——</v>
      </c>
      <c r="C39" s="1932" t="str">
        <f>C28</f>
        <v>总价</v>
      </c>
      <c r="D39" s="1933" t="str">
        <f>IF('数据-取费表'!E3="否",结果表!I112,'结果表 (1修多)'!I113)</f>
        <v>——</v>
      </c>
      <c r="E39" s="1910"/>
    </row>
    <row r="40" spans="1:5" ht="14.25">
      <c r="A40" s="1910"/>
      <c r="B40" s="2793"/>
      <c r="C40" s="1929" t="s">
        <v>1169</v>
      </c>
      <c r="D40" s="1934" t="e">
        <f>IF('数据-取费表'!B3="万元",NUMBERSTRING(INT(D39*10000),2)&amp;"元整",NUMBERSTRING(INT(D39),2)&amp;"元整")</f>
        <v>#VALUE!</v>
      </c>
      <c r="E40" s="1910"/>
    </row>
    <row r="41" spans="1:5" ht="14.25">
      <c r="A41" s="1910"/>
      <c r="B41" s="2793"/>
      <c r="C41" s="1920" t="s">
        <v>1173</v>
      </c>
      <c r="D41" s="1931" t="str">
        <f>IF('数据-取费表'!E3="否",结果表!D115,'结果表 (1修多)'!D118)</f>
        <v>——</v>
      </c>
      <c r="E41" s="1910"/>
    </row>
    <row r="42" spans="1:5" ht="14.25">
      <c r="A42" s="1910"/>
      <c r="B42" s="2792" t="str">
        <f>B21</f>
        <v>——</v>
      </c>
      <c r="C42" s="1932" t="str">
        <f>C28</f>
        <v>总价</v>
      </c>
      <c r="D42" s="1933" t="str">
        <f>IF('数据-取费表'!E3="否",结果表!I114,'结果表 (1修多)'!I115)</f>
        <v>——</v>
      </c>
      <c r="E42" s="1910"/>
    </row>
    <row r="43" spans="1:5" ht="14.25">
      <c r="A43" s="1910"/>
      <c r="B43" s="2794"/>
      <c r="C43" s="1929" t="s">
        <v>1169</v>
      </c>
      <c r="D43" s="1935" t="e">
        <f>IF('数据-取费表'!B3="万元",NUMBERSTRING(INT(D42*10000),2)&amp;"元整",NUMBERSTRING(INT(D42),2)&amp;"元整")</f>
        <v>#VALUE!</v>
      </c>
      <c r="E43" s="1910"/>
    </row>
    <row r="44" spans="1:5" ht="15" thickBot="1">
      <c r="A44" s="1910"/>
      <c r="B44" s="2795"/>
      <c r="C44" s="1925" t="s">
        <v>1173</v>
      </c>
      <c r="D44" s="1936" t="str">
        <f ca="1">IF('数据-取费表'!E3="否",结果表!D117,'结果表 (1修多)'!D120)</f>
        <v>——</v>
      </c>
      <c r="E44" s="1910"/>
    </row>
    <row r="45" spans="1:5" ht="14.25" thickTop="1">
      <c r="A45" s="1910"/>
      <c r="B45" s="1910" t="str">
        <f>IF('数据-取费表'!B3="元","单位：元、元/平方米（单位：人民币）","单位：万元、元/平方米（单位：人民币）")</f>
        <v>单位：万元、元/平方米（单位：人民币）</v>
      </c>
      <c r="C45" s="1910"/>
      <c r="D45" s="1910"/>
      <c r="E45" s="1910"/>
    </row>
    <row r="46" spans="1:5" ht="18.75">
      <c r="B46" s="1937"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15"/>
  <sheetViews>
    <sheetView workbookViewId="0">
      <selection activeCell="H17" sqref="H17"/>
    </sheetView>
  </sheetViews>
  <sheetFormatPr defaultRowHeight="13.5"/>
  <sheetData>
    <row r="6" spans="4:14">
      <c r="D6" s="1892" t="s">
        <v>2918</v>
      </c>
      <c r="E6" s="1892" t="s">
        <v>2919</v>
      </c>
      <c r="F6" s="1892" t="s">
        <v>2920</v>
      </c>
      <c r="G6" s="1892" t="s">
        <v>2921</v>
      </c>
    </row>
    <row r="7" spans="4:14">
      <c r="D7" t="str">
        <f>典型户型修正!A27</f>
        <v>2-21-3</v>
      </c>
      <c r="E7">
        <f>典型户型修正!B27</f>
        <v>99.45</v>
      </c>
      <c r="F7">
        <f ca="1">典型户型修正!R27</f>
        <v>10736</v>
      </c>
      <c r="G7">
        <f ca="1">典型户型修正!T27</f>
        <v>107</v>
      </c>
    </row>
    <row r="8" spans="4:14">
      <c r="D8" t="str">
        <f>典型户型修正!A28</f>
        <v>2-16-1</v>
      </c>
      <c r="E8">
        <f>典型户型修正!B28</f>
        <v>140.97</v>
      </c>
      <c r="F8">
        <f ca="1">典型户型修正!R28</f>
        <v>11927</v>
      </c>
      <c r="G8">
        <f ca="1">典型户型修正!T28</f>
        <v>168</v>
      </c>
    </row>
    <row r="9" spans="4:14">
      <c r="D9" t="str">
        <f>典型户型修正!A29</f>
        <v>2-16-2</v>
      </c>
      <c r="E9">
        <f>典型户型修正!B29</f>
        <v>138.24</v>
      </c>
      <c r="F9">
        <f ca="1">典型户型修正!R29</f>
        <v>10521</v>
      </c>
      <c r="G9">
        <f ca="1">典型户型修正!T29</f>
        <v>145</v>
      </c>
    </row>
    <row r="10" spans="4:14">
      <c r="F10" s="2780">
        <f ca="1">AVERAGE(F7:F9)</f>
        <v>11061.333333333334</v>
      </c>
      <c r="G10">
        <f ca="1">SUM(G7:G9)</f>
        <v>420</v>
      </c>
    </row>
    <row r="12" spans="4:14">
      <c r="J12" s="1892"/>
      <c r="K12" s="1892"/>
      <c r="L12" s="1892"/>
      <c r="M12" s="1892"/>
      <c r="N12" s="1892"/>
    </row>
    <row r="13" spans="4:14">
      <c r="J13" s="1892"/>
    </row>
    <row r="14" spans="4:14">
      <c r="J14" s="1892"/>
      <c r="K14" s="1892" t="s">
        <v>2926</v>
      </c>
      <c r="N14" s="2780"/>
    </row>
    <row r="15" spans="4:14">
      <c r="N15" s="2780"/>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5" customWidth="1"/>
    <col min="2" max="9" width="12.25" style="1895" customWidth="1"/>
    <col min="10" max="16384" width="9" style="1895"/>
  </cols>
  <sheetData>
    <row r="1" spans="1:9" ht="16.5" thickBot="1">
      <c r="A1" s="2810" t="str">
        <f>IF(项目基本情况!D5="房地产市场价值","估价结果一览表","结果表-2")</f>
        <v>估价结果一览表</v>
      </c>
      <c r="B1" s="2810"/>
      <c r="C1" s="2810"/>
      <c r="D1" s="2810"/>
      <c r="E1" s="2810"/>
      <c r="F1" s="2810"/>
      <c r="G1" s="2810"/>
      <c r="H1" s="2810"/>
      <c r="I1" s="2810"/>
    </row>
    <row r="2" spans="1:9" ht="30" customHeight="1" thickTop="1">
      <c r="A2" s="2811" t="s">
        <v>1269</v>
      </c>
      <c r="B2" s="2811" t="s">
        <v>1270</v>
      </c>
      <c r="C2" s="2811" t="s">
        <v>1271</v>
      </c>
      <c r="D2" s="2811" t="str">
        <f>IF('数据-取费表'!E3="否",结果表!D119,'结果表 (1修多)'!D122)</f>
        <v>出让国有建设用地使用权价值</v>
      </c>
      <c r="E2" s="2811"/>
      <c r="F2" s="2811" t="s">
        <v>1272</v>
      </c>
      <c r="G2" s="2811"/>
      <c r="H2" s="2811" t="s">
        <v>1273</v>
      </c>
      <c r="I2" s="2811"/>
    </row>
    <row r="3" spans="1:9" ht="15">
      <c r="A3" s="2806"/>
      <c r="B3" s="2806"/>
      <c r="C3" s="2806"/>
      <c r="D3" s="1043" t="s">
        <v>1274</v>
      </c>
      <c r="E3" s="1043" t="s">
        <v>1275</v>
      </c>
      <c r="F3" s="1043" t="s">
        <v>1274</v>
      </c>
      <c r="G3" s="1043" t="s">
        <v>1276</v>
      </c>
      <c r="H3" s="1043" t="s">
        <v>1274</v>
      </c>
      <c r="I3" s="1043" t="s">
        <v>1276</v>
      </c>
    </row>
    <row r="4" spans="1:9" ht="46.5" customHeight="1">
      <c r="A4" s="1043" t="str">
        <f>项目基本情况!I1</f>
        <v>辽宁省大连市房地产</v>
      </c>
      <c r="B4" s="1043">
        <f>结果表!B121</f>
        <v>0</v>
      </c>
      <c r="C4" s="1043">
        <f>结果表!C121</f>
        <v>0</v>
      </c>
      <c r="D4" s="1043">
        <f>IF('数据-取费表'!E3="否",结果表!D121,'结果表 (1修多)'!D124)</f>
        <v>0</v>
      </c>
      <c r="E4" s="1043">
        <f>IF('数据-取费表'!E3="否",结果表!E121,'结果表 (1修多)'!E124)</f>
        <v>0</v>
      </c>
      <c r="F4" s="1043">
        <f>IF('数据-取费表'!E3="否",结果表!F121,'结果表 (1修多)'!F124)</f>
        <v>0</v>
      </c>
      <c r="G4" s="1043">
        <f>IF('数据-取费表'!E3="否",结果表!G121,'结果表 (1修多)'!G124)</f>
        <v>0</v>
      </c>
      <c r="H4" s="1043">
        <f ca="1">IF('数据-取费表'!E3="否",结果表!H121,'结果表 (1修多)'!H124)</f>
        <v>420</v>
      </c>
      <c r="I4" s="1043">
        <f ca="1">IF('数据-取费表'!E3="否",结果表!I121,'结果表 (1修多)'!I124)</f>
        <v>11092</v>
      </c>
    </row>
    <row r="5" spans="1:9" ht="15">
      <c r="A5" s="2806" t="s">
        <v>1277</v>
      </c>
      <c r="B5" s="2806"/>
      <c r="C5" s="2806"/>
      <c r="D5" s="2804" t="str">
        <f>IF('数据-取费表'!E3="否",结果表!D122,'结果表 (1修多)'!D125)</f>
        <v>零元整</v>
      </c>
      <c r="E5" s="2804"/>
      <c r="F5" s="2804" t="str">
        <f>IF('数据-取费表'!E3="否",结果表!F122,'结果表 (1修多)'!F125)</f>
        <v>零元整</v>
      </c>
      <c r="G5" s="2804"/>
      <c r="H5" s="2804" t="str">
        <f ca="1">IF('数据-取费表'!E3="否",结果表!H122,'结果表 (1修多)'!H125)</f>
        <v>肆佰贰拾万元整</v>
      </c>
      <c r="I5" s="2804"/>
    </row>
    <row r="6" spans="1:9" ht="15.75">
      <c r="A6" s="2805" t="str">
        <f>IF('数据-取费表'!E3="否",结果表!A123,'结果表 (1修多)'!A126)</f>
        <v>——</v>
      </c>
      <c r="B6" s="2805"/>
      <c r="C6" s="2805"/>
      <c r="D6" s="2805">
        <f>IF('数据-取费表'!E3="否",结果表!D123,'结果表 (1修多)'!D126)</f>
        <v>0</v>
      </c>
      <c r="E6" s="2805"/>
      <c r="F6" s="2805"/>
      <c r="G6" s="2805"/>
      <c r="H6" s="2805"/>
      <c r="I6" s="2805"/>
    </row>
    <row r="7" spans="1:9" ht="15">
      <c r="A7" s="2806" t="s">
        <v>1277</v>
      </c>
      <c r="B7" s="2806"/>
      <c r="C7" s="2806"/>
      <c r="D7" s="2807">
        <f>IF('数据-取费表'!E3="否",结果表!D124,'结果表 (1修多)'!D127)</f>
        <v>0</v>
      </c>
      <c r="E7" s="2808"/>
      <c r="F7" s="2808"/>
      <c r="G7" s="2808"/>
      <c r="H7" s="2808"/>
      <c r="I7" s="2809"/>
    </row>
    <row r="8" spans="1:9" ht="15.75">
      <c r="A8" s="2805" t="str">
        <f>IF('数据-取费表'!E3="否",结果表!A125,'结果表 (1修多)'!A128)</f>
        <v>——</v>
      </c>
      <c r="B8" s="2805"/>
      <c r="C8" s="2805"/>
      <c r="D8" s="2805">
        <f ca="1">IF('数据-取费表'!E3="否",结果表!D125,'结果表 (1修多)'!D128)</f>
        <v>420</v>
      </c>
      <c r="E8" s="2805"/>
      <c r="F8" s="2805"/>
      <c r="G8" s="2805"/>
      <c r="H8" s="2805"/>
      <c r="I8" s="2805"/>
    </row>
    <row r="9" spans="1:9" ht="15">
      <c r="A9" s="2806" t="s">
        <v>1277</v>
      </c>
      <c r="B9" s="2806"/>
      <c r="C9" s="2806"/>
      <c r="D9" s="2804">
        <f ca="1">IF('数据-取费表'!E3="否",结果表!D126,'结果表 (1修多)'!D129)</f>
        <v>11092</v>
      </c>
      <c r="E9" s="2804"/>
      <c r="F9" s="2804"/>
      <c r="G9" s="2804"/>
      <c r="H9" s="2804"/>
      <c r="I9" s="2804"/>
    </row>
    <row r="10" spans="1:9" ht="15.75">
      <c r="A10" s="2805" t="str">
        <f>IF('数据-取费表'!E3="否",结果表!A127,'结果表 (1修多)'!A130)</f>
        <v>——</v>
      </c>
      <c r="B10" s="2805"/>
      <c r="C10" s="2805"/>
      <c r="D10" s="2805">
        <f ca="1">IF('数据-取费表'!E3="否",结果表!D127,'结果表 (1修多)'!D129)</f>
        <v>11092</v>
      </c>
      <c r="E10" s="2805"/>
      <c r="F10" s="2805"/>
      <c r="G10" s="2805"/>
      <c r="H10" s="2805"/>
      <c r="I10" s="2805"/>
    </row>
    <row r="11" spans="1:9" ht="15">
      <c r="A11" s="2806" t="s">
        <v>1277</v>
      </c>
      <c r="B11" s="2806"/>
      <c r="C11" s="2806"/>
      <c r="D11" s="2804" t="str">
        <f>IF('数据-取费表'!E3="否",结果表!D128,'结果表 (1修多)'!D131)</f>
        <v>——</v>
      </c>
      <c r="E11" s="2804"/>
      <c r="F11" s="2804"/>
      <c r="G11" s="2804"/>
      <c r="H11" s="2804"/>
      <c r="I11" s="2804"/>
    </row>
    <row r="12" spans="1:9" ht="15.75">
      <c r="A12" s="2805" t="str">
        <f>IF('数据-取费表'!E3="否",结果表!A129,'结果表 (1修多)'!A132)</f>
        <v>——</v>
      </c>
      <c r="B12" s="2805"/>
      <c r="C12" s="2805"/>
      <c r="D12" s="2805" t="str">
        <f>IF('数据-取费表'!E3="否",结果表!D129,'结果表 (1修多)'!D132)</f>
        <v>——</v>
      </c>
      <c r="E12" s="2805"/>
      <c r="F12" s="2805"/>
      <c r="G12" s="2805"/>
      <c r="H12" s="2805"/>
      <c r="I12" s="2805"/>
    </row>
    <row r="13" spans="1:9" ht="15.75" thickBot="1">
      <c r="A13" s="2812" t="s">
        <v>1277</v>
      </c>
      <c r="B13" s="2812"/>
      <c r="C13" s="2812"/>
      <c r="D13" s="2813">
        <f>IF('数据-取费表'!E3="否",结果表!D130,'结果表 (1修多)'!D133)</f>
        <v>0</v>
      </c>
      <c r="E13" s="2813"/>
      <c r="F13" s="2813"/>
      <c r="G13" s="2813"/>
      <c r="H13" s="2813"/>
      <c r="I13" s="2813"/>
    </row>
    <row r="14" spans="1:9" ht="15" thickTop="1">
      <c r="A14" s="2814" t="str">
        <f>IF('数据-取费表'!E3="否",结果表!A131,'结果表 (1修多)'!A134)</f>
        <v>单位：平方米、万元、元/平方米（币种：人民币）</v>
      </c>
      <c r="B14" s="2814"/>
      <c r="C14" s="2814"/>
      <c r="D14" s="2814"/>
      <c r="E14" s="2814"/>
      <c r="F14" s="2814"/>
      <c r="G14" s="2814"/>
      <c r="H14" s="2814"/>
      <c r="I14" s="2814"/>
    </row>
    <row r="15" spans="1:9">
      <c r="A15" s="714"/>
      <c r="B15" s="714"/>
      <c r="C15" s="714"/>
      <c r="D15" s="714"/>
      <c r="E15" s="714"/>
      <c r="F15" s="714"/>
      <c r="G15" s="714"/>
      <c r="H15" s="714"/>
      <c r="I15" s="714"/>
    </row>
    <row r="16" spans="1:9" ht="18.75">
      <c r="A16" s="1938"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5" customWidth="1"/>
    <col min="2" max="2" width="24" style="1895" customWidth="1"/>
    <col min="3" max="3" width="23.25" style="1895" customWidth="1"/>
    <col min="4" max="4" width="21" style="1895" customWidth="1"/>
    <col min="5" max="16384" width="9" style="1895"/>
  </cols>
  <sheetData>
    <row r="1" spans="1:4" ht="18.75">
      <c r="A1" s="2819" t="s">
        <v>1291</v>
      </c>
      <c r="B1" s="2819"/>
      <c r="C1" s="2819"/>
      <c r="D1" s="2819"/>
    </row>
    <row r="2" spans="1:4" ht="18">
      <c r="A2" s="2818" t="s">
        <v>1279</v>
      </c>
      <c r="B2" s="2818"/>
      <c r="C2" s="2818"/>
      <c r="D2" s="2818"/>
    </row>
    <row r="3" spans="1:4" ht="18.75">
      <c r="A3" s="1939" t="s">
        <v>1280</v>
      </c>
      <c r="B3" s="1939" t="s">
        <v>1281</v>
      </c>
      <c r="C3" s="1939" t="s">
        <v>1282</v>
      </c>
      <c r="D3" s="1939" t="s">
        <v>1283</v>
      </c>
    </row>
    <row r="4" spans="1:4" ht="56.25" customHeight="1">
      <c r="A4" s="1940" t="str">
        <f>项目基本情况!B3</f>
        <v>吴薇</v>
      </c>
      <c r="B4" s="1941">
        <f ca="1">项目基本情况!C3</f>
        <v>1419970001</v>
      </c>
      <c r="C4" s="1942"/>
      <c r="D4" s="1943" t="s">
        <v>1292</v>
      </c>
    </row>
    <row r="5" spans="1:4" ht="56.25" customHeight="1">
      <c r="A5" s="1940" t="str">
        <f>项目基本情况!D3</f>
        <v>崔锴</v>
      </c>
      <c r="B5" s="1941">
        <f ca="1">项目基本情况!E3</f>
        <v>1120100036</v>
      </c>
      <c r="C5" s="1944"/>
      <c r="D5" s="1943" t="s">
        <v>1292</v>
      </c>
    </row>
    <row r="6" spans="1:4" ht="12" customHeight="1">
      <c r="A6" s="1940"/>
      <c r="B6" s="1941"/>
      <c r="C6" s="1945"/>
      <c r="D6" s="1943"/>
    </row>
    <row r="7" spans="1:4" ht="18">
      <c r="A7" s="2818" t="s">
        <v>1284</v>
      </c>
      <c r="B7" s="2818"/>
      <c r="C7" s="2818"/>
      <c r="D7" s="2818"/>
    </row>
    <row r="8" spans="1:4" ht="18.75">
      <c r="A8" s="1939" t="s">
        <v>1280</v>
      </c>
      <c r="B8" s="1941" t="s">
        <v>1285</v>
      </c>
      <c r="C8" s="1939" t="s">
        <v>1282</v>
      </c>
      <c r="D8" s="1939" t="s">
        <v>1283</v>
      </c>
    </row>
    <row r="9" spans="1:4" ht="56.25" customHeight="1">
      <c r="A9" s="1946" t="s">
        <v>781</v>
      </c>
      <c r="B9" s="1946" t="s">
        <v>782</v>
      </c>
      <c r="C9" s="1942"/>
      <c r="D9" s="1943" t="s">
        <v>1292</v>
      </c>
    </row>
    <row r="11" spans="1:4" ht="18.75">
      <c r="A11" s="1947" t="s">
        <v>1286</v>
      </c>
    </row>
    <row r="12" spans="1:4" ht="30" customHeight="1">
      <c r="A12" s="2815" t="s">
        <v>1293</v>
      </c>
      <c r="B12" s="2817"/>
      <c r="C12" s="2817"/>
      <c r="D12" s="2817"/>
    </row>
    <row r="13" spans="1:4" ht="15.75">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5" t="str">
        <f>IF(项目基本情况!D4="抵押","3.抵押双方在办理抵押登记手续时，应使用本公司出具的正式《房地产评估报告》，特提醒报告使用者注意。","——")</f>
        <v>——</v>
      </c>
      <c r="B14" s="2817"/>
      <c r="C14" s="2817"/>
      <c r="D14" s="2817"/>
    </row>
    <row r="15" spans="1:4" ht="15.75" customHeight="1">
      <c r="A15" s="2815" t="str">
        <f>IF(项目基本情况!D4="抵押","4.本次评估估价师所知悉的法定优先受偿款情况说明如下：","——")</f>
        <v>——</v>
      </c>
      <c r="B15" s="2817"/>
      <c r="C15" s="2817"/>
      <c r="D15" s="2817"/>
    </row>
    <row r="16" spans="1:4" ht="75" customHeight="1">
      <c r="A16" s="2815" t="str">
        <f>IF(项目基本情况!D4="抵押",CONCATENATE(项目基本情况!J13,项目基本情况!J14,项目基本情况!J15),"——")</f>
        <v>——</v>
      </c>
      <c r="B16" s="2815"/>
      <c r="C16" s="2815"/>
      <c r="D16" s="2815"/>
    </row>
    <row r="17" spans="1:4" ht="63.75" customHeight="1">
      <c r="A17" s="2816" t="s">
        <v>1294</v>
      </c>
      <c r="B17" s="2816"/>
      <c r="C17" s="2816"/>
      <c r="D17" s="2816"/>
    </row>
    <row r="18" spans="1:4" ht="15.75" customHeight="1">
      <c r="A18" s="2815" t="str">
        <f>IF(项目基本情况!D4="抵押",结果表!K106,"——")</f>
        <v>——</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6" t="s">
        <v>1287</v>
      </c>
      <c r="B20" s="2816"/>
      <c r="C20" s="2816"/>
      <c r="D20" s="2816"/>
    </row>
    <row r="21" spans="1:4">
      <c r="A21" s="1948"/>
      <c r="B21" s="1282"/>
      <c r="C21" s="1282"/>
      <c r="D21" s="1282"/>
    </row>
    <row r="22" spans="1:4">
      <c r="A22" s="1948"/>
      <c r="B22" s="1282"/>
      <c r="C22" s="1282"/>
      <c r="D22" s="1282"/>
    </row>
    <row r="23" spans="1:4" ht="18.75">
      <c r="A23" s="1909" t="s">
        <v>1288</v>
      </c>
    </row>
    <row r="24" spans="1:4" ht="18">
      <c r="A24" s="1909"/>
    </row>
    <row r="25" spans="1:4" ht="18.75">
      <c r="A25" s="1909" t="s">
        <v>1289</v>
      </c>
    </row>
    <row r="28" spans="1:4" ht="21" customHeight="1">
      <c r="D28" s="1949" t="s">
        <v>1290</v>
      </c>
    </row>
    <row r="29" spans="1:4" ht="21" customHeight="1">
      <c r="C29" s="1950"/>
      <c r="D29" s="195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7" customWidth="1"/>
    <col min="2" max="16384" width="14.5" style="714"/>
  </cols>
  <sheetData>
    <row r="1" spans="1:7" s="1938" customFormat="1" ht="18.75">
      <c r="A1" s="712" t="s">
        <v>1361</v>
      </c>
    </row>
    <row r="3" spans="1:7" ht="14.25">
      <c r="A3" s="1955" t="s">
        <v>1362</v>
      </c>
      <c r="B3" s="714" t="s">
        <v>1363</v>
      </c>
      <c r="G3" s="1956"/>
    </row>
    <row r="4" spans="1:7">
      <c r="G4" s="1956"/>
    </row>
    <row r="5" spans="1:7" ht="14.25">
      <c r="A5" s="1958" t="s">
        <v>1364</v>
      </c>
      <c r="B5" s="714" t="s">
        <v>1365</v>
      </c>
      <c r="G5" s="1956"/>
    </row>
    <row r="6" spans="1:7">
      <c r="G6" s="1956"/>
    </row>
    <row r="7" spans="1:7" ht="14.25">
      <c r="A7" s="1959" t="s">
        <v>1366</v>
      </c>
      <c r="B7" s="714" t="s">
        <v>1367</v>
      </c>
      <c r="G7" s="1956"/>
    </row>
    <row r="8" spans="1:7">
      <c r="G8" s="1956"/>
    </row>
    <row r="9" spans="1:7">
      <c r="A9" s="1960" t="s">
        <v>1368</v>
      </c>
      <c r="B9" s="714" t="s">
        <v>1369</v>
      </c>
    </row>
    <row r="11" spans="1:7">
      <c r="A11" s="1961" t="s">
        <v>1370</v>
      </c>
      <c r="B11" s="1962" t="s">
        <v>1371</v>
      </c>
    </row>
    <row r="13" spans="1:7">
      <c r="A13" s="1673" t="s">
        <v>1372</v>
      </c>
    </row>
    <row r="15" spans="1:7" ht="14.25">
      <c r="A15" s="2825" t="s">
        <v>1373</v>
      </c>
      <c r="B15" s="2820" t="s">
        <v>1374</v>
      </c>
      <c r="C15" s="2821"/>
    </row>
    <row r="16" spans="1:7" ht="14.25">
      <c r="A16" s="2826"/>
      <c r="B16" s="2820" t="s">
        <v>1375</v>
      </c>
      <c r="C16" s="2821"/>
    </row>
    <row r="17" spans="1:3" ht="14.25">
      <c r="A17" s="2826"/>
      <c r="B17" s="2820" t="s">
        <v>1376</v>
      </c>
      <c r="C17" s="2821"/>
    </row>
    <row r="18" spans="1:3" ht="14.25">
      <c r="A18" s="2827"/>
      <c r="B18" s="2822" t="s">
        <v>1377</v>
      </c>
      <c r="C18" s="2821"/>
    </row>
    <row r="19" spans="1:3" ht="14.25">
      <c r="A19" s="1963" t="s">
        <v>1378</v>
      </c>
      <c r="B19" s="1964"/>
      <c r="C19" s="1965"/>
    </row>
    <row r="20" spans="1:3" ht="14.25">
      <c r="A20" s="2823" t="s">
        <v>1379</v>
      </c>
      <c r="B20" s="2822" t="s">
        <v>1380</v>
      </c>
      <c r="C20" s="2821"/>
    </row>
    <row r="21" spans="1:3" ht="14.25">
      <c r="A21" s="2823"/>
      <c r="B21" s="2822" t="s">
        <v>1381</v>
      </c>
      <c r="C21" s="2821"/>
    </row>
    <row r="22" spans="1:3" ht="14.25">
      <c r="A22" s="2823"/>
      <c r="B22" s="2822" t="s">
        <v>1382</v>
      </c>
      <c r="C22" s="2821"/>
    </row>
    <row r="23" spans="1:3" ht="14.25">
      <c r="A23" s="2823"/>
      <c r="B23" s="2824" t="s">
        <v>1383</v>
      </c>
      <c r="C23" s="1966" t="s">
        <v>1384</v>
      </c>
    </row>
    <row r="24" spans="1:3" ht="14.25">
      <c r="A24" s="2823"/>
      <c r="B24" s="2824"/>
      <c r="C24" s="1966" t="s">
        <v>1385</v>
      </c>
    </row>
    <row r="25" spans="1:3" ht="14.25">
      <c r="A25" s="2823"/>
      <c r="B25" s="2824"/>
      <c r="C25" s="1966" t="s">
        <v>1386</v>
      </c>
    </row>
    <row r="26" spans="1:3" ht="14.25">
      <c r="A26" s="2823"/>
      <c r="B26" s="2824"/>
      <c r="C26" s="1966" t="s">
        <v>1387</v>
      </c>
    </row>
    <row r="27" spans="1:3" ht="14.25">
      <c r="A27" s="2823"/>
      <c r="B27" s="2824"/>
      <c r="C27" s="1966" t="s">
        <v>1388</v>
      </c>
    </row>
    <row r="28" spans="1:3" ht="14.25">
      <c r="A28" s="2823"/>
      <c r="B28" s="2824"/>
      <c r="C28" s="1966" t="s">
        <v>1389</v>
      </c>
    </row>
    <row r="29" spans="1:3" ht="14.25">
      <c r="A29" s="2823"/>
      <c r="B29" s="2824"/>
      <c r="C29" s="1966" t="s">
        <v>1390</v>
      </c>
    </row>
    <row r="30" spans="1:3" ht="14.25">
      <c r="A30" s="2823"/>
      <c r="B30" s="2824"/>
      <c r="C30" s="1966" t="s">
        <v>1391</v>
      </c>
    </row>
    <row r="31" spans="1:3" ht="14.25">
      <c r="A31" s="2823"/>
      <c r="B31" s="2824"/>
      <c r="C31" s="1966" t="s">
        <v>1392</v>
      </c>
    </row>
    <row r="32" spans="1:3">
      <c r="A32" s="1967"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C23" sqref="C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44000</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2" t="s">
        <v>753</v>
      </c>
      <c r="B4" s="1025">
        <f ca="1">IF(C4&lt;B2,"已过期",1119970066)</f>
        <v>1119970066</v>
      </c>
      <c r="C4" s="1803">
        <v>44876</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c r="B5" s="1025"/>
      <c r="C5" s="1803"/>
      <c r="D5" s="1804" t="str">
        <f t="shared" ref="D5:D23" si="0">A5&amp;"（注册号："&amp;B5&amp;"）"</f>
        <v>（注册号：）</v>
      </c>
      <c r="E5" s="1802"/>
      <c r="F5" s="1025"/>
      <c r="G5" s="1033"/>
      <c r="H5" s="1805" t="str">
        <f t="shared" ref="H5:H24" si="1">E5&amp;"（注册号："&amp;F5&amp;"）"</f>
        <v>（注册号：）</v>
      </c>
    </row>
    <row r="6" spans="1:8" ht="24" customHeight="1">
      <c r="A6" s="1802" t="s">
        <v>754</v>
      </c>
      <c r="B6" s="1025">
        <f ca="1">IF(C6&lt;B2,"已过期",1119970111)</f>
        <v>1119970111</v>
      </c>
      <c r="C6" s="1803">
        <v>44876</v>
      </c>
      <c r="D6" s="1804" t="str">
        <f t="shared" ca="1" si="0"/>
        <v>叶凌（注册号：1119970111）</v>
      </c>
      <c r="E6" s="1802" t="s">
        <v>754</v>
      </c>
      <c r="F6" s="1025">
        <f ca="1">IF(G6&lt;B2,"已过期",94010078)</f>
        <v>94010078</v>
      </c>
      <c r="G6" s="1033">
        <v>46387</v>
      </c>
      <c r="H6" s="1805" t="str">
        <f t="shared" ca="1" si="1"/>
        <v>叶凌（注册号：94010078）</v>
      </c>
    </row>
    <row r="7" spans="1:8" ht="24" customHeight="1">
      <c r="A7" s="1802" t="s">
        <v>755</v>
      </c>
      <c r="B7" s="1025">
        <f ca="1">IF(C7&lt;B2,"已过期",1120050019)</f>
        <v>1120050019</v>
      </c>
      <c r="C7" s="1803">
        <v>44395</v>
      </c>
      <c r="D7" s="1804" t="str">
        <f t="shared" ca="1" si="0"/>
        <v>王鹏（注册号：1120050019）</v>
      </c>
      <c r="E7" s="1802" t="s">
        <v>755</v>
      </c>
      <c r="F7" s="1025">
        <f ca="1">IF(G7&lt;B2,"已过期",2002110030)</f>
        <v>2002110030</v>
      </c>
      <c r="G7" s="1033">
        <v>46387</v>
      </c>
      <c r="H7" s="1805" t="str">
        <f t="shared" ca="1" si="1"/>
        <v>王鹏（注册号：2002110030）</v>
      </c>
    </row>
    <row r="8" spans="1:8" ht="24" customHeight="1">
      <c r="A8" s="1802" t="s">
        <v>756</v>
      </c>
      <c r="B8" s="1025">
        <f ca="1">IF(C8&lt;B2,"已过期",1120000080)</f>
        <v>1120000080</v>
      </c>
      <c r="C8" s="1803">
        <v>44876</v>
      </c>
      <c r="D8" s="1804" t="str">
        <f t="shared" ca="1" si="0"/>
        <v>欧红伟（注册号：1120000080）</v>
      </c>
      <c r="E8" s="1802" t="s">
        <v>756</v>
      </c>
      <c r="F8" s="1025">
        <f ca="1">IF(G8&lt;B2,"已过期",2000110082)</f>
        <v>2000110082</v>
      </c>
      <c r="G8" s="1033">
        <v>46387</v>
      </c>
      <c r="H8" s="1805" t="str">
        <f t="shared" ca="1" si="1"/>
        <v>欧红伟（注册号：2000110082）</v>
      </c>
    </row>
    <row r="9" spans="1:8" ht="24" customHeight="1">
      <c r="A9" s="1802" t="s">
        <v>757</v>
      </c>
      <c r="B9" s="1025">
        <f ca="1">IF(C9&lt;B2,"已过期",1419970001)</f>
        <v>1419970001</v>
      </c>
      <c r="C9" s="1803">
        <v>44899</v>
      </c>
      <c r="D9" s="1804" t="str">
        <f t="shared" ca="1" si="0"/>
        <v>吴薇（注册号：1419970001）</v>
      </c>
      <c r="E9" s="1802" t="s">
        <v>757</v>
      </c>
      <c r="F9" s="1025">
        <f ca="1">IF(G9&lt;B2,"已过期",2002110125)</f>
        <v>2002110125</v>
      </c>
      <c r="G9" s="1033">
        <v>47118</v>
      </c>
      <c r="H9" s="1805" t="str">
        <f t="shared" ca="1" si="1"/>
        <v>吴薇（注册号：2002110125）</v>
      </c>
    </row>
    <row r="10" spans="1:8" ht="24" customHeight="1">
      <c r="A10" s="1802" t="s">
        <v>758</v>
      </c>
      <c r="B10" s="1025">
        <f ca="1">IF(C10&lt;B2,"已过期",1120060040)</f>
        <v>1120060040</v>
      </c>
      <c r="C10" s="2703">
        <v>44554</v>
      </c>
      <c r="D10" s="1804" t="str">
        <f t="shared" ca="1" si="0"/>
        <v>陈颖（注册号：1120060040）</v>
      </c>
      <c r="E10" s="1802" t="s">
        <v>758</v>
      </c>
      <c r="F10" s="1025">
        <f ca="1">IF(G10&lt;B2,"已过期",2004110096)</f>
        <v>2004110096</v>
      </c>
      <c r="G10" s="1033">
        <v>47118</v>
      </c>
      <c r="H10" s="1805" t="str">
        <f t="shared" ca="1" si="1"/>
        <v>陈颖（注册号：2004110096）</v>
      </c>
    </row>
    <row r="11" spans="1:8" ht="24" customHeight="1">
      <c r="A11" s="1802" t="s">
        <v>759</v>
      </c>
      <c r="B11" s="1025">
        <f ca="1">IF(C11&lt;B2,"已过期",1120100036)</f>
        <v>1120100036</v>
      </c>
      <c r="C11" s="2703">
        <v>44675</v>
      </c>
      <c r="D11" s="1804" t="str">
        <f t="shared" ca="1" si="0"/>
        <v>崔锴（注册号：1120100036）</v>
      </c>
      <c r="E11" s="1802" t="s">
        <v>759</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760</v>
      </c>
      <c r="B13" s="1025">
        <f ca="1">IF(C13&lt;B2,"已过期",1120070131)</f>
        <v>1120070131</v>
      </c>
      <c r="C13" s="1803">
        <v>44849</v>
      </c>
      <c r="D13" s="1804" t="str">
        <f t="shared" ca="1" si="0"/>
        <v>郑燚（注册号：1120070131）</v>
      </c>
      <c r="E13" s="1802" t="s">
        <v>760</v>
      </c>
      <c r="F13" s="1025">
        <f ca="1">IF(G13&lt;B2,"已过期",2014110011)</f>
        <v>2014110011</v>
      </c>
      <c r="G13" s="1033">
        <v>49302</v>
      </c>
      <c r="H13" s="1805" t="str">
        <f t="shared" ca="1" si="1"/>
        <v>郑燚（注册号：2014110011）</v>
      </c>
    </row>
    <row r="14" spans="1:8" ht="24" customHeight="1">
      <c r="A14" s="1802" t="s">
        <v>2800</v>
      </c>
      <c r="B14" s="1025">
        <f ca="1">IF(C14&lt;B2,"已过期",1120040230)</f>
        <v>1120040230</v>
      </c>
      <c r="C14" s="2703">
        <v>44864</v>
      </c>
      <c r="D14" s="1804" t="str">
        <f t="shared" ca="1" si="0"/>
        <v>苏海（注册号：1120040230）</v>
      </c>
      <c r="E14" s="2704" t="s">
        <v>2800</v>
      </c>
      <c r="F14" s="1025">
        <f ca="1">IF(G14&lt;B2,"已过期",98030020)</f>
        <v>98030020</v>
      </c>
      <c r="G14" s="1033">
        <v>47118</v>
      </c>
      <c r="H14" s="1805" t="str">
        <f t="shared" ca="1" si="1"/>
        <v>苏海（注册号：98030020）</v>
      </c>
    </row>
    <row r="15" spans="1:8" ht="24" customHeight="1">
      <c r="A15" s="1806"/>
      <c r="B15" s="1025"/>
      <c r="C15" s="2703"/>
      <c r="D15" s="1804" t="str">
        <f t="shared" si="0"/>
        <v>（注册号：）</v>
      </c>
      <c r="E15" s="1806"/>
      <c r="F15" s="1025"/>
      <c r="G15" s="1026"/>
      <c r="H15" s="1805" t="str">
        <f t="shared" si="1"/>
        <v>（注册号：）</v>
      </c>
    </row>
    <row r="16" spans="1:8" s="1027" customFormat="1" ht="24" customHeight="1">
      <c r="A16" s="1802"/>
      <c r="B16" s="1025"/>
      <c r="C16" s="1803"/>
      <c r="D16" s="1804" t="str">
        <f t="shared" si="0"/>
        <v>（注册号：）</v>
      </c>
      <c r="E16" s="1802"/>
      <c r="F16" s="1025"/>
      <c r="G16" s="1033"/>
      <c r="H16" s="1805" t="str">
        <f t="shared" si="1"/>
        <v>（注册号：）</v>
      </c>
    </row>
    <row r="17" spans="1:8" ht="24" customHeight="1">
      <c r="A17" s="1802"/>
      <c r="B17" s="1025"/>
      <c r="C17" s="1803"/>
      <c r="D17" s="1804"/>
      <c r="E17" s="2704"/>
      <c r="F17" s="1025"/>
      <c r="G17" s="1033"/>
      <c r="H17" s="1805" t="str">
        <f t="shared" si="1"/>
        <v>（注册号：）</v>
      </c>
    </row>
    <row r="18" spans="1:8" ht="24" customHeight="1">
      <c r="A18" s="1802" t="s">
        <v>2816</v>
      </c>
      <c r="B18" s="1025">
        <v>1120190079</v>
      </c>
      <c r="C18" s="1803">
        <v>44826</v>
      </c>
      <c r="D18" s="1804" t="str">
        <f t="shared" si="0"/>
        <v>赵璠（注册号：1120190079）</v>
      </c>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762</v>
      </c>
      <c r="F21" s="1025">
        <f ca="1">IF(G21&lt;B2,"已过期",2011110090)</f>
        <v>2011110090</v>
      </c>
      <c r="G21" s="1033">
        <v>48302</v>
      </c>
      <c r="H21" s="1805" t="str">
        <f t="shared" ca="1" si="1"/>
        <v>赵雯（注册号：2011110090）</v>
      </c>
    </row>
    <row r="22" spans="1:8" ht="24" customHeight="1">
      <c r="A22" s="1802" t="s">
        <v>763</v>
      </c>
      <c r="B22" s="1025">
        <f ca="1">IF(C22&lt;B2,"已过期",1120020033)</f>
        <v>1120020033</v>
      </c>
      <c r="C22" s="1803">
        <v>44339</v>
      </c>
      <c r="D22" s="1804" t="str">
        <f t="shared" ca="1" si="0"/>
        <v>刘敬东（注册号：1120020033）</v>
      </c>
      <c r="E22" s="1802" t="s">
        <v>763</v>
      </c>
      <c r="F22" s="1025">
        <f ca="1">IF(G22&lt;B2,"已过期",2000110137)</f>
        <v>2000110137</v>
      </c>
      <c r="G22" s="1033">
        <v>46387</v>
      </c>
      <c r="H22" s="1805" t="str">
        <f t="shared" ca="1" si="1"/>
        <v>刘敬东（注册号：2000110137）</v>
      </c>
    </row>
    <row r="23" spans="1:8" ht="24" customHeight="1">
      <c r="A23" s="1802" t="s">
        <v>2818</v>
      </c>
      <c r="B23" s="1025">
        <v>1119980106</v>
      </c>
      <c r="C23" s="2703">
        <v>44969</v>
      </c>
      <c r="D23" s="1804" t="str">
        <f t="shared" si="0"/>
        <v>刘俊财（注册号：1119980106）</v>
      </c>
      <c r="E23" s="1802"/>
      <c r="F23" s="1025"/>
      <c r="G23" s="1025"/>
      <c r="H23" s="1805" t="str">
        <f t="shared" si="1"/>
        <v>（注册号：）</v>
      </c>
    </row>
    <row r="24" spans="1:8" s="1027" customFormat="1" ht="24" customHeight="1">
      <c r="A24" s="1025" t="s">
        <v>761</v>
      </c>
      <c r="B24" s="1025" t="s">
        <v>761</v>
      </c>
      <c r="C24" s="1025" t="s">
        <v>761</v>
      </c>
      <c r="D24" s="1804" t="str">
        <f>A24&amp;"（注册号："&amp;B24&amp;"）"</f>
        <v>——（注册号：——）</v>
      </c>
      <c r="E24" s="1025" t="s">
        <v>761</v>
      </c>
      <c r="F24" s="1025" t="s">
        <v>761</v>
      </c>
      <c r="G24" s="1025" t="s">
        <v>761</v>
      </c>
      <c r="H24" s="1805" t="str">
        <f t="shared" si="1"/>
        <v>——（注册号：——）</v>
      </c>
    </row>
    <row r="25" spans="1:8" ht="24" customHeight="1">
      <c r="A25" s="2828" t="s">
        <v>764</v>
      </c>
      <c r="B25" s="2828"/>
      <c r="C25" s="2828"/>
      <c r="D25" s="2828"/>
      <c r="E25" s="2828"/>
      <c r="F25" s="2828"/>
      <c r="G25" s="2828"/>
      <c r="H25" s="2828"/>
    </row>
    <row r="26" spans="1:8" s="1028" customFormat="1" ht="24" customHeight="1">
      <c r="A26" s="2829" t="s">
        <v>765</v>
      </c>
      <c r="B26" s="2829"/>
      <c r="C26" s="2829"/>
      <c r="D26" s="1056"/>
      <c r="E26" s="1056"/>
      <c r="F26" s="2829" t="s">
        <v>766</v>
      </c>
      <c r="G26" s="2829"/>
      <c r="H26" s="2829"/>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2817</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42" priority="96">
      <formula>AND($C24-TODAY()&lt;30,TODAY()&lt;$C24)</formula>
    </cfRule>
  </conditionalFormatting>
  <conditionalFormatting sqref="C28:E28">
    <cfRule type="expression" dxfId="241" priority="95">
      <formula>AND($C28-TODAY()&lt;30,TODAY()&lt;$C28)</formula>
    </cfRule>
  </conditionalFormatting>
  <conditionalFormatting sqref="C28:E28 G4">
    <cfRule type="cellIs" dxfId="240" priority="97" stopIfTrue="1" operator="lessThan">
      <formula>$B$2</formula>
    </cfRule>
  </conditionalFormatting>
  <conditionalFormatting sqref="D5">
    <cfRule type="expression" dxfId="239" priority="92">
      <formula>AND($C5-TODAY()&lt;30,TODAY()&lt;$C5)</formula>
    </cfRule>
  </conditionalFormatting>
  <conditionalFormatting sqref="D5 G5">
    <cfRule type="cellIs" dxfId="238" priority="93" stopIfTrue="1" operator="lessThan">
      <formula>$B$2</formula>
    </cfRule>
  </conditionalFormatting>
  <conditionalFormatting sqref="G6 G8 G10">
    <cfRule type="cellIs" dxfId="237" priority="91" stopIfTrue="1" operator="lessThan">
      <formula>$B$2</formula>
    </cfRule>
  </conditionalFormatting>
  <conditionalFormatting sqref="C7:D7 D4:D6 C12:D12 D13:D15 D8:D11 C16:D22 D23:D24">
    <cfRule type="expression" dxfId="236" priority="89">
      <formula>AND($C4-TODAY()&lt;30,TODAY()&lt;$C4)</formula>
    </cfRule>
  </conditionalFormatting>
  <conditionalFormatting sqref="G7 G9 G11 C7:D7 D4:D6 C12:D12 D13:D15 D8:D11 C16:D22 D23:D24">
    <cfRule type="cellIs" dxfId="235" priority="90" stopIfTrue="1" operator="lessThan">
      <formula>$B$2</formula>
    </cfRule>
  </conditionalFormatting>
  <conditionalFormatting sqref="C12:D12">
    <cfRule type="expression" dxfId="234" priority="87">
      <formula>AND($C12-TODAY()&lt;30,TODAY()&lt;$C12)</formula>
    </cfRule>
  </conditionalFormatting>
  <conditionalFormatting sqref="C12:D12">
    <cfRule type="cellIs" dxfId="233" priority="88" stopIfTrue="1" operator="lessThan">
      <formula>$B$2</formula>
    </cfRule>
  </conditionalFormatting>
  <conditionalFormatting sqref="D14">
    <cfRule type="expression" dxfId="232" priority="83">
      <formula>AND($C14-TODAY()&lt;30,TODAY()&lt;$C14)</formula>
    </cfRule>
  </conditionalFormatting>
  <conditionalFormatting sqref="D14">
    <cfRule type="cellIs" dxfId="231" priority="84" stopIfTrue="1" operator="lessThan">
      <formula>$B$2</formula>
    </cfRule>
  </conditionalFormatting>
  <conditionalFormatting sqref="C16:D16">
    <cfRule type="expression" dxfId="230" priority="81">
      <formula>AND($C16-TODAY()&lt;30,TODAY()&lt;$C16)</formula>
    </cfRule>
  </conditionalFormatting>
  <conditionalFormatting sqref="C16:D16">
    <cfRule type="cellIs" dxfId="229" priority="82" stopIfTrue="1" operator="lessThan">
      <formula>$B$2</formula>
    </cfRule>
  </conditionalFormatting>
  <conditionalFormatting sqref="C18:D18">
    <cfRule type="expression" dxfId="228" priority="79">
      <formula>AND($C18-TODAY()&lt;30,TODAY()&lt;$C18)</formula>
    </cfRule>
  </conditionalFormatting>
  <conditionalFormatting sqref="C18:D18">
    <cfRule type="cellIs" dxfId="227" priority="80" stopIfTrue="1" operator="lessThan">
      <formula>$B$2</formula>
    </cfRule>
  </conditionalFormatting>
  <conditionalFormatting sqref="C20:D20">
    <cfRule type="expression" dxfId="226" priority="77">
      <formula>AND($C20-TODAY()&lt;30,TODAY()&lt;$C20)</formula>
    </cfRule>
  </conditionalFormatting>
  <conditionalFormatting sqref="C20:D20">
    <cfRule type="cellIs" dxfId="225" priority="78" stopIfTrue="1" operator="lessThan">
      <formula>$B$2</formula>
    </cfRule>
  </conditionalFormatting>
  <conditionalFormatting sqref="C22:D22">
    <cfRule type="expression" dxfId="224" priority="75">
      <formula>AND($C22-TODAY()&lt;30,TODAY()&lt;$C22)</formula>
    </cfRule>
  </conditionalFormatting>
  <conditionalFormatting sqref="C22:D22">
    <cfRule type="cellIs" dxfId="223" priority="76" stopIfTrue="1" operator="lessThan">
      <formula>$B$2</formula>
    </cfRule>
  </conditionalFormatting>
  <conditionalFormatting sqref="D15">
    <cfRule type="expression" dxfId="222" priority="73">
      <formula>AND($C15-TODAY()&lt;30,TODAY()&lt;$C15)</formula>
    </cfRule>
  </conditionalFormatting>
  <conditionalFormatting sqref="D15">
    <cfRule type="cellIs" dxfId="221" priority="74" stopIfTrue="1" operator="lessThan">
      <formula>$B$2</formula>
    </cfRule>
  </conditionalFormatting>
  <conditionalFormatting sqref="C17:D17">
    <cfRule type="expression" dxfId="220" priority="71">
      <formula>AND($C17-TODAY()&lt;30,TODAY()&lt;$C17)</formula>
    </cfRule>
  </conditionalFormatting>
  <conditionalFormatting sqref="C17:D17">
    <cfRule type="cellIs" dxfId="219" priority="72" stopIfTrue="1" operator="lessThan">
      <formula>$B$2</formula>
    </cfRule>
  </conditionalFormatting>
  <conditionalFormatting sqref="C19:D19">
    <cfRule type="expression" dxfId="218" priority="69">
      <formula>AND($C19-TODAY()&lt;30,TODAY()&lt;$C19)</formula>
    </cfRule>
  </conditionalFormatting>
  <conditionalFormatting sqref="C19:D19">
    <cfRule type="cellIs" dxfId="217" priority="70" stopIfTrue="1" operator="lessThan">
      <formula>$B$2</formula>
    </cfRule>
  </conditionalFormatting>
  <conditionalFormatting sqref="C21:D21">
    <cfRule type="expression" dxfId="216" priority="67">
      <formula>AND($C21-TODAY()&lt;30,TODAY()&lt;$C21)</formula>
    </cfRule>
  </conditionalFormatting>
  <conditionalFormatting sqref="C21:D21">
    <cfRule type="cellIs" dxfId="215" priority="68" stopIfTrue="1" operator="lessThan">
      <formula>$B$2</formula>
    </cfRule>
  </conditionalFormatting>
  <conditionalFormatting sqref="D23">
    <cfRule type="expression" dxfId="214" priority="65">
      <formula>AND($C23-TODAY()&lt;30,TODAY()&lt;$C23)</formula>
    </cfRule>
  </conditionalFormatting>
  <conditionalFormatting sqref="D23">
    <cfRule type="cellIs" dxfId="213" priority="66" stopIfTrue="1" operator="lessThan">
      <formula>$B$2</formula>
    </cfRule>
  </conditionalFormatting>
  <conditionalFormatting sqref="G16">
    <cfRule type="cellIs" dxfId="212" priority="63" stopIfTrue="1" operator="lessThan">
      <formula>$B$2</formula>
    </cfRule>
  </conditionalFormatting>
  <conditionalFormatting sqref="G18">
    <cfRule type="cellIs" dxfId="211" priority="62" stopIfTrue="1" operator="lessThan">
      <formula>$B$2</formula>
    </cfRule>
  </conditionalFormatting>
  <conditionalFormatting sqref="G22">
    <cfRule type="cellIs" dxfId="210" priority="61" stopIfTrue="1" operator="lessThan">
      <formula>$B$2</formula>
    </cfRule>
  </conditionalFormatting>
  <conditionalFormatting sqref="G21">
    <cfRule type="cellIs" dxfId="209" priority="60" stopIfTrue="1" operator="lessThan">
      <formula>$B$2</formula>
    </cfRule>
  </conditionalFormatting>
  <conditionalFormatting sqref="B4:B13 F4:F13 B16:B22 F16 F18:F23">
    <cfRule type="cellIs" dxfId="208" priority="58" stopIfTrue="1" operator="equal">
      <formula>"已过期"</formula>
    </cfRule>
  </conditionalFormatting>
  <conditionalFormatting sqref="H28">
    <cfRule type="expression" dxfId="207" priority="56">
      <formula>AND($F28-TODAY()&lt;30,TODAY()&lt;$F28)</formula>
    </cfRule>
  </conditionalFormatting>
  <conditionalFormatting sqref="H28">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cfRule type="cellIs" dxfId="204" priority="53" stopIfTrue="1" operator="lessThan">
      <formula>$B$2</formula>
    </cfRule>
  </conditionalFormatting>
  <conditionalFormatting sqref="C4:C6">
    <cfRule type="expression" dxfId="203" priority="50">
      <formula>AND($C4-TODAY()&lt;30,TODAY()&lt;$C4)</formula>
    </cfRule>
  </conditionalFormatting>
  <conditionalFormatting sqref="C4:C6">
    <cfRule type="cellIs" dxfId="202" priority="51" stopIfTrue="1" operator="lessThan">
      <formula>$B$2</formula>
    </cfRule>
  </conditionalFormatting>
  <conditionalFormatting sqref="C8">
    <cfRule type="expression" dxfId="201" priority="48">
      <formula>AND($C8-TODAY()&lt;30,TODAY()&lt;$C8)</formula>
    </cfRule>
  </conditionalFormatting>
  <conditionalFormatting sqref="C8">
    <cfRule type="cellIs" dxfId="200" priority="49" stopIfTrue="1" operator="lessThan">
      <formula>$B$2</formula>
    </cfRule>
  </conditionalFormatting>
  <conditionalFormatting sqref="C9">
    <cfRule type="expression" dxfId="199" priority="46">
      <formula>AND($C9-TODAY()&lt;30,TODAY()&lt;$C9)</formula>
    </cfRule>
  </conditionalFormatting>
  <conditionalFormatting sqref="C9">
    <cfRule type="cellIs" dxfId="198" priority="47" stopIfTrue="1" operator="lessThan">
      <formula>$B$2</formula>
    </cfRule>
  </conditionalFormatting>
  <conditionalFormatting sqref="C13">
    <cfRule type="expression" dxfId="197" priority="44">
      <formula>AND($C13-TODAY()&lt;30,TODAY()&lt;$C13)</formula>
    </cfRule>
  </conditionalFormatting>
  <conditionalFormatting sqref="C13">
    <cfRule type="cellIs" dxfId="196" priority="45" stopIfTrue="1" operator="lessThan">
      <formula>$B$2</formula>
    </cfRule>
  </conditionalFormatting>
  <conditionalFormatting sqref="F15">
    <cfRule type="cellIs" dxfId="195" priority="36" stopIfTrue="1" operator="equal">
      <formula>"已过期"</formula>
    </cfRule>
  </conditionalFormatting>
  <conditionalFormatting sqref="E15">
    <cfRule type="cellIs" dxfId="194" priority="35" stopIfTrue="1" operator="equal">
      <formula>"已过期"</formula>
    </cfRule>
  </conditionalFormatting>
  <conditionalFormatting sqref="A24:C24">
    <cfRule type="cellIs" dxfId="193" priority="34" stopIfTrue="1" operator="equal">
      <formula>"已过期"</formula>
    </cfRule>
  </conditionalFormatting>
  <conditionalFormatting sqref="E24:G24">
    <cfRule type="cellIs" dxfId="192" priority="33" stopIfTrue="1" operator="equal">
      <formula>"已过期"</formula>
    </cfRule>
  </conditionalFormatting>
  <conditionalFormatting sqref="G13">
    <cfRule type="cellIs" dxfId="191" priority="32" stopIfTrue="1" operator="lessThan">
      <formula>$B$2</formula>
    </cfRule>
  </conditionalFormatting>
  <conditionalFormatting sqref="G12">
    <cfRule type="cellIs" dxfId="190" priority="31" stopIfTrue="1" operator="lessThan">
      <formula>$B$2</formula>
    </cfRule>
  </conditionalFormatting>
  <conditionalFormatting sqref="G17">
    <cfRule type="cellIs" dxfId="189" priority="25" stopIfTrue="1" operator="lessThan">
      <formula>$B$2</formula>
    </cfRule>
  </conditionalFormatting>
  <conditionalFormatting sqref="F17">
    <cfRule type="cellIs" dxfId="188" priority="24" stopIfTrue="1" operator="equal">
      <formula>"已过期"</formula>
    </cfRule>
  </conditionalFormatting>
  <conditionalFormatting sqref="F14">
    <cfRule type="cellIs" dxfId="187" priority="23" stopIfTrue="1" operator="equal">
      <formula>"已过期"</formula>
    </cfRule>
  </conditionalFormatting>
  <conditionalFormatting sqref="G14">
    <cfRule type="cellIs" dxfId="186" priority="22" stopIfTrue="1" operator="lessThan">
      <formula>$B$2</formula>
    </cfRule>
  </conditionalFormatting>
  <conditionalFormatting sqref="C14:C15">
    <cfRule type="expression" dxfId="185" priority="20">
      <formula>AND($C14-TODAY()&lt;30,TODAY()&lt;$C14)</formula>
    </cfRule>
  </conditionalFormatting>
  <conditionalFormatting sqref="C14:C15">
    <cfRule type="cellIs" dxfId="184" priority="21" stopIfTrue="1" operator="lessThan">
      <formula>$B$2</formula>
    </cfRule>
  </conditionalFormatting>
  <conditionalFormatting sqref="C14">
    <cfRule type="expression" dxfId="183" priority="18">
      <formula>AND($C14-TODAY()&lt;30,TODAY()&lt;$C14)</formula>
    </cfRule>
  </conditionalFormatting>
  <conditionalFormatting sqref="C14">
    <cfRule type="cellIs" dxfId="182" priority="19" stopIfTrue="1" operator="lessThan">
      <formula>$B$2</formula>
    </cfRule>
  </conditionalFormatting>
  <conditionalFormatting sqref="C15">
    <cfRule type="expression" dxfId="181" priority="16">
      <formula>AND($C15-TODAY()&lt;30,TODAY()&lt;$C15)</formula>
    </cfRule>
  </conditionalFormatting>
  <conditionalFormatting sqref="C15">
    <cfRule type="cellIs" dxfId="180" priority="17" stopIfTrue="1" operator="lessThan">
      <formula>$B$2</formula>
    </cfRule>
  </conditionalFormatting>
  <conditionalFormatting sqref="B14">
    <cfRule type="cellIs" dxfId="179" priority="15" stopIfTrue="1" operator="equal">
      <formula>"已过期"</formula>
    </cfRule>
  </conditionalFormatting>
  <conditionalFormatting sqref="B15">
    <cfRule type="cellIs" dxfId="178" priority="14" stopIfTrue="1" operator="equal">
      <formula>"已过期"</formula>
    </cfRule>
  </conditionalFormatting>
  <conditionalFormatting sqref="A15">
    <cfRule type="cellIs" dxfId="177" priority="13" stopIfTrue="1" operator="equal">
      <formula>"已过期"</formula>
    </cfRule>
  </conditionalFormatting>
  <conditionalFormatting sqref="C15">
    <cfRule type="expression" dxfId="176" priority="12">
      <formula>AND($C15-TODAY()&lt;30,TODAY()&lt;$C15)</formula>
    </cfRule>
  </conditionalFormatting>
  <conditionalFormatting sqref="C10:C11">
    <cfRule type="expression" dxfId="175" priority="10">
      <formula>AND($C10-TODAY()&lt;30,TODAY()&lt;$C10)</formula>
    </cfRule>
  </conditionalFormatting>
  <conditionalFormatting sqref="C10:C11">
    <cfRule type="cellIs" dxfId="174" priority="11" stopIfTrue="1" operator="lessThan">
      <formula>$B$2</formula>
    </cfRule>
  </conditionalFormatting>
  <conditionalFormatting sqref="H29">
    <cfRule type="expression" dxfId="173" priority="8" stopIfTrue="1">
      <formula>AND($E29-TODAY()&lt;30,TODAY()&lt;$E29)</formula>
    </cfRule>
  </conditionalFormatting>
  <conditionalFormatting sqref="H29">
    <cfRule type="cellIs" dxfId="172" priority="9" stopIfTrue="1" operator="lessThan">
      <formula>$B$2</formula>
    </cfRule>
  </conditionalFormatting>
  <conditionalFormatting sqref="D18">
    <cfRule type="expression" dxfId="171" priority="6">
      <formula>AND($C18-TODAY()&lt;30,TODAY()&lt;$C18)</formula>
    </cfRule>
  </conditionalFormatting>
  <conditionalFormatting sqref="D18">
    <cfRule type="cellIs" dxfId="170" priority="7" stopIfTrue="1" operator="lessThan">
      <formula>$B$2</formula>
    </cfRule>
  </conditionalFormatting>
  <conditionalFormatting sqref="C23">
    <cfRule type="expression" dxfId="169" priority="4">
      <formula>AND($C23-TODAY()&lt;30,TODAY()&lt;$C23)</formula>
    </cfRule>
  </conditionalFormatting>
  <conditionalFormatting sqref="C23">
    <cfRule type="cellIs" dxfId="168" priority="5" stopIfTrue="1" operator="lessThan">
      <formula>$B$2</formula>
    </cfRule>
  </conditionalFormatting>
  <conditionalFormatting sqref="C23">
    <cfRule type="expression" dxfId="167" priority="2">
      <formula>AND($C23-TODAY()&lt;30,TODAY()&lt;$C23)</formula>
    </cfRule>
  </conditionalFormatting>
  <conditionalFormatting sqref="C23">
    <cfRule type="cellIs" dxfId="166" priority="3" stopIfTrue="1" operator="lessThan">
      <formula>$B$2</formula>
    </cfRule>
  </conditionalFormatting>
  <conditionalFormatting sqref="B23">
    <cfRule type="cellIs" dxfId="165"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68" t="s">
        <v>1394</v>
      </c>
      <c r="B1" s="4" t="s">
        <v>1395</v>
      </c>
      <c r="C1" s="1969" t="s">
        <v>1396</v>
      </c>
      <c r="D1" s="5" t="s">
        <v>1397</v>
      </c>
      <c r="E1" s="5" t="s">
        <v>1398</v>
      </c>
      <c r="F1" s="5" t="s">
        <v>1399</v>
      </c>
      <c r="G1" s="5" t="s">
        <v>1400</v>
      </c>
      <c r="H1" s="5" t="s">
        <v>1401</v>
      </c>
      <c r="I1" s="5" t="s">
        <v>1402</v>
      </c>
      <c r="J1" s="5" t="s">
        <v>1403</v>
      </c>
      <c r="K1" s="5" t="s">
        <v>1404</v>
      </c>
      <c r="L1" s="5" t="s">
        <v>1405</v>
      </c>
      <c r="M1" s="5" t="s">
        <v>1406</v>
      </c>
      <c r="N1" s="5" t="s">
        <v>1407</v>
      </c>
      <c r="O1" s="5" t="s">
        <v>1408</v>
      </c>
      <c r="P1" s="1970" t="s">
        <v>1409</v>
      </c>
      <c r="Q1" s="1970" t="s">
        <v>1410</v>
      </c>
      <c r="R1" s="1970" t="s">
        <v>1411</v>
      </c>
      <c r="S1" s="5" t="s">
        <v>1412</v>
      </c>
      <c r="T1" s="6" t="s">
        <v>1413</v>
      </c>
      <c r="U1" s="5" t="s">
        <v>1414</v>
      </c>
      <c r="V1" s="5" t="s">
        <v>1415</v>
      </c>
      <c r="W1" s="5" t="s">
        <v>1416</v>
      </c>
      <c r="X1" s="5" t="s">
        <v>1417</v>
      </c>
      <c r="Y1" s="5" t="s">
        <v>1418</v>
      </c>
    </row>
    <row r="2" spans="1:25">
      <c r="A2" s="1971" t="s">
        <v>33</v>
      </c>
      <c r="B2" s="1971" t="s">
        <v>1419</v>
      </c>
      <c r="C2" s="1972"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71" t="s">
        <v>1432</v>
      </c>
      <c r="B3" s="1973" t="s">
        <v>1433</v>
      </c>
      <c r="C3" s="126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71" t="s">
        <v>1445</v>
      </c>
      <c r="B4" s="1973" t="s">
        <v>1446</v>
      </c>
      <c r="C4" s="1972"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71" t="s">
        <v>1456</v>
      </c>
      <c r="B5" s="1971" t="s">
        <v>1457</v>
      </c>
      <c r="C5" s="1972"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4"/>
    </row>
    <row r="6" spans="1:25">
      <c r="A6" s="1971" t="s">
        <v>1465</v>
      </c>
      <c r="B6" s="1971" t="s">
        <v>1466</v>
      </c>
      <c r="C6" s="123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4"/>
    </row>
    <row r="7" spans="1:25">
      <c r="A7" s="1971" t="s">
        <v>1473</v>
      </c>
      <c r="B7" s="1973" t="s">
        <v>1474</v>
      </c>
      <c r="C7" s="1972" t="s">
        <v>1475</v>
      </c>
      <c r="F7" s="7" t="s">
        <v>1476</v>
      </c>
      <c r="H7" s="7" t="s">
        <v>1477</v>
      </c>
      <c r="I7" s="7" t="s">
        <v>1478</v>
      </c>
      <c r="X7" s="1974"/>
    </row>
    <row r="8" spans="1:25">
      <c r="A8" s="1971" t="s">
        <v>1479</v>
      </c>
      <c r="B8" s="1973" t="s">
        <v>1480</v>
      </c>
      <c r="C8" s="1972" t="s">
        <v>1481</v>
      </c>
      <c r="F8" s="7" t="s">
        <v>1482</v>
      </c>
      <c r="H8" s="7" t="s">
        <v>1483</v>
      </c>
      <c r="I8" s="7" t="s">
        <v>1484</v>
      </c>
      <c r="X8" s="1974"/>
    </row>
    <row r="9" spans="1:25">
      <c r="A9" s="1971" t="s">
        <v>1485</v>
      </c>
      <c r="B9" s="1971" t="s">
        <v>1486</v>
      </c>
      <c r="C9" s="1972" t="s">
        <v>1487</v>
      </c>
      <c r="F9" s="7" t="s">
        <v>1488</v>
      </c>
      <c r="H9" s="7" t="s">
        <v>1489</v>
      </c>
    </row>
    <row r="10" spans="1:25">
      <c r="A10" s="1971" t="s">
        <v>1490</v>
      </c>
      <c r="B10" s="1971" t="s">
        <v>1491</v>
      </c>
      <c r="C10" s="1972" t="s">
        <v>1492</v>
      </c>
      <c r="F10" s="7" t="s">
        <v>13</v>
      </c>
    </row>
    <row r="11" spans="1:25">
      <c r="A11" s="1971" t="s">
        <v>1493</v>
      </c>
      <c r="B11" s="1971" t="s">
        <v>1494</v>
      </c>
      <c r="C11" s="1972" t="s">
        <v>1495</v>
      </c>
    </row>
    <row r="12" spans="1:25">
      <c r="A12" s="1971" t="s">
        <v>1496</v>
      </c>
      <c r="B12" s="1971" t="s">
        <v>1497</v>
      </c>
      <c r="C12" s="1972" t="s">
        <v>1498</v>
      </c>
    </row>
    <row r="13" spans="1:25">
      <c r="A13" s="1971" t="s">
        <v>1499</v>
      </c>
      <c r="B13" s="1971" t="s">
        <v>1500</v>
      </c>
      <c r="C13" s="1972" t="s">
        <v>1501</v>
      </c>
    </row>
    <row r="14" spans="1:25">
      <c r="A14" s="1971" t="s">
        <v>1502</v>
      </c>
      <c r="B14" s="1971" t="s">
        <v>1503</v>
      </c>
      <c r="C14" s="1972"/>
    </row>
    <row r="15" spans="1:25">
      <c r="A15" s="1971" t="s">
        <v>1504</v>
      </c>
      <c r="B15" s="1971" t="s">
        <v>1505</v>
      </c>
      <c r="C15" s="1972"/>
    </row>
    <row r="16" spans="1:25">
      <c r="A16" s="1971" t="s">
        <v>1506</v>
      </c>
      <c r="B16" s="1971" t="s">
        <v>1507</v>
      </c>
      <c r="C16" s="1972"/>
    </row>
    <row r="17" spans="1:3">
      <c r="A17" s="1971" t="s">
        <v>1508</v>
      </c>
      <c r="B17" s="1971" t="s">
        <v>1509</v>
      </c>
      <c r="C17" s="1972"/>
    </row>
    <row r="18" spans="1:3">
      <c r="A18" s="1971" t="s">
        <v>1510</v>
      </c>
      <c r="B18" s="1971" t="s">
        <v>1511</v>
      </c>
      <c r="C18" s="1972"/>
    </row>
    <row r="19" spans="1:3">
      <c r="A19" s="1971" t="s">
        <v>1512</v>
      </c>
      <c r="B19" s="1971" t="s">
        <v>1513</v>
      </c>
      <c r="C19" s="1972"/>
    </row>
    <row r="20" spans="1:3">
      <c r="A20" s="1971" t="s">
        <v>1514</v>
      </c>
      <c r="B20" s="1971" t="s">
        <v>740</v>
      </c>
      <c r="C20" s="1972"/>
    </row>
    <row r="21" spans="1:3">
      <c r="A21" s="1971" t="s">
        <v>1515</v>
      </c>
      <c r="B21" s="1971" t="s">
        <v>740</v>
      </c>
      <c r="C21" s="1972"/>
    </row>
    <row r="22" spans="1:3">
      <c r="A22" s="1971" t="s">
        <v>1516</v>
      </c>
      <c r="B22" s="1971" t="s">
        <v>740</v>
      </c>
      <c r="C22" s="1972"/>
    </row>
    <row r="23" spans="1:3">
      <c r="A23" s="1971" t="s">
        <v>1517</v>
      </c>
      <c r="B23" s="1971" t="s">
        <v>740</v>
      </c>
      <c r="C23" s="1972"/>
    </row>
    <row r="24" spans="1:3">
      <c r="A24" s="1971" t="s">
        <v>1518</v>
      </c>
      <c r="B24" s="1971" t="s">
        <v>740</v>
      </c>
      <c r="C24" s="1972"/>
    </row>
    <row r="25" spans="1:3">
      <c r="A25" s="1971" t="s">
        <v>1519</v>
      </c>
      <c r="B25" s="1971" t="s">
        <v>740</v>
      </c>
      <c r="C25" s="1972"/>
    </row>
    <row r="26" spans="1:3">
      <c r="A26" s="1971" t="s">
        <v>1520</v>
      </c>
      <c r="B26" s="1971" t="s">
        <v>740</v>
      </c>
      <c r="C26" s="1972"/>
    </row>
    <row r="27" spans="1:3">
      <c r="A27" s="1971" t="s">
        <v>740</v>
      </c>
      <c r="B27" s="1971" t="s">
        <v>740</v>
      </c>
      <c r="C27" s="1972"/>
    </row>
    <row r="28" spans="1:3">
      <c r="A28" s="1971" t="s">
        <v>740</v>
      </c>
      <c r="B28" s="1971" t="s">
        <v>740</v>
      </c>
      <c r="C28" s="1972"/>
    </row>
    <row r="29" spans="1:3">
      <c r="A29" s="1971" t="s">
        <v>740</v>
      </c>
      <c r="B29" s="1971" t="s">
        <v>740</v>
      </c>
      <c r="C29" s="1972"/>
    </row>
    <row r="30" spans="1:3">
      <c r="A30" s="1971" t="s">
        <v>740</v>
      </c>
      <c r="B30" s="1971" t="s">
        <v>740</v>
      </c>
      <c r="C30" s="1972"/>
    </row>
    <row r="31" spans="1:3">
      <c r="A31" s="1971" t="s">
        <v>740</v>
      </c>
      <c r="B31" s="1971" t="s">
        <v>740</v>
      </c>
      <c r="C31" s="1972"/>
    </row>
    <row r="32" spans="1:3">
      <c r="A32" s="1971" t="s">
        <v>740</v>
      </c>
      <c r="B32" s="1971" t="s">
        <v>740</v>
      </c>
      <c r="C32" s="1972"/>
    </row>
    <row r="33" spans="1:3">
      <c r="A33" s="1971" t="s">
        <v>740</v>
      </c>
      <c r="B33" s="1971" t="s">
        <v>740</v>
      </c>
      <c r="C33" s="1972"/>
    </row>
    <row r="34" spans="1:3">
      <c r="A34" s="1971" t="s">
        <v>740</v>
      </c>
      <c r="B34" s="1971" t="s">
        <v>740</v>
      </c>
      <c r="C34" s="1972"/>
    </row>
    <row r="35" spans="1:3">
      <c r="A35" s="1971" t="s">
        <v>740</v>
      </c>
      <c r="B35" s="1971" t="s">
        <v>740</v>
      </c>
      <c r="C35" s="1972"/>
    </row>
    <row r="36" spans="1:3">
      <c r="A36" s="1971" t="s">
        <v>740</v>
      </c>
      <c r="B36" s="1971" t="s">
        <v>740</v>
      </c>
      <c r="C36" s="1972"/>
    </row>
    <row r="37" spans="1:3">
      <c r="A37" s="1971" t="s">
        <v>740</v>
      </c>
      <c r="B37" s="1971" t="s">
        <v>740</v>
      </c>
      <c r="C37" s="1972"/>
    </row>
    <row r="38" spans="1:3">
      <c r="A38" s="1971" t="s">
        <v>740</v>
      </c>
      <c r="B38" s="1971" t="s">
        <v>740</v>
      </c>
      <c r="C38" s="1972"/>
    </row>
    <row r="39" spans="1:3">
      <c r="A39" s="1971" t="s">
        <v>740</v>
      </c>
      <c r="B39" s="1971" t="s">
        <v>740</v>
      </c>
      <c r="C39" s="1972"/>
    </row>
    <row r="40" spans="1:3">
      <c r="A40" s="1971" t="s">
        <v>740</v>
      </c>
      <c r="B40" s="1971" t="s">
        <v>740</v>
      </c>
      <c r="C40" s="1972"/>
    </row>
    <row r="41" spans="1:3">
      <c r="A41" s="1971" t="s">
        <v>740</v>
      </c>
      <c r="B41" s="1971" t="s">
        <v>740</v>
      </c>
      <c r="C41" s="1972"/>
    </row>
    <row r="42" spans="1:3">
      <c r="A42" s="1971" t="s">
        <v>740</v>
      </c>
      <c r="B42" s="1971" t="s">
        <v>740</v>
      </c>
      <c r="C42" s="1972"/>
    </row>
    <row r="43" spans="1:3">
      <c r="A43" s="1971" t="s">
        <v>740</v>
      </c>
      <c r="B43" s="1971" t="s">
        <v>740</v>
      </c>
      <c r="C43" s="1972"/>
    </row>
    <row r="44" spans="1:3">
      <c r="A44" s="1971" t="s">
        <v>740</v>
      </c>
      <c r="B44" s="1971" t="s">
        <v>740</v>
      </c>
      <c r="C44" s="1972"/>
    </row>
    <row r="45" spans="1:3">
      <c r="A45" s="1971" t="s">
        <v>740</v>
      </c>
      <c r="B45" s="1971" t="s">
        <v>740</v>
      </c>
      <c r="C45" s="1972"/>
    </row>
    <row r="46" spans="1:3">
      <c r="A46" s="1971" t="s">
        <v>740</v>
      </c>
      <c r="B46" s="1971" t="s">
        <v>740</v>
      </c>
      <c r="C46" s="1972"/>
    </row>
    <row r="47" spans="1:3">
      <c r="A47" s="1971" t="s">
        <v>740</v>
      </c>
      <c r="B47" s="1971" t="s">
        <v>740</v>
      </c>
      <c r="C47" s="1972"/>
    </row>
    <row r="48" spans="1:3">
      <c r="A48" s="1971" t="s">
        <v>740</v>
      </c>
      <c r="B48" s="1971" t="s">
        <v>740</v>
      </c>
      <c r="C48" s="1972"/>
    </row>
    <row r="49" spans="1:4">
      <c r="A49" s="1971" t="s">
        <v>740</v>
      </c>
      <c r="B49" s="1971" t="s">
        <v>740</v>
      </c>
      <c r="C49" s="1972"/>
    </row>
    <row r="50" spans="1:4">
      <c r="A50" s="1971" t="s">
        <v>740</v>
      </c>
      <c r="B50" s="1971" t="s">
        <v>740</v>
      </c>
      <c r="C50" s="1972"/>
    </row>
    <row r="51" spans="1:4">
      <c r="A51" s="1975"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XX拟使用辽宁省大连市房地产作为抵押担保物，向XX办理贷款手续。XX特委托北京康正宏基房地产评估有限公司对上述抵押物进行评估。本次评估为确定房地产抵押贷款额度提供参考依据而评估房地产抵押价值。</v>
      </c>
      <c r="D51" s="717" t="s">
        <v>1522</v>
      </c>
    </row>
    <row r="52" spans="1:4">
      <c r="A52" s="1975" t="s">
        <v>1523</v>
      </c>
      <c r="B52" s="1975" t="s">
        <v>1524</v>
      </c>
      <c r="C52" s="9" t="s">
        <v>1525</v>
      </c>
      <c r="D52" s="9" t="s">
        <v>1526</v>
      </c>
    </row>
    <row r="53" spans="1:4" ht="14.25" customHeight="1">
      <c r="A53" s="2830"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本次估价的“房地产价值”是指在正常市场情况下，在价值时点2020年6月17日，估价对象规划用途为，假定未设立法定优先受偿款下的房地产市场价值。</v>
      </c>
    </row>
    <row r="54" spans="1:4">
      <c r="A54" s="2830"/>
      <c r="B54" s="9" t="s">
        <v>1529</v>
      </c>
      <c r="C54" s="9" t="s">
        <v>1530</v>
      </c>
    </row>
    <row r="55" spans="1:4">
      <c r="A55" s="2830"/>
      <c r="B55" s="9" t="s">
        <v>1531</v>
      </c>
      <c r="C55" s="9" t="s">
        <v>1532</v>
      </c>
    </row>
    <row r="56" spans="1:4">
      <c r="A56" s="2830"/>
      <c r="B56" s="9" t="s">
        <v>1533</v>
      </c>
      <c r="C56" s="9" t="s">
        <v>1534</v>
      </c>
    </row>
    <row r="57" spans="1:4">
      <c r="A57" s="2830"/>
      <c r="B57" s="9" t="s">
        <v>1535</v>
      </c>
      <c r="C57" s="9" t="s">
        <v>1536</v>
      </c>
    </row>
    <row r="58" spans="1:4">
      <c r="A58" s="1976"/>
      <c r="B58" s="1974"/>
    </row>
    <row r="59" spans="1:4">
      <c r="A59" s="1976"/>
      <c r="B59" s="197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157</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比较法-住宅 (租金)</vt:lpstr>
      <vt:lpstr>地价</vt:lpstr>
      <vt:lpstr>存贷款利率</vt:lpstr>
      <vt:lpstr>Sheet1</vt:lpstr>
      <vt:lpstr>Sheet2</vt:lpstr>
      <vt:lpstr>Sheet3</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2020-06-18T04:28:47Z</dcterms:modified>
</cp:coreProperties>
</file>