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Y20" i="1" l="1"/>
  <c r="X21" i="1"/>
  <c r="Y21" i="1"/>
  <c r="X22" i="1"/>
  <c r="Y22" i="1"/>
  <c r="Y23" i="1"/>
  <c r="X23" i="1"/>
  <c r="U6" i="1"/>
  <c r="D4" i="73"/>
  <c r="E20" i="43"/>
  <c r="M28" i="43"/>
  <c r="G20" i="43"/>
  <c r="C20" i="43"/>
  <c r="T2" i="43"/>
  <c r="V2" i="43"/>
  <c r="T3" i="43"/>
  <c r="V3" i="43"/>
  <c r="C33" i="43"/>
  <c r="E33"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D2" i="33"/>
  <c r="D3" i="33"/>
  <c r="R47" i="33"/>
  <c r="R48" i="33"/>
  <c r="T47" i="33"/>
  <c r="T48" i="33"/>
  <c r="V47" i="33"/>
  <c r="V48" i="33"/>
  <c r="R49" i="33"/>
  <c r="C49" i="33"/>
  <c r="B2" i="33"/>
  <c r="B3" i="33"/>
  <c r="C20" i="9"/>
  <c r="F6" i="15"/>
  <c r="F8" i="15"/>
  <c r="F7" i="15"/>
  <c r="F9" i="15"/>
  <c r="C6" i="15"/>
  <c r="F4" i="73"/>
  <c r="I1" i="73"/>
  <c r="B39" i="1"/>
  <c r="F11" i="15"/>
  <c r="C10" i="15"/>
  <c r="C5" i="15"/>
  <c r="F31"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C17" i="9"/>
  <c r="D17" i="9"/>
  <c r="C18" i="9"/>
  <c r="D18" i="9"/>
  <c r="G20" i="9"/>
  <c r="T19" i="1"/>
  <c r="T20" i="1"/>
  <c r="T21" i="1"/>
  <c r="T22" i="1"/>
  <c r="J49" i="15"/>
  <c r="U3" i="43"/>
  <c r="U2" i="43"/>
  <c r="D33" i="43"/>
  <c r="G41" i="43"/>
  <c r="B35" i="1"/>
  <c r="B29" i="1"/>
  <c r="Y6" i="1"/>
  <c r="V23" i="1"/>
  <c r="AA20" i="1"/>
  <c r="V22" i="1"/>
  <c r="V21" i="1"/>
  <c r="V20" i="1"/>
  <c r="N6" i="1"/>
  <c r="G19" i="6"/>
  <c r="F19" i="6"/>
  <c r="I13" i="3"/>
  <c r="C11" i="4"/>
  <c r="B7" i="4"/>
  <c r="D3" i="4"/>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K51" i="43"/>
  <c r="D51"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5"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G6" i="1"/>
  <c r="H109" i="9"/>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C36" i="11"/>
  <c r="C33" i="11"/>
  <c r="C39" i="11"/>
  <c r="C46" i="11"/>
  <c r="C45"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B13" i="49"/>
  <c r="C19" i="68"/>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M9" i="67"/>
  <c r="B10" i="76"/>
  <c r="M27" i="67"/>
  <c r="B8" i="76"/>
  <c r="M29" i="67"/>
  <c r="AO7" i="1"/>
  <c r="F20" i="31"/>
  <c r="M21" i="15"/>
  <c r="F5" i="73"/>
  <c r="D2" i="21"/>
  <c r="D3" i="73"/>
  <c r="J57" i="15"/>
  <c r="J55" i="15"/>
  <c r="J58" i="15"/>
  <c r="J59" i="15"/>
  <c r="C76" i="15"/>
  <c r="L51" i="15"/>
  <c r="L57" i="15"/>
  <c r="L47" i="15"/>
  <c r="L58" i="15"/>
  <c r="L59" i="15"/>
  <c r="L60" i="15"/>
  <c r="AO6" i="1"/>
  <c r="E11" i="76"/>
  <c r="F7" i="73"/>
  <c r="F35" i="15"/>
  <c r="F36" i="67"/>
  <c r="M6" i="67"/>
  <c r="AO12" i="1"/>
  <c r="F6" i="67"/>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E9" i="49"/>
  <c r="E13" i="49"/>
  <c r="E21" i="49"/>
  <c r="E8" i="49"/>
  <c r="B10" i="49"/>
  <c r="E11" i="49"/>
  <c r="E22" i="49"/>
  <c r="B4" i="49"/>
  <c r="C29" i="69"/>
  <c r="D27" i="69"/>
  <c r="B6" i="49"/>
  <c r="R16" i="1"/>
  <c r="C12" i="12"/>
  <c r="C8" i="69"/>
  <c r="C5" i="69"/>
  <c r="F69" i="67"/>
  <c r="F71" i="67"/>
  <c r="B2" i="76"/>
  <c r="E2" i="76"/>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B2" i="21"/>
  <c r="B3" i="21"/>
  <c r="J20" i="15"/>
  <c r="B20" i="31"/>
  <c r="B7" i="70"/>
  <c r="F68" i="15"/>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O28" i="43"/>
  <c r="P28" i="43"/>
  <c r="N28" i="43"/>
  <c r="B3" i="76"/>
  <c r="C32" i="15"/>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33"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<sst xmlns="http://schemas.openxmlformats.org/spreadsheetml/2006/main" count="7343" uniqueCount="3115">
  <si>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</si>
  <si>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</si>
  <si>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</si>
  <si>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</si>
  <si>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</si>
  <si>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</si>
  <si>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</si>
  <si>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</si>
  <si>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</si>
  <si>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</si>
  <si>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</si>
  <si>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</si>
  <si>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</si>
  <si>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</si>
  <si>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</si>
  <si>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</si>
  <si>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</si>
  <si>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</si>
  <si>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</si>
  <si>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</si>
  <si>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</si>
  <si>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</si>
  <si>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</si>
  <si>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</si>
  <si>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</si>
  <si>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</si>
  <si>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</si>
  <si>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</si>
  <si>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</si>
  <si>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</si>
  <si>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</si>
  <si>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</si>
  <si>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</si>
  <si>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</si>
  <si>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</si>
  <si>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</si>
  <si>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</si>
  <si>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</si>
  <si>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</si>
  <si>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</si>
  <si>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</si>
  <si>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</si>
  <si>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</si>
  <si>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</si>
  <si>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</si>
  <si>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</si>
  <si>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</si>
  <si>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</si>
  <si>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</si>
  <si>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</si>
  <si>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</si>
  <si>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</si>
  <si>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</si>
  <si>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</si>
  <si>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</si>
  <si>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</si>
  <si>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</si>
  <si>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</si>
  <si>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</si>
  <si>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</si>
  <si>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</si>
  <si>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</si>
  <si>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</si>
  <si>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</si>
  <si>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</si>
  <si>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</si>
  <si>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</si>
  <si>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</si>
  <si>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</si>
  <si>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</si>
  <si>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</si>
  <si>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</si>
  <si>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</si>
  <si>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</si>
  <si>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</si>
  <si>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</si>
  <si>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</si>
  <si>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</si>
  <si>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</si>
  <si>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</si>
  <si>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</si>
  <si>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</si>
  <si>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</si>
  <si>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</si>
  <si>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</si>
  <si>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</si>
  <si>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</si>
  <si>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</si>
  <si>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</si>
  <si>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</si>
  <si>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</si>
  <si>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</si>
  <si>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</si>
  <si>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</si>
  <si>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</si>
  <si>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</si>
  <si>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</si>
  <si>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</si>
  <si>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</si>
  <si>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</si>
  <si>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</si>
  <si>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</si>
  <si>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</si>
  <si>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</si>
  <si>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</si>
  <si>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</si>
  <si>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</si>
  <si>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</si>
  <si>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</si>
  <si>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</si>
  <si>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</si>
  <si>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</si>
  <si>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</si>
  <si>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</si>
  <si>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</si>
  <si>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</si>
  <si>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</si>
  <si>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</si>
  <si>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</si>
  <si>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</si>
  <si>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</si>
  <si>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</si>
  <si>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</si>
  <si>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</si>
  <si>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</si>
  <si>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</si>
  <si>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</si>
  <si>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</si>
  <si>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</si>
  <si>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</si>
  <si>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</si>
  <si>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</si>
  <si>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</si>
  <si>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</si>
  <si>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</si>
  <si>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</si>
  <si>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</si>
  <si>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</si>
  <si>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</si>
  <si>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</si>
  <si>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</si>
  <si>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</si>
  <si>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</si>
  <si>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</si>
  <si>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</si>
  <si>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</si>
  <si>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</si>
  <si>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</si>
  <si>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</si>
  <si>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</si>
  <si>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</si>
  <si>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</si>
  <si>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</si>
  <si>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</si>
  <si>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</si>
  <si>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</si>
  <si>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</si>
  <si>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</si>
  <si>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</si>
  <si>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</si>
  <si>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</si>
  <si>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</si>
  <si>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</si>
  <si>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</si>
  <si>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</si>
  <si>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</si>
  <si>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</si>
  <si>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</si>
  <si>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</si>
  <si>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</si>
  <si>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</si>
  <si>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</si>
  <si>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</si>
  <si>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</si>
  <si>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</si>
  <si>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</si>
  <si>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</si>
  <si>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</si>
  <si>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</si>
  <si>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</si>
  <si>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</si>
  <si>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</si>
  <si>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</si>
  <si>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</si>
  <si>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</si>
  <si>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</si>
  <si>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</si>
  <si>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</si>
  <si>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</si>
  <si>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</si>
  <si>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</si>
  <si>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</si>
  <si>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</si>
  <si>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</si>
  <si>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</si>
  <si>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</si>
  <si>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</si>
  <si>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</si>
  <si>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</si>
  <si>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</si>
  <si>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</si>
  <si>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</si>
  <si>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</si>
  <si>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</si>
  <si>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</si>
  <si>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</si>
  <si>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</si>
  <si>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</si>
  <si>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</si>
  <si>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</si>
  <si>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</si>
  <si>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</si>
  <si>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</si>
  <si>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</si>
  <si>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</si>
  <si>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</si>
  <si>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</si>
  <si>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</si>
  <si>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</si>
  <si>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</si>
  <si>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</si>
  <si>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</si>
  <si>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</si>
  <si>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</si>
  <si>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</si>
  <si>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</si>
  <si>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</si>
  <si>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</si>
  <si>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</si>
  <si>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</si>
  <si>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</si>
  <si>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</si>
  <si>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</si>
  <si>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</si>
  <si>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</si>
  <si>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</si>
  <si>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</si>
  <si>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</si>
  <si>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</si>
  <si>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</si>
  <si>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</si>
  <si>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</si>
  <si>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</si>
  <si>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</si>
  <si>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</si>
  <si>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</si>
  <si>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</si>
  <si>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</si>
  <si>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</si>
  <si>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</si>
  <si>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</si>
  <si>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</si>
  <si>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</si>
  <si>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</si>
  <si>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</si>
  <si>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</si>
  <si>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</si>
  <si>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</si>
  <si>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</si>
  <si>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</si>
  <si>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</si>
  <si>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</si>
  <si>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</si>
  <si>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</si>
  <si>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</si>
  <si>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</si>
  <si>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</si>
  <si>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</si>
  <si>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</si>
  <si>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</si>
  <si>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</si>
  <si>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</si>
  <si>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</si>
  <si>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</si>
  <si>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</si>
  <si>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</si>
  <si>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</si>
  <si>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</si>
  <si>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</si>
  <si>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</si>
  <si>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</si>
  <si>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</si>
  <si>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</si>
  <si>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</si>
  <si>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</si>
  <si>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</si>
  <si>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</si>
  <si>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</si>
  <si>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</si>
  <si>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</si>
  <si>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</si>
  <si>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</si>
  <si>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</si>
  <si>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</si>
  <si>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</si>
  <si>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</si>
  <si>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</si>
  <si>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</si>
  <si>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</si>
  <si>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</si>
  <si>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</si>
  <si>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</si>
  <si>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</si>
  <si>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</si>
  <si>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</si>
  <si>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</si>
  <si>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</si>
  <si>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</si>
  <si>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</si>
  <si>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</si>
  <si>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</si>
  <si>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</si>
  <si>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</si>
  <si>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</si>
  <si>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</si>
  <si>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</si>
  <si>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</si>
  <si>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</si>
  <si>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</si>
  <si>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</si>
  <si>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</si>
  <si>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</si>
  <si>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</si>
  <si>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</si>
  <si>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</si>
  <si>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</si>
  <si>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</si>
  <si>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</si>
  <si>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</si>
  <si>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</si>
  <si>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</si>
  <si>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</si>
  <si>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</si>
  <si>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</si>
  <si>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</si>
  <si>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</si>
  <si>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</si>
  <si>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</si>
  <si>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</si>
  <si>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</si>
  <si>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</si>
  <si>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</si>
  <si>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</si>
  <si>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</si>
  <si>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</si>
  <si>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</si>
  <si>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</si>
  <si>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</si>
  <si>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</si>
  <si>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</si>
  <si>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</si>
  <si>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</si>
  <si>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</si>
  <si>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</si>
  <si>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</si>
  <si>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</si>
  <si>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</si>
  <si>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</si>
  <si>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</si>
  <si>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</si>
  <si>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</si>
  <si>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</si>
  <si>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</si>
  <si>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</si>
  <si>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</si>
  <si>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</si>
  <si>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</si>
  <si>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</si>
  <si>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</si>
  <si>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</si>
  <si>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</si>
  <si>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</si>
  <si>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</si>
  <si>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</si>
  <si>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</si>
  <si>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</si>
  <si>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</si>
  <si>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</si>
  <si>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</si>
  <si>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</si>
  <si>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</si>
  <si>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</si>
  <si>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</si>
  <si>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</si>
  <si>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</si>
  <si>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</si>
  <si>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</si>
  <si>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</si>
  <si>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</si>
  <si>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</si>
  <si>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</si>
  <si>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</si>
  <si>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</si>
  <si>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</si>
  <si>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</si>
  <si>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</si>
  <si>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</si>
  <si>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</si>
  <si>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</si>
  <si>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</si>
  <si>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</si>
  <si>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</si>
  <si>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</si>
  <si>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</si>
  <si>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</si>
  <si>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</si>
  <si>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</si>
  <si>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</si>
  <si>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</si>
  <si>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</si>
  <si>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</si>
  <si>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</si>
  <si>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</si>
  <si>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</si>
  <si>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</si>
  <si>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</si>
  <si>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</si>
  <si>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</si>
  <si>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</si>
  <si>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</si>
  <si>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</si>
  <si>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</si>
  <si>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</si>
  <si>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</si>
  <si>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</si>
  <si>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</si>
  <si>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</si>
  <si>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</si>
  <si>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</si>
  <si>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</si>
  <si>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</si>
  <si>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</si>
  <si>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</si>
  <si>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</si>
  <si>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</si>
  <si>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</si>
  <si>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</si>
  <si>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</si>
  <si>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</si>
  <si>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</si>
  <si>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</si>
  <si>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</si>
  <si>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</si>
  <si>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</si>
  <si>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</si>
  <si>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</si>
  <si>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</si>
  <si>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</si>
  <si>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</si>
  <si>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</si>
  <si>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</si>
  <si>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</si>
  <si>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</si>
  <si>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</si>
  <si>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</si>
  <si>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</si>
  <si>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</si>
  <si>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</si>
  <si>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</si>
  <si>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</si>
  <si>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</si>
  <si>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</si>
  <si>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</si>
  <si>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</si>
  <si>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</si>
  <si>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</si>
  <si>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</si>
  <si>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</si>
  <si>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</si>
  <si>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</si>
  <si>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</si>
  <si>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</si>
  <si>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</si>
  <si>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</si>
  <si>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</si>
  <si>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</si>
  <si>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</si>
  <si>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</si>
  <si>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</si>
  <si>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</si>
  <si>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</si>
  <si>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</si>
  <si>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</si>
  <si>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</si>
  <si>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</si>
  <si>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</si>
  <si>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</si>
  <si>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</si>
  <si>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</si>
  <si>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</si>
  <si>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</si>
  <si>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</si>
  <si>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</si>
  <si>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</si>
  <si>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</si>
  <si>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</si>
  <si>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</si>
  <si>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</si>
  <si>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</si>
  <si>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</si>
  <si>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</si>
  <si>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</si>
  <si>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</si>
  <si>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</si>
  <si>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</si>
  <si>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</si>
  <si>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</si>
  <si>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</si>
  <si>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</si>
  <si>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</si>
  <si>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</si>
  <si>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</si>
  <si>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</si>
  <si>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</si>
  <si>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</si>
  <si>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</si>
  <si>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</si>
  <si>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</si>
  <si>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</si>
  <si>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</si>
  <si>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</si>
  <si>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</si>
  <si>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</si>
  <si>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</si>
  <si>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</si>
  <si>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</si>
  <si>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</si>
  <si>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</si>
  <si>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</si>
  <si>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</si>
  <si>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</si>
  <si>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</si>
  <si>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</si>
  <si>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</si>
  <si>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</si>
  <si>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</si>
  <si>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</si>
  <si>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</si>
  <si>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</si>
  <si>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</si>
  <si>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</si>
  <si>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</si>
  <si>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</si>
  <si>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</si>
  <si>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</si>
  <si>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</si>
  <si>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</si>
  <si>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</si>
  <si>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</si>
  <si>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</si>
  <si>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</si>
  <si>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</si>
  <si>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</si>
  <si>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</si>
  <si>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</si>
  <si>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</si>
  <si>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</si>
  <si>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</si>
  <si>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</si>
  <si>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</si>
  <si>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</si>
  <si>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</si>
  <si>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</si>
  <si>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</si>
  <si>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</si>
  <si>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</si>
  <si>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</si>
  <si>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</si>
  <si>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</si>
  <si>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</si>
  <si>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</si>
  <si>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</si>
  <si>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</si>
  <si>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</si>
  <si>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</si>
  <si>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</si>
  <si>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</si>
  <si>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</si>
  <si>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</si>
  <si>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</si>
  <si>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</si>
  <si>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</si>
  <si>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</si>
  <si>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</si>
  <si>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</si>
  <si>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</si>
  <si>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</si>
  <si>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</si>
  <si>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</si>
  <si>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</si>
  <si>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</si>
  <si>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</si>
  <si>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</si>
  <si>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</si>
  <si>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</si>
  <si>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</si>
  <si>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</si>
  <si>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</si>
  <si>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</si>
  <si>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</si>
  <si>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</si>
  <si>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</si>
  <si>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</si>
  <si>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</si>
  <si>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</si>
  <si>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</si>
  <si>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</si>
  <si>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</si>
  <si>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</si>
  <si>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</si>
  <si>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</si>
  <si>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</si>
  <si>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</si>
  <si>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</si>
  <si>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</si>
  <si>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</si>
  <si>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</si>
  <si>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</si>
  <si>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</si>
  <si>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</si>
  <si>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</si>
  <si>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</si>
  <si>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</si>
  <si>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</si>
  <si>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</si>
  <si>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</si>
  <si>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</si>
  <si>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</si>
  <si>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</si>
  <si>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</si>
  <si>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</si>
  <si>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</si>
  <si>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</si>
  <si>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</si>
  <si>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</si>
  <si>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</si>
  <si>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</si>
  <si>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</si>
  <si>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</si>
  <si>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</si>
  <si>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</si>
  <si>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</si>
  <si>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</si>
  <si>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</si>
  <si>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</si>
  <si>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</si>
  <si>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</si>
  <si>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</si>
  <si>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</si>
  <si>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</si>
  <si>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</si>
  <si>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</si>
  <si>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</si>
  <si>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</si>
  <si>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</si>
  <si>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</si>
  <si>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</si>
  <si>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</si>
  <si>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</si>
  <si>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</si>
  <si>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</si>
  <si>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</si>
  <si>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</si>
  <si>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</si>
  <si>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</si>
  <si>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</si>
  <si>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</si>
  <si>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</si>
  <si>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</si>
  <si>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</si>
  <si>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</si>
  <si>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</si>
  <si>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</si>
  <si>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</si>
  <si>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</si>
  <si>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</si>
  <si>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</si>
  <si>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</si>
  <si>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</si>
  <si>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</si>
  <si>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</si>
  <si>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</si>
  <si>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</si>
  <si>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</si>
  <si>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</si>
  <si>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</si>
  <si>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</si>
  <si>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</si>
  <si>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</si>
  <si>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</si>
  <si>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</si>
  <si>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</si>
  <si>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</si>
  <si>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</si>
  <si>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</si>
  <si>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</si>
  <si>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</si>
  <si>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</si>
  <si>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</si>
  <si>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</si>
  <si>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</si>
  <si>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</si>
  <si>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</si>
  <si>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</si>
  <si>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</si>
  <si>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</si>
  <si>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</si>
  <si>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</si>
  <si>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</si>
  <si>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</si>
  <si>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</si>
  <si>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</si>
  <si>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</si>
  <si>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</si>
  <si>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</si>
  <si>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</si>
  <si>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</si>
  <si>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</si>
  <si>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</si>
  <si>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</si>
  <si>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</si>
  <si>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</si>
  <si>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</si>
  <si>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</si>
  <si>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</si>
  <si>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</si>
  <si>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</si>
  <si>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</si>
  <si>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</si>
  <si>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</si>
  <si>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</si>
  <si>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</si>
  <si>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</si>
  <si>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</si>
  <si>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</si>
  <si>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</si>
  <si>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</si>
  <si>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</si>
  <si>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</si>
  <si>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</si>
  <si>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</si>
  <si>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</si>
  <si>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</si>
  <si>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</si>
  <si>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</si>
  <si>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</si>
  <si>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</si>
  <si>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</si>
  <si>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</si>
  <si>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</si>
  <si>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</si>
  <si>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</si>
  <si>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</si>
  <si>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</si>
  <si>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</si>
  <si>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</si>
  <si>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</si>
  <si>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</si>
  <si>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</si>
  <si>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</si>
  <si>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</si>
  <si>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</si>
  <si>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</si>
  <si>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</si>
  <si>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</si>
  <si>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</si>
  <si>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</si>
  <si>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</si>
  <si>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</si>
  <si>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</si>
  <si>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</si>
  <si>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</si>
  <si>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</si>
  <si>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</si>
  <si>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</si>
  <si>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</si>
  <si>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</si>
  <si>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</si>
  <si>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</si>
  <si>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</si>
  <si>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</si>
  <si>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</si>
  <si>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</si>
  <si>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</si>
  <si>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</si>
  <si>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</si>
  <si>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</si>
  <si>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</si>
  <si>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</si>
  <si>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</si>
  <si>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</si>
  <si>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</si>
  <si>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</si>
  <si>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</si>
  <si>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</si>
  <si>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</si>
  <si>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</si>
  <si>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</si>
  <si>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</si>
  <si>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</si>
  <si>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</si>
  <si>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</si>
  <si>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</si>
  <si>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</si>
  <si>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</si>
  <si>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</si>
  <si>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</si>
  <si>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</si>
  <si>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</si>
  <si>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</si>
  <si>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</si>
  <si>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</si>
  <si>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</si>
  <si>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</si>
  <si>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</si>
  <si>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</si>
  <si>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</si>
  <si>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</si>
  <si>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</si>
  <si>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</si>
  <si>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</si>
  <si>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</si>
  <si>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</si>
  <si>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</si>
  <si>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</si>
  <si>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</si>
  <si>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</si>
  <si>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</si>
  <si>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</si>
  <si>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</si>
  <si>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</si>
  <si>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</si>
  <si>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</si>
  <si>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</si>
  <si>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</si>
  <si>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</si>
  <si>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</si>
  <si>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</si>
  <si>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</si>
  <si>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</si>
  <si>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</si>
  <si>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</si>
  <si>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</si>
  <si>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</si>
  <si>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</si>
  <si>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</si>
  <si>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</si>
  <si>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</si>
  <si>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</si>
  <si>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</si>
  <si>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</si>
  <si>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</si>
  <si>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</si>
  <si>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</si>
  <si>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</si>
  <si>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</si>
  <si>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</si>
  <si>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</si>
  <si>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</si>
  <si>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</si>
  <si>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</si>
  <si>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</si>
  <si>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</si>
  <si>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</si>
  <si>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</si>
  <si>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</si>
  <si>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</si>
  <si>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</si>
  <si>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</si>
  <si>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</si>
  <si>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</si>
  <si>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</si>
  <si>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</si>
  <si>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</si>
  <si>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</si>
  <si>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</si>
  <si>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</si>
  <si>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</si>
  <si>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</si>
  <si>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</si>
  <si>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</si>
  <si>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</si>
  <si>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</si>
  <si>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</si>
  <si>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</si>
  <si>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</si>
  <si>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</si>
  <si>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</si>
  <si>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</si>
  <si>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</si>
  <si>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</si>
  <si>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</si>
  <si>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</si>
  <si>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</si>
  <si>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</si>
  <si>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</si>
  <si>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</si>
  <si>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</si>
  <si>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</si>
  <si>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</si>
  <si>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</si>
  <si>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</si>
  <si>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</si>
  <si>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</si>
  <si>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</si>
  <si>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</si>
  <si>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</si>
  <si>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</si>
  <si>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</si>
  <si>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</si>
  <si>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</si>
  <si>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</si>
  <si>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</si>
  <si>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</si>
  <si>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</si>
  <si>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</si>
  <si>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</si>
  <si>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</si>
  <si>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</si>
  <si>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</si>
  <si>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</si>
  <si>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</si>
  <si>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</si>
  <si>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</si>
  <si>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</si>
  <si>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</si>
  <si>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</si>
  <si>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</si>
  <si>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</si>
  <si>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</si>
  <si>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</si>
  <si>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</si>
  <si>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</si>
  <si>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</si>
  <si>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</si>
  <si>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</si>
  <si>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</si>
  <si>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</si>
  <si>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</si>
  <si>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</si>
  <si>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</si>
  <si>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</si>
  <si>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</si>
  <si>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</si>
  <si>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</si>
  <si>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</si>
  <si>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</si>
  <si>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</si>
  <si>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</si>
  <si>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</si>
  <si>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</si>
  <si>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</si>
  <si>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</si>
  <si>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</si>
  <si>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</si>
  <si>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</si>
  <si>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</si>
  <si>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</si>
  <si>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</si>
  <si>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</si>
  <si>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</si>
  <si>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</si>
  <si>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</si>
  <si>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</si>
  <si>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</si>
  <si>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</si>
  <si>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</si>
  <si>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</si>
  <si>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</si>
  <si>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</si>
  <si>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</si>
  <si>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</si>
  <si>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</si>
  <si>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</si>
  <si>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</si>
  <si>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</si>
  <si>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</si>
  <si>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</si>
  <si>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</si>
  <si>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</si>
  <si>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</si>
  <si>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</si>
  <si>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</si>
  <si>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</si>
  <si>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</si>
  <si>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</si>
  <si>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</si>
  <si>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</si>
  <si>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</si>
  <si>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</si>
  <si>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</si>
  <si>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</si>
  <si>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</si>
  <si>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</si>
  <si>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</si>
  <si>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</si>
  <si>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</si>
  <si>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</si>
  <si>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</si>
  <si>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</si>
  <si>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</si>
  <si>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</si>
  <si>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</si>
  <si>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</si>
  <si>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</si>
  <si>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</si>
  <si>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</si>
  <si>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</si>
  <si>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</si>
  <si>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</si>
  <si>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</si>
  <si>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</si>
  <si>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</si>
  <si>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</si>
  <si>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</si>
  <si>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</si>
  <si>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</si>
  <si>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</si>
  <si>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</si>
  <si>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</si>
  <si>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</si>
  <si>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</si>
  <si>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</si>
  <si>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</si>
  <si>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</si>
  <si>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</si>
  <si>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</si>
  <si>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</si>
  <si>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</si>
  <si>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</si>
  <si>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</si>
  <si>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</si>
  <si>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</si>
  <si>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</si>
  <si>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</si>
  <si>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</si>
  <si>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</si>
  <si>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</si>
  <si>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</si>
  <si>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</si>
  <si>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</si>
  <si>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</si>
  <si>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</si>
  <si>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</si>
  <si>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</si>
  <si>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</si>
  <si>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</si>
  <si>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</si>
  <si>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</si>
  <si>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</si>
  <si>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</si>
  <si>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</si>
  <si>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</si>
  <si>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</si>
  <si>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</si>
  <si>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</si>
  <si>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</si>
  <si>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</si>
  <si>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</si>
  <si>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</si>
  <si>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</si>
  <si>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</si>
  <si>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</si>
  <si>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</si>
  <si>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</si>
  <si>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</si>
  <si>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</si>
  <si>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</si>
  <si>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</si>
  <si>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</si>
  <si>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</si>
  <si>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</si>
  <si>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</si>
  <si>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</si>
  <si>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</si>
  <si>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</si>
  <si>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</si>
  <si>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</si>
  <si>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</si>
  <si>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</si>
  <si>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</si>
  <si>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</si>
  <si>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</si>
  <si>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</si>
  <si>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</si>
  <si>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</si>
  <si>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</si>
  <si>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</si>
  <si>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</si>
  <si>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</si>
  <si>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</si>
  <si>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</si>
  <si>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</si>
  <si>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</si>
  <si>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</si>
  <si>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</si>
  <si>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</si>
  <si>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</si>
  <si>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</si>
  <si>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</si>
  <si>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</si>
  <si>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</si>
  <si>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</si>
  <si>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</si>
  <si>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</si>
  <si>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</si>
  <si>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</si>
  <si>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</si>
  <si>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</si>
  <si>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</si>
  <si>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</si>
  <si>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</si>
  <si>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</si>
  <si>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</si>
  <si>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</si>
  <si>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</si>
  <si>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</si>
  <si>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</si>
  <si>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</si>
  <si>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</si>
  <si>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</si>
  <si>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</si>
  <si>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</si>
  <si>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</si>
  <si>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</si>
  <si>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</si>
  <si>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</si>
  <si>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</si>
  <si>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</si>
  <si>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</si>
  <si>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</si>
  <si>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</si>
  <si>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</si>
  <si>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</si>
  <si>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</si>
  <si>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</si>
  <si>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</si>
  <si>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</si>
  <si>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</si>
  <si>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</si>
  <si>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</si>
  <si>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</si>
  <si>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</si>
  <si>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</si>
  <si>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</si>
  <si>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</si>
  <si>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</si>
  <si>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</si>
  <si>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</si>
  <si>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</si>
  <si>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</si>
  <si>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</si>
  <si>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</si>
  <si>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</si>
  <si>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</si>
  <si>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</si>
  <si>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</si>
  <si>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</si>
  <si>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</si>
  <si>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</si>
  <si>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</si>
  <si>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</si>
  <si>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</si>
  <si>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</si>
  <si>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</si>
  <si>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</si>
  <si>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</si>
  <si>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</si>
  <si>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</si>
  <si>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</si>
  <si>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</si>
  <si>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</si>
  <si>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</si>
  <si>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</si>
  <si>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</si>
  <si>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</si>
  <si>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</si>
  <si>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</si>
  <si>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</si>
  <si>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</si>
  <si>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</si>
  <si>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</si>
  <si>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</si>
  <si>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</si>
  <si>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</si>
  <si>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</si>
  <si>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</si>
  <si>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</si>
  <si>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</si>
  <si>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</si>
  <si>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</si>
  <si>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</si>
  <si>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</si>
  <si>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</si>
  <si>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</si>
  <si>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</si>
  <si>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</si>
  <si>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</si>
  <si>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</si>
  <si>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</si>
  <si>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</si>
  <si>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</si>
  <si>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</si>
  <si>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</si>
  <si>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</si>
  <si>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</si>
  <si>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</si>
  <si>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</si>
  <si>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</si>
  <si>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</si>
  <si>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</si>
  <si>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</si>
  <si>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</si>
  <si>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</si>
  <si>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</si>
  <si>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</si>
  <si>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</si>
  <si>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</si>
  <si>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</si>
  <si>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</si>
  <si>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</si>
  <si>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</si>
  <si>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</si>
  <si>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</si>
  <si>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</si>
  <si>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</si>
  <si>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</si>
  <si>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</si>
  <si>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</si>
  <si>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</si>
  <si>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</si>
  <si>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</si>
  <si>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</si>
  <si>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</si>
  <si>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</si>
  <si>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</si>
  <si>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</si>
  <si>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</si>
  <si>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</si>
  <si>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</si>
  <si>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</si>
  <si>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</si>
  <si>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</si>
  <si>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</si>
  <si>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</si>
  <si>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</si>
  <si>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</si>
  <si>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</si>
  <si>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</si>
  <si>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</si>
  <si>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</si>
  <si>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</si>
  <si>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</si>
  <si>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</si>
  <si>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</si>
  <si>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</si>
  <si>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</si>
  <si>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</si>
  <si>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</si>
  <si>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</si>
  <si>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</si>
  <si>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</si>
  <si>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</si>
  <si>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</si>
  <si>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</si>
  <si>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</si>
  <si>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</si>
  <si>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</si>
  <si>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</si>
  <si>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</si>
  <si>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</si>
  <si>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</si>
  <si>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</si>
  <si>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</si>
  <si>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</si>
  <si>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</si>
  <si>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</si>
  <si>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</si>
  <si>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</si>
  <si>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</si>
  <si>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</si>
  <si>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</si>
  <si>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</si>
  <si>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</si>
  <si>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</si>
  <si>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</si>
  <si>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</si>
  <si>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</si>
  <si>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</si>
  <si>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</si>
  <si>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</si>
  <si>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</si>
  <si>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</si>
  <si>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</si>
  <si>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</si>
  <si>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</si>
  <si>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</si>
  <si>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</si>
  <si>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</si>
  <si>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</si>
  <si>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</si>
  <si>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</si>
  <si>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</si>
  <si>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</si>
  <si>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</si>
  <si>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</si>
  <si>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</si>
  <si>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</si>
  <si>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</si>
  <si>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</si>
  <si>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</si>
  <si>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</si>
  <si>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</si>
  <si>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</si>
  <si>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</si>
  <si>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</si>
  <si>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</si>
  <si>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</si>
  <si>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</si>
  <si>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</si>
  <si>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</si>
  <si>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</si>
  <si>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</si>
  <si>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</si>
  <si>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</si>
  <si>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</si>
  <si>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</si>
  <si>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</si>
  <si>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</si>
  <si>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</si>
  <si>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</si>
  <si>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</si>
  <si>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</si>
  <si>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</si>
  <si>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</si>
  <si>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</si>
  <si>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</si>
  <si>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</si>
  <si>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</si>
  <si>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</si>
  <si>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</si>
  <si>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</si>
  <si>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</si>
  <si>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</si>
  <si>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</si>
  <si>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</si>
  <si>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</si>
  <si>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</si>
  <si>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</si>
  <si>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</si>
  <si>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</si>
  <si>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</si>
  <si>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</si>
  <si>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</si>
  <si>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</si>
  <si>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</si>
  <si>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</si>
  <si>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</si>
  <si>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</si>
  <si>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</si>
  <si>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</si>
  <si>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</si>
  <si>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</si>
  <si>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</si>
  <si>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</si>
  <si>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</si>
  <si>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</si>
  <si>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</si>
  <si>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</si>
  <si>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</si>
  <si>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</si>
  <si>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</si>
  <si>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</si>
  <si>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</si>
  <si>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</si>
  <si>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</si>
  <si>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</si>
  <si>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</si>
  <si>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</si>
  <si>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</si>
  <si>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</si>
  <si>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</si>
  <si>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</si>
  <si>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</si>
  <si>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</si>
  <si>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</si>
  <si>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</si>
  <si>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</si>
  <si>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</si>
  <si>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</si>
  <si>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</si>
  <si>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</si>
  <si>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</si>
  <si>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</si>
  <si>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</si>
  <si>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</si>
  <si>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</si>
  <si>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</si>
  <si>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</si>
  <si>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</si>
  <si>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</si>
  <si>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</si>
  <si>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</si>
  <si>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</si>
  <si>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</si>
  <si>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</si>
  <si>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</si>
  <si>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</si>
  <si>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</si>
  <si>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</si>
  <si>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</si>
  <si>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</si>
  <si>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</si>
  <si>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</si>
  <si>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</si>
  <si>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</si>
  <si>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</si>
  <si>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</si>
  <si>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</si>
  <si>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</si>
  <si>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</si>
  <si>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</si>
  <si>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</si>
  <si>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</si>
  <si>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</si>
  <si>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</si>
  <si>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</si>
  <si>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</si>
  <si>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</si>
  <si>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</si>
  <si>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</si>
  <si>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</si>
  <si>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</si>
  <si>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</si>
  <si>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</si>
  <si>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</si>
  <si>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</si>
  <si>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</si>
  <si>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</si>
  <si>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</si>
  <si>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</si>
  <si>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</si>
  <si>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</si>
  <si>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</si>
  <si>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</si>
  <si>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</si>
  <si>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</si>
  <si>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</si>
  <si>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</si>
  <si>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</si>
  <si>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</si>
  <si>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</si>
  <si>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</si>
  <si>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</si>
  <si>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</si>
  <si>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</si>
  <si>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</si>
  <si>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</si>
  <si>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</si>
  <si>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</si>
  <si>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</si>
  <si>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</si>
  <si>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</si>
  <si>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</si>
  <si>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</si>
  <si>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</si>
  <si>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</si>
  <si>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</si>
  <si>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</si>
  <si>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</si>
  <si>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</si>
  <si>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</si>
  <si>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</si>
  <si>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</si>
  <si>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</si>
  <si>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</si>
  <si>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</si>
  <si>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</si>
  <si>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</si>
  <si>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</si>
  <si>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</si>
  <si>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</si>
  <si>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</si>
  <si>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</si>
  <si>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</si>
  <si>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</si>
  <si>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</si>
  <si>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</si>
  <si>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</si>
  <si>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</si>
  <si>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</si>
  <si>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</si>
  <si>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</si>
  <si>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</si>
  <si>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</si>
  <si>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</si>
  <si>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</si>
  <si>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</si>
  <si>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</si>
  <si>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</si>
  <si>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</si>
  <si>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</si>
  <si>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</si>
  <si>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</si>
  <si>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</si>
  <si>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</si>
  <si>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</si>
  <si>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</si>
  <si>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</si>
  <si>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</si>
  <si>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</si>
  <si>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</si>
  <si>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</si>
  <si>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</si>
  <si>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</si>
  <si>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</si>
  <si>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</si>
  <si>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</si>
  <si>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</si>
  <si>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</si>
  <si>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</si>
  <si>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</si>
  <si>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</si>
  <si>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</si>
  <si>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</si>
  <si>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</si>
  <si>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</si>
  <si>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</si>
  <si>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</si>
  <si>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</si>
  <si>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</si>
  <si>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</si>
  <si>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</si>
  <si>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</si>
  <si>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</si>
  <si>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</si>
  <si>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</si>
  <si>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</si>
  <si>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</si>
  <si>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</si>
  <si>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</si>
  <si>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</si>
  <si>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</si>
  <si>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</si>
  <si>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</si>
  <si>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</si>
  <si>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</si>
  <si>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</si>
  <si>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</si>
  <si>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</si>
  <si>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</si>
  <si>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</si>
  <si>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</si>
  <si>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</si>
  <si>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</si>
  <si>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</si>
  <si>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</si>
  <si>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</si>
  <si>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</si>
  <si>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</si>
  <si>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</si>
  <si>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</si>
  <si>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</si>
  <si>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</si>
  <si>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</si>
  <si>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</si>
  <si>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</si>
  <si>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</si>
  <si>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</si>
  <si>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</si>
  <si>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</si>
  <si>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</si>
  <si>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</si>
  <si>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</si>
  <si>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</si>
  <si>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</si>
  <si>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</si>
  <si>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</si>
  <si>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</si>
  <si>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</si>
  <si>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</si>
  <si>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</si>
  <si>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</si>
  <si>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</si>
  <si>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</si>
  <si>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</si>
  <si>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</si>
  <si>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</si>
  <si>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</si>
  <si>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</si>
  <si>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</si>
  <si>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</si>
  <si>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</si>
  <si>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</si>
  <si>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</si>
  <si>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</si>
  <si>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</si>
  <si>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</si>
  <si>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</si>
  <si>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</si>
  <si>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</si>
  <si>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</si>
  <si>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</si>
  <si>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</si>
  <si>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</si>
  <si>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</si>
  <si>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</si>
  <si>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</si>
  <si>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</si>
  <si>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</si>
  <si>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</si>
  <si>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</si>
  <si>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</si>
  <si>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</si>
  <si>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</si>
  <si>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</si>
  <si>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</si>
  <si>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</si>
  <si>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</si>
  <si>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</si>
  <si>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</si>
  <si>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</si>
  <si>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</si>
  <si>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</si>
  <si>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</si>
  <si>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</si>
  <si>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</si>
  <si>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</si>
  <si>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</si>
  <si>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</si>
  <si>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</si>
  <si>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</si>
  <si>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</si>
  <si>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</si>
  <si>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</si>
  <si>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</si>
  <si>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</si>
  <si>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</si>
  <si>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</si>
  <si>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</si>
  <si>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</si>
  <si>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</si>
  <si>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</si>
  <si>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</si>
  <si>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</si>
  <si>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</si>
  <si>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</si>
  <si>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</si>
  <si>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</si>
  <si>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</si>
  <si>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</si>
  <si>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</si>
  <si>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</si>
  <si>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</si>
  <si>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</si>
  <si>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</si>
  <si>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</si>
  <si>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</si>
  <si>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</si>
  <si>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</si>
  <si>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</si>
  <si>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</si>
  <si>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</si>
  <si>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</si>
  <si>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</si>
  <si>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</si>
  <si>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</si>
  <si>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</si>
  <si>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</si>
  <si>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</si>
  <si>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</si>
  <si>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</si>
  <si>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</si>
  <si>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</si>
  <si>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</si>
  <si>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</si>
  <si>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</si>
  <si>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</si>
  <si>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</si>
  <si>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</si>
  <si>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</si>
  <si>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</si>
  <si>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</si>
  <si>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</si>
  <si>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</si>
  <si>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</si>
  <si>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</si>
  <si>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</si>
  <si>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</si>
  <si>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</si>
  <si>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</si>
  <si>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</si>
  <si>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</si>
  <si>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</si>
  <si>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</si>
  <si>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</si>
  <si>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</si>
  <si>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</si>
  <si>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</si>
  <si>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</si>
  <si>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</si>
  <si>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</si>
  <si>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</si>
  <si>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</si>
  <si>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</si>
  <si>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</si>
  <si>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</si>
  <si>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</si>
  <si>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</si>
  <si>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</si>
  <si>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</si>
  <si>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</si>
  <si>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</si>
  <si>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</si>
  <si>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</si>
  <si>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</si>
  <si>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</si>
  <si>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</si>
  <si>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</si>
  <si>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</si>
  <si>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</si>
  <si>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</si>
  <si>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</si>
  <si>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</si>
  <si>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</si>
  <si>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</si>
  <si>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</si>
  <si>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</si>
  <si>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</si>
  <si>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</si>
  <si>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</si>
  <si>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</si>
  <si>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</si>
  <si>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</si>
  <si>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</si>
  <si>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</si>
  <si>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</si>
  <si>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</si>
  <si>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</si>
  <si>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</si>
  <si>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</si>
  <si>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</si>
  <si>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</si>
  <si>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</si>
  <si>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</si>
  <si>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</si>
  <si>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</si>
  <si>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</si>
  <si>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</si>
  <si>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</si>
  <si>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</si>
  <si>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</si>
  <si>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</si>
  <si>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</si>
  <si>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</si>
  <si>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</si>
  <si>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</si>
  <si>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</si>
  <si>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</si>
  <si>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</si>
  <si>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</si>
  <si>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</si>
  <si>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</si>
  <si>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</si>
  <si>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</si>
  <si>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</si>
  <si>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</si>
  <si>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</si>
  <si>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</si>
  <si>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</si>
  <si>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</si>
  <si>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</si>
  <si>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</si>
  <si>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</si>
  <si>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</si>
  <si>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</si>
  <si>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</si>
  <si>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</si>
  <si>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</si>
  <si>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</si>
  <si>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</si>
  <si>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</si>
  <si>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</si>
  <si>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</si>
  <si>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</si>
  <si>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</si>
  <si>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</si>
  <si>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</si>
  <si>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</si>
  <si>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</si>
  <si>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</si>
  <si>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</si>
  <si>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</si>
  <si>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</si>
  <si>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</si>
  <si>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</si>
  <si>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</si>
  <si>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</si>
  <si>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</si>
  <si>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</si>
  <si>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</si>
  <si>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</si>
  <si>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</si>
  <si>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</si>
  <si>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</si>
  <si>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</si>
  <si>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</si>
  <si>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</si>
  <si>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</si>
  <si>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</si>
  <si>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</si>
  <si>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</si>
  <si>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</si>
  <si>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</si>
  <si>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</si>
  <si>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</si>
  <si>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</si>
  <si>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</si>
  <si>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</si>
  <si>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</si>
  <si>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</si>
  <si>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</si>
  <si>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</si>
  <si>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</si>
  <si>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</si>
  <si>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</si>
  <si>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</si>
  <si>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</si>
  <si>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</si>
  <si>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</si>
  <si>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</si>
  <si>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</si>
  <si>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</si>
  <si>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</si>
  <si>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</si>
  <si>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</si>
  <si>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</si>
  <si>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</si>
  <si>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</si>
  <si>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</si>
  <si>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</si>
  <si>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</si>
  <si>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</si>
  <si>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</si>
  <si>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</si>
  <si>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</si>
  <si>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</si>
  <si>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</si>
  <si>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</si>
  <si>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</si>
  <si>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</si>
  <si>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</si>
  <si>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</si>
  <si>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</si>
  <si>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</si>
  <si>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</si>
  <si>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</si>
  <si>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</si>
  <si>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</si>
  <si>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</si>
  <si>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</si>
  <si>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</si>
  <si>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</si>
  <si>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</si>
  <si>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</si>
  <si>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</si>
  <si>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</si>
  <si>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</si>
  <si>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</si>
  <si>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</si>
  <si>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</si>
  <si>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</si>
  <si>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</si>
  <si>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</si>
  <si>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</si>
  <si>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</si>
  <si>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</si>
  <si>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</si>
  <si>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</si>
  <si>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</si>
  <si>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</si>
  <si>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</si>
  <si>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</si>
  <si>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</si>
  <si>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</si>
  <si>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</si>
  <si>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</si>
  <si>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</si>
  <si>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</si>
  <si>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</si>
  <si>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</si>
  <si>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</si>
  <si>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</si>
  <si>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</si>
  <si>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</si>
  <si>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</si>
  <si>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</si>
  <si>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</si>
  <si>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</si>
  <si>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</si>
  <si>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</si>
  <si>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</si>
  <si>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</si>
  <si>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</si>
  <si>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</si>
  <si>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</si>
  <si>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</si>
  <si>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</si>
  <si>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</si>
  <si>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</si>
  <si>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</si>
  <si>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</si>
  <si>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</si>
  <si>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</si>
  <si>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</si>
  <si>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</si>
  <si>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</si>
  <si>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</si>
  <si>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</si>
  <si>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</si>
  <si>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</si>
  <si>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</si>
  <si>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</si>
  <si>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</si>
  <si>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</si>
  <si>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</si>
  <si>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</si>
  <si>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</si>
  <si>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</si>
  <si>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</si>
  <si>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</si>
  <si>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</si>
  <si>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</si>
  <si>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</si>
  <si>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</si>
  <si>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</si>
  <si>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</si>
  <si>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</si>
  <si>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</si>
  <si>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</si>
  <si>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</si>
  <si>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</si>
  <si>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</si>
  <si>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</si>
  <si>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</si>
  <si>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</si>
  <si>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</si>
  <si>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</si>
  <si>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</si>
  <si>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</si>
  <si>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</si>
  <si>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</si>
  <si>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</si>
  <si>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</si>
  <si>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</si>
  <si>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</si>
  <si>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</si>
  <si>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</si>
  <si>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</si>
  <si>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</si>
  <si>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</si>
  <si>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</si>
  <si>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</si>
  <si>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</si>
  <si>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</si>
  <si>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</si>
  <si>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</si>
  <si>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</si>
  <si>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</si>
  <si>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</si>
  <si>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</si>
  <si>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</si>
  <si>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</si>
  <si>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</si>
  <si>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</si>
  <si>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</si>
  <si>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</si>
  <si>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</si>
  <si>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</si>
  <si>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</si>
  <si>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</si>
  <si>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</si>
  <si>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</si>
  <si>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</si>
  <si>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</si>
  <si>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</si>
  <si>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</si>
  <si>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</si>
  <si>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</si>
  <si>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</si>
  <si>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</si>
  <si>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</si>
  <si>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</si>
  <si>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</si>
  <si>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</si>
  <si>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</si>
  <si>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</si>
  <si>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</si>
  <si>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</si>
  <si>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</si>
  <si>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</si>
  <si>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</si>
  <si>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</si>
  <si>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</si>
  <si>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</si>
  <si>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</si>
  <si>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</si>
  <si>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</si>
  <si>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</si>
  <si>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</si>
  <si>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</si>
  <si>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</si>
  <si>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</si>
  <si>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</si>
  <si>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</si>
  <si>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</si>
  <si>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</si>
  <si>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</si>
  <si>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</si>
  <si>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</si>
  <si>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</si>
  <si>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</si>
  <si>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</si>
  <si>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</si>
  <si>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</si>
  <si>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</si>
  <si>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</si>
  <si>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</si>
  <si>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</si>
  <si>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</si>
  <si>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</si>
  <si>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</si>
  <si>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</si>
  <si>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</si>
  <si>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</si>
  <si>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</si>
  <si>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</si>
  <si>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</si>
  <si>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</si>
  <si>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</si>
  <si>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</si>
  <si>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</si>
  <si>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</si>
  <si>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</si>
  <si>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</si>
  <si>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</si>
  <si>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</si>
  <si>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</si>
  <si>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</si>
  <si>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</si>
  <si>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</si>
  <si>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</si>
  <si>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</si>
  <si>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</si>
  <si>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</si>
  <si>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</si>
  <si>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</si>
  <si>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</si>
  <si>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</si>
  <si>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</si>
  <si>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</si>
  <si>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</si>
  <si>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</si>
  <si>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</si>
  <si>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</si>
  <si>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</si>
  <si>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</si>
  <si>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</si>
  <si>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</si>
  <si>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</si>
  <si>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</si>
  <si>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</si>
  <si>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</si>
  <si>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</si>
  <si>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</si>
  <si>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</si>
  <si>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</si>
  <si>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</si>
  <si>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</si>
  <si>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</si>
  <si>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</si>
  <si>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</si>
  <si>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</si>
  <si>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</si>
  <si>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</si>
  <si>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</si>
  <si>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</si>
  <si>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</si>
  <si>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</si>
  <si>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</si>
  <si>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</si>
  <si>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</si>
  <si>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</si>
  <si>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</si>
  <si>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</si>
  <si>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</si>
  <si>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</si>
  <si>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</si>
  <si>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</si>
  <si>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</si>
  <si>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</si>
  <si>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</si>
  <si>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</si>
  <si>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</si>
  <si>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</si>
  <si>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</si>
  <si>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</si>
  <si>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</si>
  <si>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</si>
  <si>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</si>
  <si>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</si>
  <si>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</si>
  <si>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</si>
  <si>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</si>
  <si>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</si>
  <si>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</si>
  <si>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</si>
  <si>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</si>
  <si>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</si>
  <si>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</si>
  <si>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</si>
  <si>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</si>
  <si>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</si>
  <si>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</si>
  <si>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</si>
  <si>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</si>
  <si>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</si>
  <si>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</si>
  <si>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</si>
  <si>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</si>
  <si>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</si>
  <si>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</si>
  <si>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</si>
  <si>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</si>
  <si>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</si>
  <si>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</si>
  <si>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</si>
  <si>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</si>
  <si>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</si>
  <si>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</si>
  <si>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</si>
  <si>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</si>
  <si>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</si>
  <si>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</si>
  <si>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</si>
  <si>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</si>
  <si>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</si>
  <si>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</si>
  <si>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</si>
  <si>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</si>
  <si>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</si>
  <si>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</si>
  <si>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</si>
  <si>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</si>
  <si>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</si>
  <si>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</si>
  <si>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</si>
  <si>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</si>
  <si>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</si>
  <si>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</si>
  <si>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</si>
  <si>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</si>
  <si>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</si>
  <si>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</si>
  <si>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</si>
  <si>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</si>
  <si>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</si>
  <si>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</si>
  <si>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</si>
  <si>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</si>
  <si>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</si>
  <si>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</si>
  <si>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</si>
  <si>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</si>
  <si>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</si>
  <si>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</si>
  <si>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</si>
  <si>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</si>
  <si>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</si>
  <si>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</si>
  <si>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</si>
  <si>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</si>
  <si>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</si>
  <si>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</si>
  <si>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</si>
  <si>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</si>
  <si>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</si>
  <si>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</si>
  <si>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</si>
  <si>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</si>
  <si>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</si>
  <si>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</si>
  <si>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</si>
  <si>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</si>
  <si>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</si>
  <si>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</si>
  <si>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</si>
  <si>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</si>
  <si>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</si>
  <si>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</si>
  <si>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</si>
  <si>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</si>
  <si>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</si>
  <si>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</si>
  <si>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</si>
  <si>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</si>
  <si>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</si>
  <si>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</si>
  <si>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</si>
  <si>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</si>
  <si>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</si>
  <si>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</si>
  <si>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</si>
  <si>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</si>
  <si>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</si>
  <si>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</si>
  <si>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</si>
  <si>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</si>
  <si>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</si>
  <si>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</si>
  <si>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</si>
  <si>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</si>
  <si>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</si>
  <si>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</si>
  <si>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</si>
  <si>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</si>
  <si>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</si>
  <si>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</si>
  <si>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</si>
  <si>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</si>
  <si>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</si>
  <si>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</si>
  <si>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</si>
  <si>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</si>
  <si>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</si>
  <si>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</si>
  <si>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</si>
  <si>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</si>
  <si>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</si>
  <si>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</si>
  <si>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</si>
  <si>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</si>
  <si>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</si>
  <si>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</si>
  <si>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</si>
  <si>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</si>
  <si>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</si>
  <si>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</si>
  <si>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</si>
  <si>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</si>
  <si>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</si>
  <si>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</si>
  <si>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</si>
  <si>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</si>
  <si>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</si>
  <si>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</si>
  <si>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</si>
  <si>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</si>
  <si>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</si>
  <si>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</si>
  <si>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</si>
  <si>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</si>
  <si>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</si>
  <si>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</si>
  <si>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</si>
  <si>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</si>
  <si>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</si>
  <si>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</si>
  <si>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</si>
  <si>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</si>
  <si>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</si>
  <si>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</si>
  <si>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</si>
  <si>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</si>
  <si>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</si>
  <si>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</si>
  <si>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</si>
  <si>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</si>
  <si>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</si>
  <si>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</si>
  <si>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</si>
  <si>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</si>
  <si>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</si>
  <si>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</si>
  <si>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</si>
  <si>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</si>
  <si>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</si>
  <si>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</si>
  <si>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</si>
  <si>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</si>
  <si>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</si>
  <si>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</si>
  <si>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</si>
  <si>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</si>
  <si>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</si>
  <si>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</si>
  <si>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</si>
  <si>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</si>
  <si>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</si>
  <si>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</si>
  <si>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</si>
  <si>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</si>
  <si>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</si>
  <si>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</si>
  <si>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</si>
  <si>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</si>
  <si>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</si>
  <si>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</si>
  <si>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</si>
  <si>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</si>
  <si>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</si>
  <si>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</si>
  <si>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</si>
  <si>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</si>
  <si>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</si>
  <si>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</si>
  <si>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</si>
  <si>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</si>
  <si>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</si>
  <si>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</si>
  <si>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</si>
  <si>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</si>
  <si>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</si>
  <si>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</si>
  <si>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</si>
  <si>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</si>
  <si>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</si>
  <si>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</si>
  <si>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</si>
  <si>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</si>
  <si>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</si>
  <si>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</si>
  <si>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</si>
  <si>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</si>
  <si>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</si>
  <si>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</si>
  <si>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</si>
  <si>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</si>
  <si>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</si>
  <si>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</si>
  <si>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</si>
  <si>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</si>
  <si>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</si>
  <si>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</si>
  <si>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</si>
  <si>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</si>
  <si>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</si>
  <si>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</si>
  <si>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</si>
  <si>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</si>
  <si>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</si>
  <si>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</si>
  <si>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</si>
  <si>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</si>
  <si>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</si>
  <si>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</si>
  <si>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</si>
  <si>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</si>
  <si>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</si>
  <si>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</si>
  <si>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</si>
  <si>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</si>
  <si>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</si>
  <si>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</si>
  <si>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</si>
  <si>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</si>
  <si>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</si>
  <si>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</si>
  <si>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</si>
  <si>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</si>
  <si>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</si>
  <si>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</si>
  <si>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</si>
  <si>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</si>
  <si>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</si>
  <si>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</si>
  <si>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</si>
  <si>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</si>
  <si>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</si>
  <si>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</si>
  <si>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</si>
  <si>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</si>
  <si>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</si>
  <si>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</si>
  <si>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</si>
  <si>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</si>
  <si>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</si>
  <si>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</si>
  <si>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</si>
  <si>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</si>
  <si>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</si>
  <si>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</si>
  <si>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</si>
  <si>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</si>
  <si>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</si>
  <si>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</si>
  <si>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</si>
  <si>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</si>
  <si>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</si>
  <si>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</si>
  <si>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</si>
  <si>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</si>
  <si>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</si>
  <si>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</si>
  <si>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</si>
  <si>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</si>
  <si>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</si>
  <si>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</si>
  <si>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</si>
  <si>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</si>
  <si>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</si>
  <si>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</si>
  <si>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</si>
  <si>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</si>
  <si>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</si>
  <si>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</si>
  <si>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</si>
  <si>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</si>
  <si>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</si>
  <si>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</si>
  <si>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</si>
  <si>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</si>
  <si>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</si>
  <si>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</si>
  <si>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</si>
  <si>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</si>
  <si>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</si>
  <si>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</si>
  <si>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</si>
  <si>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</si>
  <si>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</si>
  <si>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</si>
  <si>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</si>
  <si>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</si>
  <si>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</si>
  <si>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</si>
  <si>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</si>
  <si>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</si>
  <si>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</si>
  <si>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</si>
  <si>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</si>
  <si>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</si>
  <si>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</si>
  <si>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</si>
  <si>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</si>
  <si>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</si>
  <si>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</si>
  <si>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</si>
  <si>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</si>
  <si>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</si>
  <si>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</si>
  <si>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</si>
  <si>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</si>
  <si>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</si>
  <si>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</si>
  <si>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</si>
  <si>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</si>
  <si>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</si>
  <si>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</si>
  <si>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</si>
  <si>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</si>
  <si>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</si>
  <si>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</si>
  <si>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</si>
  <si>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</si>
  <si>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</si>
  <si>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</si>
  <si>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</si>
  <si>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</si>
  <si>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</si>
  <si>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</si>
  <si>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</si>
  <si>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</si>
  <si>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</si>
  <si>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</si>
  <si>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</si>
  <si>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</si>
  <si>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</si>
  <si>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</si>
  <si>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</si>
  <si>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</si>
  <si>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</si>
  <si>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</si>
  <si>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</si>
  <si>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</si>
  <si>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</si>
  <si>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</si>
  <si>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</si>
  <si>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</si>
  <si>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</si>
  <si>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</si>
  <si>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</si>
  <si>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</si>
  <si>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</si>
  <si>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</si>
  <si>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</si>
  <si>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</si>
  <si>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</si>
  <si>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</si>
  <si>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</si>
  <si>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</si>
  <si>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</si>
  <si>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</si>
  <si>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</si>
  <si>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</si>
  <si>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</si>
  <si>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</si>
  <si>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</si>
  <si>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</si>
  <si>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</si>
  <si>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</si>
  <si>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</si>
  <si>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</si>
  <si>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</si>
  <si>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</si>
  <si>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</si>
  <si>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</si>
  <si>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</si>
  <si>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</si>
  <si>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</si>
  <si>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</si>
  <si>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</si>
  <si>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</si>
  <si>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</si>
  <si>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</si>
  <si>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</si>
  <si>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</si>
  <si>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</si>
  <si>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</si>
  <si>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</si>
  <si>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</si>
  <si>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</si>
  <si>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</si>
  <si>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</si>
  <si>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</si>
  <si>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</si>
  <si>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</si>
  <si>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</si>
  <si>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</si>
  <si>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</si>
  <si>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</si>
  <si>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</si>
  <si>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</si>
  <si>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</si>
  <si>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</si>
  <si>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</si>
  <si>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</si>
  <si>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</si>
  <si>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</si>
  <si>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</si>
  <si>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</si>
  <si>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</si>
  <si>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</si>
  <si>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</si>
  <si>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</si>
  <si>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</si>
  <si>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</si>
  <si>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</si>
  <si>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</si>
  <si>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</si>
  <si>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</si>
  <si>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</si>
  <si>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</si>
  <si>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</si>
  <si>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</si>
  <si>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</si>
  <si>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</si>
  <si>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</si>
  <si>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</si>
  <si>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</si>
  <si>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</si>
  <si>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</si>
  <si>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</si>
  <si>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</si>
  <si>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</si>
  <si>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</si>
  <si>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</si>
  <si>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</si>
  <si>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</si>
  <si>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</si>
  <si>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</si>
  <si>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</si>
  <si>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</si>
  <si>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</si>
  <si>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</si>
  <si>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</si>
  <si>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</si>
  <si>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</si>
  <si>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</si>
  <si>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</si>
  <si>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</si>
  <si>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</si>
  <si>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</si>
  <si>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</si>
  <si>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</si>
  <si>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</si>
  <si>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</si>
  <si>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</si>
  <si>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</si>
  <si>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</si>
  <si>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</si>
  <si>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</si>
  <si>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</si>
  <si>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</si>
  <si>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</si>
  <si>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</si>
  <si>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</si>
  <si>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</si>
  <si>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</si>
  <si>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</si>
  <si>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</si>
  <si>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</si>
  <si>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</si>
  <si>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</si>
  <si>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</si>
  <si>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</si>
  <si>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</si>
  <si>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</si>
  <si>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</si>
  <si>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</si>
  <si>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</si>
  <si>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</si>
  <si>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</si>
  <si>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</si>
  <si>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</si>
  <si>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</si>
  <si>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</si>
  <si>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</si>
  <si>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</si>
  <si>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</si>
  <si>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</si>
  <si>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</si>
  <si>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</si>
  <si>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</si>
  <si>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</si>
  <si>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</si>
  <si>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</si>
  <si>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</si>
  <si>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</si>
  <si>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</si>
  <si>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</si>
  <si>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</si>
  <si>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</si>
  <si>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</si>
  <si>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</si>
  <si>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</si>
  <si>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</si>
  <si>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</si>
  <si>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</si>
  <si>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</si>
  <si>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</si>
  <si>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</si>
  <si>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</si>
  <si>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</si>
  <si>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</si>
  <si>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</si>
  <si>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</si>
  <si>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</si>
  <si>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</si>
  <si>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</si>
  <si>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</si>
  <si>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</si>
  <si>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</si>
  <si>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</si>
  <si>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</si>
  <si>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</si>
  <si>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</si>
  <si>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</si>
  <si>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</si>
  <si>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</si>
  <si>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</si>
  <si>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</si>
  <si>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</si>
  <si>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</si>
  <si>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</si>
  <si>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</si>
  <si>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</si>
  <si>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</si>
  <si>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</si>
  <si>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</si>
  <si>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</si>
  <si>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</si>
  <si>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</si>
  <si>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</si>
  <si>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</si>
  <si>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</si>
  <si>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</si>
  <si>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</si>
  <si>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</si>
  <si>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</si>
  <si>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</si>
  <si>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</si>
  <si>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</si>
  <si>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</si>
  <si>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</si>
  <si>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</si>
  <si>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</si>
  <si>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</si>
  <si>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</si>
  <si>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</si>
  <si>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</si>
  <si>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</si>
  <si>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</si>
  <si>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</si>
  <si>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</si>
  <si>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</si>
  <si>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</si>
  <si>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</si>
  <si>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</si>
  <si>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</si>
  <si>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</si>
  <si>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</si>
  <si>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</si>
  <si>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</si>
  <si>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</si>
  <si>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</si>
  <si>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</si>
  <si>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</si>
  <si>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</si>
  <si>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</si>
  <si>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</si>
  <si>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</si>
  <si>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</si>
  <si>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</si>
  <si>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</si>
  <si>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</si>
  <si>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</si>
  <si>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</si>
  <si>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</si>
  <si>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</si>
  <si>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</si>
  <si>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</si>
  <si>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</si>
  <si>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</si>
  <si>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</si>
  <si>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</si>
  <si>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</si>
  <si>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</si>
  <si>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</si>
  <si>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</si>
  <si>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</si>
  <si>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</si>
  <si>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</si>
  <si>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</si>
  <si>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</si>
  <si>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</si>
  <si>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</si>
  <si>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</si>
  <si>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</si>
  <si>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</si>
  <si>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</si>
  <si>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</si>
  <si>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</si>
  <si>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</si>
  <si>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</si>
  <si>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</si>
  <si>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</si>
  <si>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</si>
  <si>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</si>
  <si>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</si>
  <si>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</si>
  <si>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</si>
  <si>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</si>
  <si>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</si>
  <si>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</si>
  <si>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</si>
  <si>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</si>
  <si>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</si>
  <si>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</si>
  <si>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</si>
  <si>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</si>
  <si>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</si>
  <si>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</si>
  <si>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</si>
  <si>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</si>
  <si>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</si>
  <si>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</si>
  <si>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</si>
  <si>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</si>
  <si>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</si>
  <si>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</si>
  <si>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</si>
  <si>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</si>
  <si>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</si>
  <si>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</si>
  <si>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</si>
  <si>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</si>
  <si>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</si>
  <si>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</si>
  <si>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</si>
  <si>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</si>
  <si>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</si>
  <si>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</si>
  <si>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</si>
  <si>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</si>
  <si>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</si>
  <si>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</si>
  <si>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</si>
  <si>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</si>
  <si>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</si>
  <si>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</si>
  <si>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</si>
  <si>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</si>
  <si>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</si>
  <si>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</si>
  <si>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</si>
  <si>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</si>
  <si>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</si>
  <si>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</si>
  <si>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</si>
  <si>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</si>
  <si>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</si>
  <si>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</si>
  <si>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</si>
  <si>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</si>
  <si>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</si>
  <si>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</si>
  <si>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</si>
  <si>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</si>
  <si>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</si>
  <si>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</si>
  <si>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</si>
  <si>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</si>
  <si>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</si>
  <si>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</si>
  <si>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</si>
  <si>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</si>
  <si>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</si>
  <si>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</si>
  <si>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</si>
  <si>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</si>
  <si>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</si>
  <si>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</si>
  <si>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</si>
  <si>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</si>
  <si>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</si>
  <si>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</si>
  <si>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</si>
  <si>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</si>
  <si>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</si>
  <si>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</si>
  <si>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</si>
  <si>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</si>
  <si>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</si>
  <si>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</si>
  <si>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</si>
  <si>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</si>
  <si>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</si>
  <si>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</si>
  <si>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</si>
  <si>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</si>
  <si>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</si>
  <si>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</si>
  <si>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</si>
  <si>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</si>
  <si>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</si>
  <si>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</si>
  <si>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</si>
  <si>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</si>
  <si>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</si>
  <si>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</si>
  <si>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</si>
  <si>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</si>
  <si>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</si>
  <si>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</si>
  <si>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</si>
  <si>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</si>
  <si>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</si>
  <si>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</si>
  <si>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</si>
  <si>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</si>
  <si>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</si>
  <si>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</si>
  <si>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</si>
  <si>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</si>
  <si>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</si>
  <si>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</si>
  <si>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</si>
  <si>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</si>
  <si>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</si>
  <si>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</si>
  <si>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</si>
  <si>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</si>
  <si>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</si>
  <si>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</si>
  <si>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</si>
  <si>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</si>
  <si>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</si>
  <si>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</si>
  <si>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</si>
  <si>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</si>
  <si>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</si>
  <si>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</si>
  <si>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</si>
  <si>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</si>
  <si>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</si>
  <si>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</si>
  <si>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</si>
  <si>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</si>
  <si>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</si>
  <si>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</si>
  <si>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</si>
  <si>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</si>
  <si>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</si>
  <si>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</si>
  <si>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</si>
  <si>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</si>
  <si>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</si>
  <si>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</si>
  <si>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</si>
  <si>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</si>
  <si>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</si>
  <si>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</si>
  <si>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</si>
  <si>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</si>
  <si>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</si>
  <si>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</si>
  <si>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</si>
  <si>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</si>
  <si>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</si>
  <si>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</si>
  <si>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</si>
  <si>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</si>
  <si>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</si>
  <si>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</si>
  <si>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</si>
  <si>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</si>
  <si>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</si>
  <si>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</si>
  <si>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</si>
  <si>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</si>
  <si>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</si>
  <si>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</si>
  <si>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</si>
  <si>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</si>
  <si>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</si>
  <si>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</si>
  <si>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</si>
  <si>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</si>
  <si>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</si>
  <si>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</si>
  <si>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</si>
  <si>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</si>
  <si>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</si>
  <si>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</si>
  <si>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</si>
  <si>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</si>
  <si>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</si>
  <si>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</si>
  <si>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</si>
  <si>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</si>
  <si>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</si>
  <si>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</si>
  <si>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</si>
  <si>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</si>
  <si>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</si>
  <si>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</si>
  <si>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</si>
  <si>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</si>
  <si>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</si>
  <si>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</si>
  <si>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</si>
  <si>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</si>
  <si>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</si>
  <si>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</si>
  <si>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</si>
  <si>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</si>
  <si>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</si>
  <si>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</si>
  <si>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</si>
  <si>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</si>
  <si>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</si>
  <si>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</si>
  <si>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</si>
  <si>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</si>
  <si>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</si>
  <si>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</si>
  <si>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</si>
  <si>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</si>
  <si>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</si>
  <si>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</si>
  <si>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</si>
  <si>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</si>
  <si>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</si>
  <si>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</si>
  <si>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</si>
  <si>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</si>
  <si>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</si>
  <si>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</si>
  <si>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</si>
  <si>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</si>
  <si>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</si>
  <si>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</si>
  <si>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</si>
  <si>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</si>
  <si>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</si>
  <si>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</si>
  <si>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</si>
  <si>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</si>
  <si>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</si>
  <si>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</si>
  <si>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</si>
  <si>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</si>
  <si>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</si>
  <si>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</si>
  <si>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</si>
  <si>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</si>
  <si>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</si>
  <si>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</si>
  <si>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</si>
  <si>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</si>
  <si>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</si>
  <si>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</si>
  <si>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</si>
  <si>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</si>
  <si>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</si>
  <si>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</si>
  <si>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</si>
  <si>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</si>
  <si>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</si>
  <si>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</si>
  <si>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</si>
  <si>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</si>
  <si>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</si>
  <si>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</si>
  <si>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</si>
  <si>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</si>
  <si>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</si>
  <si>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</si>
  <si>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</si>
  <si>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</si>
  <si>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</si>
  <si>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</si>
  <si>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</si>
  <si>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</si>
  <si>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</si>
  <si>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</si>
  <si>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</si>
  <si>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</si>
  <si>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</si>
  <si>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</si>
  <si>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</si>
  <si>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</si>
  <si>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</si>
  <si>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</si>
  <si>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</si>
  <si>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</si>
  <si>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</si>
  <si>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</si>
  <si>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吴薇</t>
  </si>
  <si>
    <t>崔锴</t>
  </si>
  <si>
    <t>朱元忠</t>
    <phoneticPr fontId="6" type="noConversion"/>
  </si>
  <si>
    <t>抵押</t>
  </si>
  <si>
    <t>房地产抵押价值</t>
  </si>
  <si>
    <t>北京市</t>
  </si>
  <si>
    <r>
      <rPr>
        <sz val="12"/>
        <color theme="9" tint="-0.249977111117893"/>
        <rFont val="宋体"/>
        <family val="3"/>
        <charset val="134"/>
      </rPr>
      <t>石景山区玉泉西里二区</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层商业</t>
    </r>
    <r>
      <rPr>
        <sz val="12"/>
        <color theme="9" tint="-0.249977111117893"/>
        <rFont val="Arial"/>
        <family val="2"/>
      </rPr>
      <t>05</t>
    </r>
    <r>
      <rPr>
        <sz val="12"/>
        <color theme="9" tint="-0.249977111117893"/>
        <rFont val="宋体"/>
        <family val="3"/>
        <charset val="134"/>
      </rPr>
      <t>号</t>
    </r>
    <phoneticPr fontId="6" type="noConversion"/>
  </si>
  <si>
    <t>自然人</t>
  </si>
  <si>
    <t>出让</t>
  </si>
  <si>
    <t>商业</t>
    <phoneticPr fontId="6" type="noConversion"/>
  </si>
  <si>
    <r>
      <t>25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</si>
  <si>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</si>
  <si>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否</t>
  </si>
  <si>
    <t>复印件</t>
  </si>
  <si>
    <t>商业项目</t>
  </si>
  <si>
    <t>无</t>
  </si>
  <si>
    <t>现房</t>
  </si>
  <si>
    <t>通路</t>
  </si>
  <si>
    <t>通电</t>
  </si>
  <si>
    <t>通讯</t>
  </si>
  <si>
    <t>通上水</t>
  </si>
  <si>
    <t>通下水</t>
  </si>
  <si>
    <t>是</t>
  </si>
  <si>
    <t>商业楼</t>
    <phoneticPr fontId="3" type="noConversion"/>
  </si>
  <si>
    <t>地上</t>
  </si>
  <si>
    <t>独栋</t>
  </si>
  <si>
    <t>地下</t>
  </si>
  <si>
    <t>建成</t>
    <phoneticPr fontId="3" type="noConversion"/>
  </si>
  <si>
    <t>年</t>
    <phoneticPr fontId="3" type="noConversion"/>
  </si>
  <si>
    <t>建筑面积</t>
    <phoneticPr fontId="3" type="noConversion"/>
  </si>
  <si>
    <t>商业</t>
    <phoneticPr fontId="7" type="noConversion"/>
  </si>
  <si>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</si>
  <si>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</si>
  <si>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</si>
  <si>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</si>
  <si>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t>建筑面积</t>
    <phoneticPr fontId="3" type="noConversion"/>
  </si>
  <si>
    <t>楼层系数</t>
    <phoneticPr fontId="3" type="noConversion"/>
  </si>
  <si>
    <t>租金</t>
    <phoneticPr fontId="3" type="noConversion"/>
  </si>
  <si>
    <t>年租金</t>
    <phoneticPr fontId="3" type="noConversion"/>
  </si>
  <si>
    <t>合同租金</t>
    <phoneticPr fontId="3" type="noConversion"/>
  </si>
  <si>
    <t>收益法</t>
  </si>
  <si>
    <t>较好</t>
  </si>
  <si>
    <t>较好</t>
    <phoneticPr fontId="25" type="noConversion"/>
  </si>
  <si>
    <t>较好</t>
    <phoneticPr fontId="41" type="noConversion"/>
  </si>
  <si>
    <t>七通</t>
    <phoneticPr fontId="25" type="noConversion"/>
  </si>
  <si>
    <t>较好</t>
    <phoneticPr fontId="41" type="noConversion"/>
  </si>
  <si>
    <t>商务金融用地（商业类）</t>
  </si>
  <si>
    <t>不临58条商业街</t>
  </si>
  <si>
    <r>
      <t>9000</t>
    </r>
    <r>
      <rPr>
        <sz val="10"/>
        <color indexed="8"/>
        <rFont val="宋体"/>
        <family val="3"/>
        <charset val="134"/>
      </rPr>
      <t>万</t>
    </r>
    <phoneticPr fontId="8" type="noConversion"/>
  </si>
  <si>
    <t>平整</t>
  </si>
  <si>
    <t>与级别开发程度不一致</t>
  </si>
  <si>
    <t>按公示增长率计算</t>
  </si>
  <si>
    <t>一般</t>
  </si>
  <si>
    <t>好</t>
  </si>
  <si>
    <t>自定义容积率</t>
  </si>
  <si>
    <t>未包含在土地购买价格中</t>
  </si>
  <si>
    <t>全部缴纳</t>
  </si>
  <si>
    <t>已包含在土地取得成本中</t>
  </si>
  <si>
    <t>押一</t>
  </si>
  <si>
    <t>按租金收入计税</t>
  </si>
  <si>
    <t>钢混</t>
  </si>
  <si>
    <t>非生产用房</t>
  </si>
  <si>
    <t xml:space="preserve"> </t>
    <phoneticPr fontId="3" type="noConversion"/>
  </si>
  <si>
    <t xml:space="preserve"> </t>
    <phoneticPr fontId="3" type="noConversion"/>
  </si>
  <si>
    <t>比较法-商业</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</si>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</sst>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50" fillId="6" borderId="0" xfId="0" applyNumberFormat="1" applyFont="1" applyFill="1" applyAlignment="1" applyProtection="1">
      <alignment vertical="center"/>
      <protection locked="0"/>
    </xf>
    <xf numFmtId="0" fontId="47" fillId="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31</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33334" cy="5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北京市石景山区玉泉西里二区1号楼-1至2层商业05号出让国有建设用地使用权及在建建筑物房地产抵押价值预评估</v>
      </c>
    </row>
    <row r="3" spans="1:2" s="1593" customFormat="1">
      <c r="A3" s="1591" t="s">
        <v>1216</v>
      </c>
      <c r="B3" s="1592" t="str">
        <f>'预评函-封皮'!B40</f>
        <v>朱元忠</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受贵公司委托，我公司对北京市石景山区玉泉西里二区1号楼-1至2层商业05号出让国有建设用地使用权及在建建筑物房地产抵押价值进行了预评估。</v>
      </c>
    </row>
    <row r="7" spans="1:2" s="1593" customFormat="1">
      <c r="A7" s="1591" t="s">
        <v>1259</v>
      </c>
      <c r="B7" s="1592" t="str">
        <f>'预评函-1'!A7</f>
        <v>估价对象为北京市石景山区玉泉西里二区1号楼-1至2层商业05号出让国有建设用地使用权及在建建筑物房地产，为朱元忠所有。根据《国有土地使用证》[]，估价对象（分摊）出让国有建设用地使用权面积为0平方米。根据《房屋所有权证》[]，估价对象建筑面积为1894.58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石景山区玉泉西里二区1号楼-1至2层商业05号出让国有建设用地使用权及在建建筑物房地产,属朱元忠开发建设的商业项目，该项目尚在开发建设中。根据《国有土地使用证》[]，估价对象（分摊）出让国有建设用地使用权面积为0平方米。根据《房屋所有权证》[]，估价对象规划建筑面积为1894.58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为估价委托人在向办理贷款手续过程中，确定房地产抵押贷款额度提供参考依据而评估房地产抵押价值。</v>
      </c>
    </row>
    <row r="12" spans="1:2" s="1593" customFormat="1">
      <c r="A12" s="1591" t="s">
        <v>1221</v>
      </c>
      <c r="B12" s="1592" t="str">
        <f>'预评函-1'!A15</f>
        <v>2020年1月21日（评估专业人员实地查勘之日）</v>
      </c>
    </row>
    <row r="13" spans="1:2" s="1593" customFormat="1">
      <c r="A13" s="1591" t="s">
        <v>1222</v>
      </c>
      <c r="B13" s="1592" t="str">
        <f>'预评函-1'!A18</f>
        <v>本次估价的“房地产价值”是指在正常市场情况下，在价值时点2020年1月21日，估价对象规划用途为商业，土地取得方式为出让，出让国有建设用地使用权剩余土地使用年限为25年，假定未设立法定优先受偿款下的房地产市场价值。</v>
      </c>
    </row>
    <row r="14" spans="1:2" s="1593" customFormat="1">
      <c r="A14" s="1591" t="s">
        <v>1223</v>
      </c>
      <c r="B14" s="1592" t="str">
        <f>'预评函-1'!A19</f>
        <v>其中，“出让国有建设用地使用权价值”是指估价对象用途为商业，实际开发程度为宗地红线外“五通”（即通路、通电、通讯、通上水、通下水）、红线内场地平整条件下，剩余土地使用年限为25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9102</v>
      </c>
    </row>
    <row r="21" spans="1:2" s="1593" customFormat="1">
      <c r="A21" s="1591" t="s">
        <v>1230</v>
      </c>
      <c r="B21" s="1592">
        <f ca="1">'预评函-2'!D7</f>
        <v>48042</v>
      </c>
    </row>
    <row r="22" spans="1:2" s="1593" customFormat="1">
      <c r="A22" s="1591" t="s">
        <v>1231</v>
      </c>
      <c r="B22" s="1592" t="str">
        <f ca="1">'预评函-2'!D6</f>
        <v>玖仟壹佰零贰万元整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9102</v>
      </c>
    </row>
    <row r="31" spans="1:2" s="1593" customFormat="1">
      <c r="A31" s="1591" t="s">
        <v>1269</v>
      </c>
      <c r="B31" s="1592">
        <f ca="1">'预评函-2'!D15</f>
        <v>48042</v>
      </c>
    </row>
    <row r="32" spans="1:2" s="1593" customFormat="1">
      <c r="A32" s="1591" t="s">
        <v>1236</v>
      </c>
      <c r="B32" s="1592" t="str">
        <f ca="1">'预评函-2'!D14</f>
        <v>玖仟壹佰零贰万元整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北京市石景山区玉泉西里二区1号楼-1至2层商业05号出让国有建设用地使用权及在建建筑物房地产</v>
      </c>
    </row>
    <row r="42" spans="1:2" s="1593" customFormat="1">
      <c r="A42" s="1591" t="s">
        <v>1283</v>
      </c>
      <c r="B42" s="1592" t="str">
        <f>'预评函-3'!B2</f>
        <v>建筑面积</v>
      </c>
    </row>
    <row r="43" spans="1:2" s="1593" customFormat="1">
      <c r="A43" s="1591" t="s">
        <v>1284</v>
      </c>
      <c r="B43" s="1592">
        <f>'预评函-3'!B4</f>
        <v>1894.58</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朱元忠拟使用北京市石景山区玉泉西里二区1号楼-1至2层商业05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1" t="s">
        <v>860</v>
      </c>
      <c r="C54" s="2018" t="s">
        <v>1276</v>
      </c>
    </row>
    <row r="55" spans="1:4">
      <c r="A55" s="2997"/>
      <c r="B55" s="2021" t="s">
        <v>861</v>
      </c>
      <c r="C55" s="2018" t="s">
        <v>1277</v>
      </c>
    </row>
    <row r="56" spans="1:4">
      <c r="A56" s="2997"/>
      <c r="B56" s="2021" t="s">
        <v>862</v>
      </c>
      <c r="C56" s="2018" t="s">
        <v>1281</v>
      </c>
    </row>
    <row r="57" spans="1:4">
      <c r="A57" s="2997"/>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06" t="str">
        <f>IF(B10="北京市","北京市",C10)&amp;F10&amp;IF(结果表!G1="在建","出让国有建设用地使用权及在建建筑物",IF(结果表!G1="土地","出让国有建设用地使用权",))&amp;B9&amp;"预评估"</f>
        <v>北京市石景山区玉泉西里二区1号楼-1至2层商业05号出让国有建设用地使用权及在建建筑物房地产抵押价值预评估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北京市石景山区玉泉西里二区1号楼-1至2层商业05号出让国有建设用地使用权及在建建筑物房地产抵押价值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北京市石景山区玉泉西里二区1号楼-1至2层商业05号出让国有建设用地使用权及在建建筑物房地产</v>
      </c>
    </row>
    <row r="3" spans="1:19" ht="18" customHeight="1">
      <c r="A3" s="2034" t="s">
        <v>1772</v>
      </c>
      <c r="B3" s="2035">
        <v>43851</v>
      </c>
      <c r="C3" s="2036" t="s">
        <v>1773</v>
      </c>
      <c r="D3" s="2035">
        <f>B3</f>
        <v>43851</v>
      </c>
      <c r="E3" s="2025"/>
      <c r="F3" s="2025"/>
      <c r="G3" s="2025"/>
      <c r="H3" s="2025"/>
      <c r="I3" s="2025"/>
      <c r="J3" s="2025"/>
      <c r="K3" s="2026"/>
      <c r="L3" s="2027"/>
      <c r="M3" s="2027"/>
      <c r="N3" s="2028"/>
      <c r="O3" s="2029"/>
      <c r="P3" s="2028"/>
      <c r="Q3" s="2028"/>
      <c r="R3" s="2028"/>
      <c r="S3" s="2030"/>
    </row>
    <row r="4" spans="1:19" ht="18" customHeight="1" thickBot="1">
      <c r="A4" s="2037" t="s">
        <v>1774</v>
      </c>
      <c r="B4" s="2038" t="s">
        <v>3049</v>
      </c>
      <c r="C4" s="1037">
        <f ca="1">SUMIF(注册房地产估价师,B4,估价师及机构信息!B3:B24)</f>
        <v>1419970001</v>
      </c>
      <c r="D4" s="2038" t="s">
        <v>3050</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1775</v>
      </c>
      <c r="B5" s="3282" t="s">
        <v>3051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t="str">
        <f>B5</f>
        <v>朱元忠</v>
      </c>
      <c r="C7" s="2048"/>
      <c r="D7" s="2049"/>
      <c r="E7" s="2033"/>
      <c r="F7" s="2041"/>
      <c r="G7" s="2041"/>
      <c r="H7" s="2041"/>
      <c r="I7" s="2041"/>
      <c r="J7" s="2041"/>
      <c r="K7" s="2052"/>
      <c r="L7" s="2027"/>
      <c r="M7" s="2027"/>
      <c r="N7" s="2028"/>
      <c r="O7" s="2029"/>
      <c r="P7" s="2028"/>
      <c r="Q7" s="2028"/>
      <c r="R7" s="2028"/>
    </row>
    <row r="8" spans="1:19" ht="18" customHeight="1">
      <c r="A8" s="2046" t="s">
        <v>1778</v>
      </c>
      <c r="B8" s="2053" t="s">
        <v>3052</v>
      </c>
      <c r="C8" s="2054"/>
      <c r="D8" s="3009" t="s">
        <v>1779</v>
      </c>
      <c r="E8" s="2055" t="s">
        <v>3053</v>
      </c>
      <c r="F8" s="2056"/>
      <c r="G8" s="2025"/>
      <c r="H8" s="2025"/>
      <c r="I8" s="2025"/>
      <c r="J8" s="2041"/>
      <c r="K8" s="2042"/>
      <c r="L8" s="2027"/>
      <c r="M8" s="2027"/>
      <c r="N8" s="2028"/>
      <c r="O8" s="2029"/>
      <c r="P8" s="2028"/>
      <c r="Q8" s="2028"/>
      <c r="R8" s="2028"/>
    </row>
    <row r="9" spans="1:19" ht="18" customHeight="1" thickBot="1">
      <c r="A9" s="2039" t="s">
        <v>1780</v>
      </c>
      <c r="B9" s="2057" t="s">
        <v>3053</v>
      </c>
      <c r="C9" s="2058"/>
      <c r="D9" s="3010"/>
      <c r="E9" s="2057" t="s">
        <v>70</v>
      </c>
      <c r="F9" s="2059"/>
      <c r="G9" s="2060"/>
      <c r="H9" s="2060"/>
      <c r="I9" s="2060"/>
      <c r="J9" s="2041"/>
      <c r="K9" s="2052"/>
      <c r="L9" s="2027"/>
      <c r="M9" s="2027"/>
      <c r="N9" s="2028"/>
      <c r="O9" s="2029"/>
      <c r="P9" s="2028"/>
      <c r="Q9" s="2028"/>
      <c r="R9" s="2028"/>
    </row>
    <row r="10" spans="1:19" ht="18" customHeight="1" thickTop="1">
      <c r="A10" s="2061" t="s">
        <v>1781</v>
      </c>
      <c r="B10" s="2062" t="s">
        <v>3054</v>
      </c>
      <c r="C10" s="2063"/>
      <c r="D10" s="2045"/>
      <c r="E10" s="2064" t="s">
        <v>1782</v>
      </c>
      <c r="F10" s="2065" t="s">
        <v>3055</v>
      </c>
      <c r="G10" s="2066"/>
      <c r="H10" s="2067"/>
      <c r="I10" s="2045"/>
      <c r="J10" s="2041"/>
      <c r="K10" s="2052"/>
      <c r="L10" s="2027"/>
      <c r="M10" s="2027"/>
      <c r="N10" s="2028"/>
      <c r="O10" s="2029"/>
      <c r="P10" s="2028"/>
      <c r="Q10" s="2028"/>
      <c r="R10" s="2028"/>
    </row>
    <row r="11" spans="1:19" ht="18" customHeight="1">
      <c r="A11" s="2068" t="s">
        <v>1783</v>
      </c>
      <c r="B11" s="2069" t="s">
        <v>3056</v>
      </c>
      <c r="C11" s="2070" t="str">
        <f>B5</f>
        <v>朱元忠</v>
      </c>
      <c r="D11" s="2071"/>
      <c r="E11" s="2041"/>
      <c r="F11" s="2041"/>
      <c r="G11" s="2041"/>
      <c r="H11" s="2041"/>
      <c r="I11" s="2041"/>
      <c r="J11" s="2041"/>
      <c r="K11" s="2052"/>
      <c r="L11" s="2027"/>
      <c r="M11" s="2027"/>
      <c r="N11" s="2028"/>
      <c r="O11" s="2029"/>
      <c r="P11" s="2028"/>
      <c r="Q11" s="2028"/>
      <c r="R11" s="2028"/>
    </row>
    <row r="12" spans="1:19" ht="18" customHeight="1">
      <c r="A12" s="2072" t="s">
        <v>1784</v>
      </c>
      <c r="B12" s="2069" t="s">
        <v>3057</v>
      </c>
      <c r="C12" s="2073" t="s">
        <v>1785</v>
      </c>
      <c r="D12" s="2074" t="s">
        <v>1786</v>
      </c>
      <c r="E12" s="2074" t="s">
        <v>1787</v>
      </c>
      <c r="F12" s="2074" t="s">
        <v>1788</v>
      </c>
      <c r="G12" s="2074" t="s">
        <v>1789</v>
      </c>
      <c r="H12" s="2074" t="s">
        <v>1790</v>
      </c>
      <c r="I12" s="2074" t="s">
        <v>1791</v>
      </c>
      <c r="J12" s="2041"/>
      <c r="K12" s="2052"/>
      <c r="L12" s="2027"/>
      <c r="M12" s="2027"/>
      <c r="N12" s="2028"/>
      <c r="O12" s="2029"/>
      <c r="P12" s="2028"/>
      <c r="Q12" s="2028"/>
      <c r="R12" s="2028"/>
    </row>
    <row r="13" spans="1:19" ht="18" customHeight="1">
      <c r="A13" s="2075"/>
      <c r="B13" s="2076"/>
      <c r="C13" s="2077" t="s">
        <v>1792</v>
      </c>
      <c r="D13" s="2078"/>
      <c r="E13" s="2078">
        <v>52976</v>
      </c>
      <c r="F13" s="2078"/>
      <c r="G13" s="2078"/>
      <c r="H13" s="2078"/>
      <c r="I13" s="1047"/>
      <c r="J13" s="2041"/>
      <c r="K13" s="2052"/>
      <c r="L13" s="2027"/>
      <c r="M13" s="2027"/>
      <c r="N13" s="2028"/>
      <c r="O13" s="2029"/>
      <c r="P13" s="2028"/>
      <c r="Q13" s="2028"/>
      <c r="R13" s="2028"/>
    </row>
    <row r="14" spans="1:19" ht="18" customHeight="1">
      <c r="A14" s="2075"/>
      <c r="B14" s="2076"/>
      <c r="C14" s="2077" t="s">
        <v>1793</v>
      </c>
      <c r="D14" s="1050"/>
      <c r="E14" s="1050">
        <v>40</v>
      </c>
      <c r="F14" s="1050"/>
      <c r="G14" s="1050"/>
      <c r="H14" s="1050"/>
      <c r="I14" s="1050"/>
      <c r="J14" s="2041"/>
      <c r="K14" s="2079"/>
      <c r="L14" s="2027"/>
      <c r="M14" s="2027"/>
      <c r="N14" s="2028"/>
      <c r="O14" s="2029"/>
      <c r="P14" s="2028"/>
      <c r="Q14" s="2028"/>
      <c r="R14" s="2028"/>
    </row>
    <row r="15" spans="1:19" ht="18" customHeight="1">
      <c r="A15" s="2061"/>
      <c r="B15" s="2080"/>
      <c r="C15" s="2077" t="s">
        <v>1794</v>
      </c>
      <c r="D15" s="1049" t="str">
        <f>IF(B12="出让",IF(D13="","",ROUNDDOWN(MIN((D13-$D$3)/365,D14),2)),D14)</f>
        <v/>
      </c>
      <c r="E15" s="1049">
        <f>IF(B12="出让",IF(E13="","",ROUNDDOWN(MIN((E13-$D$3)/365,E14),2)),E14)</f>
        <v>25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1795</v>
      </c>
      <c r="B16" s="3283" t="s">
        <v>3058</v>
      </c>
      <c r="C16" s="3016"/>
      <c r="D16" s="3017"/>
      <c r="E16" s="2084" t="s">
        <v>1796</v>
      </c>
      <c r="F16" s="3018" t="s">
        <v>3059</v>
      </c>
      <c r="G16" s="3019"/>
      <c r="H16" s="3019"/>
      <c r="I16" s="3020"/>
      <c r="J16" s="2028"/>
      <c r="K16" s="2081"/>
      <c r="L16" s="2082"/>
      <c r="M16" s="2082"/>
      <c r="N16" s="2083"/>
      <c r="O16" s="2082"/>
      <c r="P16" s="2083"/>
      <c r="Q16" s="2028"/>
      <c r="R16" s="2028"/>
    </row>
    <row r="17" spans="1:22" ht="18" customHeight="1">
      <c r="A17" s="2085" t="s">
        <v>1797</v>
      </c>
      <c r="B17" s="2034" t="s">
        <v>1798</v>
      </c>
      <c r="C17" s="1054">
        <f>'数据-汇总表'!E3</f>
        <v>1894.58</v>
      </c>
      <c r="D17" s="2086" t="s">
        <v>1799</v>
      </c>
      <c r="E17" s="3021" t="s">
        <v>3060</v>
      </c>
      <c r="F17" s="3022"/>
      <c r="G17" s="3022"/>
      <c r="H17" s="3022"/>
      <c r="I17" s="3023"/>
      <c r="J17" s="2028"/>
      <c r="K17" s="2087"/>
      <c r="L17" s="2082"/>
      <c r="M17" s="2082"/>
      <c r="N17" s="2083"/>
      <c r="O17" s="2082"/>
      <c r="P17" s="2083"/>
      <c r="Q17" s="2028"/>
      <c r="R17" s="2028"/>
      <c r="S17" s="2028"/>
      <c r="T17" s="2028"/>
      <c r="U17" s="2028"/>
      <c r="V17" s="2028"/>
    </row>
    <row r="18" spans="1:22" ht="36" customHeight="1" thickBot="1">
      <c r="A18" s="2088" t="s">
        <v>70</v>
      </c>
      <c r="B18" s="2037" t="s">
        <v>1800</v>
      </c>
      <c r="C18" s="1444">
        <f>'数据-汇总表'!D3</f>
        <v>0</v>
      </c>
      <c r="D18" s="2089" t="s">
        <v>1799</v>
      </c>
      <c r="E18" s="3024" t="s">
        <v>1801</v>
      </c>
      <c r="F18" s="3025"/>
      <c r="G18" s="3025"/>
      <c r="H18" s="3025"/>
      <c r="I18" s="3026"/>
      <c r="J18" s="2028"/>
      <c r="K18" s="2087"/>
      <c r="L18" s="2082"/>
      <c r="M18" s="2082"/>
      <c r="N18" s="2083"/>
      <c r="O18" s="2082"/>
      <c r="P18" s="2083"/>
      <c r="Q18" s="2028"/>
      <c r="R18" s="2028"/>
      <c r="S18" s="2028"/>
      <c r="T18" s="2028"/>
      <c r="U18" s="2028"/>
      <c r="V18" s="2028"/>
    </row>
    <row r="19" spans="1:22" ht="37.5" customHeight="1" thickTop="1" thickBot="1">
      <c r="A19" s="373" t="s">
        <v>1802</v>
      </c>
      <c r="B19" s="352" t="s">
        <v>1803</v>
      </c>
      <c r="C19" s="2090" t="s">
        <v>3061</v>
      </c>
      <c r="D19" s="2091" t="s">
        <v>1804</v>
      </c>
      <c r="E19" s="2092" t="s">
        <v>3061</v>
      </c>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1805</v>
      </c>
      <c r="B20" s="3012" t="s">
        <v>1806</v>
      </c>
      <c r="C20" s="3013"/>
      <c r="D20" s="3014" t="s">
        <v>1807</v>
      </c>
      <c r="E20" s="3015"/>
      <c r="F20" s="2096" t="s">
        <v>1808</v>
      </c>
      <c r="G20" s="2041"/>
      <c r="H20" s="2041"/>
      <c r="I20" s="2041"/>
      <c r="J20" s="2041"/>
      <c r="K20" s="3011"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1810</v>
      </c>
      <c r="C21" s="2098" t="s">
        <v>3062</v>
      </c>
      <c r="D21" s="2099"/>
      <c r="E21" s="2100"/>
      <c r="F21" s="2101"/>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3"/>
      <c r="O21" s="2082"/>
      <c r="P21" s="2083"/>
      <c r="Q21" s="2028"/>
      <c r="R21" s="2028"/>
      <c r="S21" s="2028"/>
      <c r="T21" s="2028"/>
      <c r="U21" s="2028"/>
      <c r="V21" s="2028"/>
    </row>
    <row r="22" spans="1:22" ht="24.75" customHeight="1" thickBot="1">
      <c r="A22" s="2095"/>
      <c r="B22" s="2102" t="s">
        <v>1811</v>
      </c>
      <c r="C22" s="2098" t="s">
        <v>1812</v>
      </c>
      <c r="D22" s="2025"/>
      <c r="E22" s="2025"/>
      <c r="F22" s="2103"/>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1813</v>
      </c>
      <c r="B23" s="183" t="s">
        <v>1814</v>
      </c>
      <c r="C23" s="2105"/>
      <c r="D23" s="2106" t="s">
        <v>1814</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1815</v>
      </c>
      <c r="C24" s="2110"/>
      <c r="D24" s="2104" t="s">
        <v>1815</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1816</v>
      </c>
      <c r="C25" s="2110"/>
      <c r="D25" s="2104" t="s">
        <v>1816</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1817</v>
      </c>
      <c r="C26" s="2114"/>
      <c r="D26" s="2115" t="s">
        <v>1818</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2999" t="s">
        <v>1819</v>
      </c>
      <c r="B27" s="2061" t="s">
        <v>1820</v>
      </c>
      <c r="C27" s="2118" t="s">
        <v>3063</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2999"/>
      <c r="B28" s="2034" t="s">
        <v>1821</v>
      </c>
      <c r="C28" s="2120" t="s">
        <v>3064</v>
      </c>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2999"/>
      <c r="B29" s="2034" t="s">
        <v>1822</v>
      </c>
      <c r="C29" s="2123" t="s">
        <v>3061</v>
      </c>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00"/>
      <c r="B30" s="2034" t="s">
        <v>1823</v>
      </c>
      <c r="C30" s="3001"/>
      <c r="D30" s="3002"/>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03" t="s">
        <v>1824</v>
      </c>
      <c r="B31" s="2125" t="s">
        <v>3065</v>
      </c>
      <c r="C31" s="2126" t="str">
        <f>IF(B31="现房","成新及维护状况正常否",IF(B31="在建","工程状态是否正常",IF(B31="土地","是否闲置","-")))</f>
        <v>成新及维护状况正常否</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04"/>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04"/>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1825</v>
      </c>
      <c r="B34" s="2132" t="s">
        <v>3066</v>
      </c>
      <c r="C34" s="2132" t="s">
        <v>3067</v>
      </c>
      <c r="D34" s="2132" t="s">
        <v>3068</v>
      </c>
      <c r="E34" s="2132" t="s">
        <v>3069</v>
      </c>
      <c r="F34" s="2132" t="s">
        <v>3070</v>
      </c>
      <c r="G34" s="2132" t="s">
        <v>70</v>
      </c>
      <c r="H34" s="2132" t="s">
        <v>70</v>
      </c>
      <c r="I34" s="2041"/>
      <c r="J34" s="2041"/>
      <c r="K34" s="1795">
        <f>COUNTIF(B34:H34,"——")</f>
        <v>2</v>
      </c>
      <c r="L34" s="2073" t="s">
        <v>1826</v>
      </c>
      <c r="M34" s="2073" t="s">
        <v>1827</v>
      </c>
      <c r="N34" s="2073" t="s">
        <v>1828</v>
      </c>
      <c r="O34" s="2073" t="s">
        <v>1829</v>
      </c>
      <c r="P34" s="2073" t="s">
        <v>1830</v>
      </c>
      <c r="Q34" s="2073" t="s">
        <v>1831</v>
      </c>
      <c r="R34" s="2073" t="s">
        <v>1832</v>
      </c>
      <c r="S34" s="2998" t="s">
        <v>1833</v>
      </c>
      <c r="T34" s="2133" t="str">
        <f>NUMBERSTRING(7-K34,1)&amp;"通"</f>
        <v>五通</v>
      </c>
      <c r="U34" s="2028"/>
      <c r="V34" s="2028"/>
    </row>
    <row r="35" spans="1:22" ht="18" customHeight="1">
      <c r="A35" s="2134"/>
      <c r="B35" s="3005" t="s">
        <v>1834</v>
      </c>
      <c r="C35" s="3005"/>
      <c r="D35" s="3005"/>
      <c r="E35" s="3005"/>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8"/>
      <c r="T35" s="48" t="str">
        <f>IF(T34="一通",L35,IF(T34="二通",M35,IF(T34="三通",N35,IF(T34="四通",O35,IF(T34="五通",P35,IF(T34="六通",Q35,R35))))))</f>
        <v>通路、通电、通讯、通上水、通下水</v>
      </c>
      <c r="U35" s="2028"/>
      <c r="V35" s="2028"/>
    </row>
    <row r="36" spans="1:22" ht="18" customHeight="1">
      <c r="A36" s="2136"/>
      <c r="B36" s="2135" t="s">
        <v>1835</v>
      </c>
      <c r="C36" s="2135" t="s">
        <v>1836</v>
      </c>
      <c r="D36" s="2135" t="s">
        <v>1837</v>
      </c>
      <c r="E36" s="2135" t="s">
        <v>1838</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1839</v>
      </c>
      <c r="B37" s="2139" t="s">
        <v>523</v>
      </c>
      <c r="C37" s="2139"/>
      <c r="D37" s="2139"/>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1840</v>
      </c>
      <c r="B38" s="2141" t="s">
        <v>294</v>
      </c>
      <c r="C38" s="2141"/>
      <c r="D38" s="2141"/>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1842</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1843</v>
      </c>
      <c r="B42" s="1795" t="s">
        <v>1844</v>
      </c>
      <c r="C42" s="1795" t="s">
        <v>1845</v>
      </c>
      <c r="D42" s="1795" t="s">
        <v>1846</v>
      </c>
      <c r="E42" s="1795" t="s">
        <v>1847</v>
      </c>
      <c r="F42" s="1795" t="s">
        <v>1848</v>
      </c>
      <c r="G42" s="1795" t="s">
        <v>1849</v>
      </c>
      <c r="H42" s="1795" t="s">
        <v>1850</v>
      </c>
      <c r="I42" s="1795" t="s">
        <v>1851</v>
      </c>
      <c r="J42" s="2151" t="s">
        <v>1852</v>
      </c>
      <c r="K42" s="2074" t="s">
        <v>1853</v>
      </c>
      <c r="L42" s="2074" t="s">
        <v>1854</v>
      </c>
      <c r="M42" s="2074" t="s">
        <v>1855</v>
      </c>
      <c r="N42" s="1795" t="s">
        <v>1856</v>
      </c>
      <c r="O42" s="1795" t="s">
        <v>1857</v>
      </c>
      <c r="P42" s="1795" t="s">
        <v>1858</v>
      </c>
      <c r="Q42" s="2073" t="s">
        <v>1859</v>
      </c>
      <c r="R42" s="2073" t="s">
        <v>1860</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1863</v>
      </c>
      <c r="B2" s="11" t="s">
        <v>1864</v>
      </c>
      <c r="C2" s="11" t="s">
        <v>1865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1866</v>
      </c>
      <c r="AZ2" s="1270" t="s">
        <v>1867</v>
      </c>
      <c r="BA2" s="11" t="s">
        <v>1868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1894.58</v>
      </c>
      <c r="C3" s="2167" t="s">
        <v>1869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1870</v>
      </c>
      <c r="B5" s="1803"/>
      <c r="C5" s="1803"/>
      <c r="D5" s="1806"/>
      <c r="E5" s="16" t="s">
        <v>1</v>
      </c>
      <c r="F5" s="16">
        <f>SUM(F13:F587)</f>
        <v>0</v>
      </c>
      <c r="G5" s="16">
        <f>SUM(G13:G587)</f>
        <v>1894.58</v>
      </c>
      <c r="H5" s="16">
        <f t="shared" ref="H5:AT5" si="0">SUM(H13:H656)</f>
        <v>1894.58</v>
      </c>
      <c r="I5" s="16">
        <f t="shared" si="0"/>
        <v>1237.4099999999999</v>
      </c>
      <c r="J5" s="16">
        <f t="shared" si="0"/>
        <v>0</v>
      </c>
      <c r="K5" s="16">
        <f t="shared" si="0"/>
        <v>657.17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1894.58</v>
      </c>
      <c r="BA5" s="18">
        <f t="shared" si="1"/>
        <v>1894.58</v>
      </c>
      <c r="BB5" s="18">
        <f t="shared" si="1"/>
        <v>1237.4099999999999</v>
      </c>
      <c r="BC5" s="18">
        <f t="shared" si="1"/>
        <v>657.17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1871</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1871</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1872</v>
      </c>
      <c r="B7" s="2108" t="s">
        <v>1873</v>
      </c>
      <c r="C7" s="2108" t="s">
        <v>1874</v>
      </c>
      <c r="D7" s="2108" t="s">
        <v>1875</v>
      </c>
      <c r="E7" s="2108" t="s">
        <v>1876</v>
      </c>
      <c r="F7" s="2108"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1879</v>
      </c>
      <c r="AV7" s="23" t="s">
        <v>1880</v>
      </c>
      <c r="AW7" s="2165" t="s">
        <v>1881</v>
      </c>
      <c r="AX7" s="23" t="s">
        <v>1874</v>
      </c>
      <c r="AY7" s="1803"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1883</v>
      </c>
      <c r="H8" s="2183" t="s">
        <v>1884</v>
      </c>
      <c r="I8" s="2184"/>
      <c r="J8" s="1818"/>
      <c r="K8" s="1818"/>
      <c r="L8" s="1818"/>
      <c r="M8" s="1818"/>
      <c r="N8" s="1818"/>
      <c r="O8" s="1818"/>
      <c r="P8" s="1818"/>
      <c r="Q8" s="1818"/>
      <c r="R8" s="1818"/>
      <c r="S8" s="1818"/>
      <c r="T8" s="1818"/>
      <c r="U8" s="1818"/>
      <c r="V8" s="2185"/>
      <c r="W8" s="1818"/>
      <c r="X8" s="1818"/>
      <c r="Y8" s="1818"/>
      <c r="Z8" s="1818"/>
      <c r="AA8" s="2185"/>
      <c r="AB8" s="2186"/>
      <c r="AC8" s="981" t="s">
        <v>1885</v>
      </c>
      <c r="AD8" s="2187"/>
      <c r="AE8" s="2179"/>
      <c r="AF8" s="1818"/>
      <c r="AG8" s="1818"/>
      <c r="AH8" s="1818"/>
      <c r="AI8" s="1818"/>
      <c r="AJ8" s="1818"/>
      <c r="AK8" s="1818"/>
      <c r="AL8" s="1818"/>
      <c r="AM8" s="1818"/>
      <c r="AN8" s="1818"/>
      <c r="AO8" s="1818"/>
      <c r="AP8" s="1818"/>
      <c r="AQ8" s="1818"/>
      <c r="AR8" s="1818"/>
      <c r="AS8" s="1818"/>
      <c r="AT8" s="1292" t="s">
        <v>1886</v>
      </c>
      <c r="AU8" s="2181" t="s">
        <v>1887</v>
      </c>
      <c r="AV8" s="1292"/>
      <c r="AW8" s="2164"/>
      <c r="AX8" s="1292"/>
      <c r="AY8" s="2165"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1890</v>
      </c>
      <c r="I9" s="2190" t="s">
        <v>3073</v>
      </c>
      <c r="J9" s="981"/>
      <c r="K9" s="2190" t="s">
        <v>3075</v>
      </c>
      <c r="L9" s="981"/>
      <c r="M9" s="2190"/>
      <c r="N9" s="981"/>
      <c r="O9" s="2190"/>
      <c r="P9" s="981"/>
      <c r="Q9" s="2190"/>
      <c r="R9" s="981"/>
      <c r="S9" s="2190"/>
      <c r="T9" s="981"/>
      <c r="U9" s="2190"/>
      <c r="V9" s="981"/>
      <c r="W9" s="2190"/>
      <c r="X9" s="2191"/>
      <c r="Y9" s="2190"/>
      <c r="Z9" s="981"/>
      <c r="AA9" s="2190"/>
      <c r="AB9" s="981"/>
      <c r="AC9" s="2182"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2"/>
      <c r="AT9" s="2181"/>
      <c r="AU9" s="2181" t="s">
        <v>1893</v>
      </c>
      <c r="AV9" s="1292"/>
      <c r="AW9" s="2164"/>
      <c r="AX9" s="1292"/>
      <c r="AY9" s="28"/>
      <c r="AZ9" s="28" t="s">
        <v>1883</v>
      </c>
      <c r="BA9" s="2193" t="s">
        <v>1894</v>
      </c>
      <c r="BB9" s="2194"/>
      <c r="BC9" s="1338"/>
      <c r="BD9" s="1338"/>
      <c r="BE9" s="1338"/>
      <c r="BF9" s="1338"/>
      <c r="BG9" s="1338"/>
      <c r="BH9" s="1338"/>
      <c r="BI9" s="1338"/>
      <c r="BJ9" s="1338"/>
      <c r="BK9" s="2195"/>
      <c r="BL9" s="15" t="s">
        <v>1895</v>
      </c>
      <c r="BM9" s="1818"/>
      <c r="BN9" s="2184"/>
      <c r="BO9" s="1818"/>
      <c r="BP9" s="1818"/>
      <c r="BQ9" s="1818"/>
      <c r="BR9" s="1818"/>
      <c r="BS9" s="1818"/>
      <c r="BT9" s="26"/>
    </row>
    <row r="10" spans="1:72" s="2188" customFormat="1" ht="12.75">
      <c r="A10" s="2181"/>
      <c r="B10" s="2181"/>
      <c r="C10" s="2181"/>
      <c r="D10" s="2181"/>
      <c r="E10" s="2181"/>
      <c r="F10" s="2181"/>
      <c r="G10" s="1292"/>
      <c r="H10" s="28"/>
      <c r="I10" s="2190" t="s">
        <v>1372</v>
      </c>
      <c r="J10" s="981"/>
      <c r="K10" s="2190" t="s">
        <v>1372</v>
      </c>
      <c r="L10" s="981"/>
      <c r="M10" s="2196"/>
      <c r="N10" s="981"/>
      <c r="O10" s="2196"/>
      <c r="P10" s="981"/>
      <c r="Q10" s="2196"/>
      <c r="R10" s="981"/>
      <c r="S10" s="2196"/>
      <c r="T10" s="981"/>
      <c r="U10" s="2196"/>
      <c r="V10" s="981"/>
      <c r="W10" s="2196"/>
      <c r="X10" s="981"/>
      <c r="Y10" s="2196"/>
      <c r="Z10" s="981"/>
      <c r="AA10" s="2196"/>
      <c r="AB10" s="981"/>
      <c r="AC10" s="1292"/>
      <c r="AD10" s="15" t="s">
        <v>1896</v>
      </c>
      <c r="AE10" s="2197"/>
      <c r="AF10" s="15" t="s">
        <v>1896</v>
      </c>
      <c r="AG10" s="2197"/>
      <c r="AH10" s="15" t="s">
        <v>1897</v>
      </c>
      <c r="AI10" s="2197"/>
      <c r="AJ10" s="15" t="s">
        <v>1897</v>
      </c>
      <c r="AK10" s="2197"/>
      <c r="AL10" s="15" t="s">
        <v>1898</v>
      </c>
      <c r="AM10" s="1298"/>
      <c r="AN10" s="15" t="s">
        <v>1898</v>
      </c>
      <c r="AO10" s="1298"/>
      <c r="AP10" s="15" t="s">
        <v>1899</v>
      </c>
      <c r="AQ10" s="1298"/>
      <c r="AR10" s="15" t="s">
        <v>1899</v>
      </c>
      <c r="AS10" s="1298"/>
      <c r="AT10" s="2181"/>
      <c r="AU10" s="2181"/>
      <c r="AV10" s="1292"/>
      <c r="AW10" s="2164"/>
      <c r="AX10" s="1292"/>
      <c r="AY10" s="28"/>
      <c r="AZ10" s="28"/>
      <c r="BA10" s="2198" t="s">
        <v>1890</v>
      </c>
      <c r="BB10" s="2199" t="str">
        <f>I9</f>
        <v>地上</v>
      </c>
      <c r="BC10" s="29" t="str">
        <f>K9</f>
        <v>地下</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3074</v>
      </c>
      <c r="J11" s="2202"/>
      <c r="K11" s="2201" t="s">
        <v>3074</v>
      </c>
      <c r="L11" s="2202"/>
      <c r="M11" s="2201"/>
      <c r="N11" s="2202"/>
      <c r="O11" s="2201"/>
      <c r="P11" s="2202"/>
      <c r="Q11" s="2201"/>
      <c r="R11" s="2202"/>
      <c r="S11" s="2201"/>
      <c r="T11" s="2202"/>
      <c r="U11" s="2201"/>
      <c r="V11" s="2202"/>
      <c r="W11" s="2201"/>
      <c r="X11" s="2202"/>
      <c r="Y11" s="2201"/>
      <c r="Z11" s="2202"/>
      <c r="AA11" s="2201"/>
      <c r="AB11" s="2202"/>
      <c r="AC11" s="1292"/>
      <c r="AD11" s="2203" t="s">
        <v>1900</v>
      </c>
      <c r="AE11" s="1819"/>
      <c r="AF11" s="2203" t="s">
        <v>1900</v>
      </c>
      <c r="AG11" s="1819"/>
      <c r="AH11" s="2203" t="s">
        <v>1901</v>
      </c>
      <c r="AI11" s="2204"/>
      <c r="AJ11" s="2203" t="s">
        <v>1901</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8"/>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独栋</v>
      </c>
      <c r="BC12" s="2211" t="str">
        <f>K11</f>
        <v>独栋</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3284" t="s">
        <v>3078</v>
      </c>
      <c r="B13" s="1272">
        <v>1894.58</v>
      </c>
      <c r="C13" s="3284" t="s">
        <v>3072</v>
      </c>
      <c r="D13" s="2212" t="s">
        <v>3071</v>
      </c>
      <c r="E13" s="16">
        <f>IF($C$3="是",ROUND($A$3*G13/$B$3,2),ROUND($A$3*(G13-AT13)/$B$3,2))</f>
        <v>0</v>
      </c>
      <c r="F13" s="32"/>
      <c r="G13" s="33">
        <f>H13+AC13+AT13</f>
        <v>1894.58</v>
      </c>
      <c r="H13" s="20">
        <f>SUMIF(I$12:AB$12,"总值",I13:AB13)</f>
        <v>1894.58</v>
      </c>
      <c r="I13" s="2213">
        <f>B13-K13</f>
        <v>1237.4099999999999</v>
      </c>
      <c r="J13" s="2213"/>
      <c r="K13" s="2213">
        <v>657.17</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建筑面积</v>
      </c>
      <c r="AW13" s="11">
        <f t="shared" si="6"/>
        <v>1894.58</v>
      </c>
      <c r="AX13" s="11" t="str">
        <f t="shared" si="6"/>
        <v>商业楼</v>
      </c>
      <c r="AY13" s="1806">
        <f>ROUND($AY$6*AZ13/$AZ$5,2)</f>
        <v>0</v>
      </c>
      <c r="AZ13" s="16">
        <f>BA13+BL13</f>
        <v>1894.58</v>
      </c>
      <c r="BA13" s="16">
        <f>SUM(BB13:BK13)</f>
        <v>1894.58</v>
      </c>
      <c r="BB13" s="16">
        <f>IF($D13="是",I13-J13,0)</f>
        <v>1237.4099999999999</v>
      </c>
      <c r="BC13" s="16">
        <f>IF($D13="是",K13-L13,0)</f>
        <v>657.17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1929</v>
      </c>
      <c r="B1" s="1392"/>
      <c r="C1" s="1392"/>
      <c r="D1" s="1392"/>
      <c r="E1" s="1392"/>
      <c r="F1" s="1392"/>
      <c r="G1" s="1392"/>
      <c r="H1" s="1392"/>
      <c r="I1" s="1392"/>
      <c r="J1" s="1392"/>
      <c r="K1" s="1392"/>
      <c r="L1" s="1392"/>
      <c r="M1" s="1392"/>
      <c r="N1" s="1392"/>
      <c r="O1" s="1392"/>
      <c r="P1" s="1392"/>
    </row>
    <row r="2" spans="1:16" ht="15">
      <c r="A2" s="3038" t="s">
        <v>1930</v>
      </c>
      <c r="B2" s="3038"/>
      <c r="C2" s="3038"/>
      <c r="D2" s="967" t="s">
        <v>1906</v>
      </c>
      <c r="E2" s="2226" t="s">
        <v>1907</v>
      </c>
      <c r="F2" s="1392"/>
      <c r="G2" s="2227"/>
      <c r="H2" s="2228"/>
      <c r="I2" s="2229" t="s">
        <v>1931</v>
      </c>
      <c r="J2" s="1392"/>
      <c r="K2" s="1392"/>
      <c r="L2" s="1392"/>
      <c r="M2" s="1392"/>
      <c r="N2" s="1427"/>
      <c r="O2" s="1392"/>
      <c r="P2" s="1392"/>
    </row>
    <row r="3" spans="1:16" ht="15.75" thickBot="1">
      <c r="A3" s="3039" t="s">
        <v>1904</v>
      </c>
      <c r="B3" s="3039"/>
      <c r="C3" s="3039"/>
      <c r="D3" s="46">
        <f>'数据-基础表'!AY6</f>
        <v>0</v>
      </c>
      <c r="E3" s="46">
        <f>'数据-基础表'!AZ5</f>
        <v>1894.58</v>
      </c>
      <c r="F3" s="1392"/>
      <c r="G3" s="1399"/>
      <c r="H3" s="1247" t="s">
        <v>1905</v>
      </c>
      <c r="I3" s="55" t="e">
        <f>ROUND('数据-基础表'!B3/'数据-基础表'!A3,2)</f>
        <v>#DIV/0!</v>
      </c>
      <c r="J3" s="1392"/>
      <c r="K3" s="1392"/>
      <c r="L3" s="1392"/>
      <c r="M3" s="1392"/>
      <c r="N3" s="1427"/>
      <c r="O3" s="1392"/>
      <c r="P3" s="1392"/>
    </row>
    <row r="4" spans="1:16" ht="15">
      <c r="A4" s="3040"/>
      <c r="B4" s="3041"/>
      <c r="C4" s="3042"/>
      <c r="D4" s="2230" t="s">
        <v>1906</v>
      </c>
      <c r="E4" s="2231" t="s">
        <v>1907</v>
      </c>
      <c r="F4" s="1392"/>
      <c r="G4" s="2232" t="s">
        <v>1932</v>
      </c>
      <c r="H4" s="1247" t="s">
        <v>1912</v>
      </c>
      <c r="I4" s="55" t="e">
        <f>ROUND(SUMIF('数据-基础表'!I9:AS9,"地上",'数据-基础表'!I5:AS5)/'数据-基础表'!A3,2)</f>
        <v>#DIV/0!</v>
      </c>
      <c r="J4" s="1392"/>
      <c r="K4" s="1392"/>
      <c r="L4" s="1392"/>
      <c r="M4" s="1392"/>
      <c r="N4" s="1427"/>
      <c r="O4" s="1392"/>
      <c r="P4" s="1392"/>
    </row>
    <row r="5" spans="1:16">
      <c r="A5" s="47" t="s">
        <v>1908</v>
      </c>
      <c r="B5" s="3043" t="s">
        <v>1909</v>
      </c>
      <c r="C5" s="3043"/>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3"/>
      <c r="B6" s="3043" t="s">
        <v>1910</v>
      </c>
      <c r="C6" s="3043"/>
      <c r="D6" s="48">
        <f>ROUND($D$3*E6/$E$3,2)</f>
        <v>0</v>
      </c>
      <c r="E6" s="49">
        <f>E3-E5</f>
        <v>1894.58</v>
      </c>
      <c r="F6" s="1392"/>
      <c r="G6" s="2234" t="s">
        <v>1911</v>
      </c>
      <c r="H6" s="1399" t="s">
        <v>1912</v>
      </c>
      <c r="I6" s="939" t="e">
        <f>ROUND(F31/D31,2)</f>
        <v>#DIV/0!</v>
      </c>
      <c r="J6" s="1392"/>
      <c r="K6" s="1392"/>
      <c r="L6" s="1392"/>
      <c r="M6" s="1392"/>
      <c r="N6" s="1392"/>
      <c r="O6" s="1392"/>
      <c r="P6" s="1392"/>
    </row>
    <row r="7" spans="1:16" ht="15">
      <c r="A7" s="3035"/>
      <c r="B7" s="3036"/>
      <c r="C7" s="3037"/>
      <c r="D7" s="2230" t="s">
        <v>1906</v>
      </c>
      <c r="E7" s="2235" t="s">
        <v>1913</v>
      </c>
      <c r="F7" s="1392"/>
      <c r="G7" s="2227" t="s">
        <v>1914</v>
      </c>
      <c r="H7" s="64"/>
      <c r="I7" s="420">
        <v>1</v>
      </c>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1237.4099999999999</v>
      </c>
      <c r="F8" s="1392"/>
      <c r="G8" s="2236"/>
      <c r="H8" s="2236"/>
      <c r="I8" s="1392"/>
      <c r="J8" s="1392"/>
      <c r="K8" s="1392"/>
      <c r="L8" s="1392"/>
      <c r="M8" s="1392"/>
      <c r="N8" s="1392"/>
      <c r="O8" s="1392"/>
      <c r="P8" s="1392"/>
    </row>
    <row r="9" spans="1:16">
      <c r="A9" s="2237"/>
      <c r="B9" s="2238"/>
      <c r="C9" s="48" t="s">
        <v>1918</v>
      </c>
      <c r="D9" s="48">
        <f t="shared" si="0"/>
        <v>0</v>
      </c>
      <c r="E9" s="52">
        <v>0</v>
      </c>
      <c r="F9" s="1392"/>
      <c r="G9" s="2236"/>
      <c r="H9" s="2236"/>
      <c r="I9" s="1392"/>
      <c r="J9" s="1392"/>
      <c r="K9" s="1392"/>
      <c r="L9" s="1392"/>
      <c r="M9" s="1392"/>
      <c r="N9" s="1392"/>
      <c r="O9" s="1392"/>
      <c r="P9" s="1392"/>
    </row>
    <row r="10" spans="1:16">
      <c r="A10" s="2237"/>
      <c r="B10" s="2238"/>
      <c r="C10" s="48" t="s">
        <v>1927</v>
      </c>
      <c r="D10" s="48">
        <f t="shared" si="0"/>
        <v>0</v>
      </c>
      <c r="E10" s="51">
        <f>SUMPRODUCT(('数据-基础表'!BB10:BK10="地下")*('数据-基础表'!BB11:BK11="商业")*('数据-基础表'!BB5:BK5))</f>
        <v>657.17</v>
      </c>
      <c r="F10" s="1392"/>
      <c r="G10" s="2236"/>
      <c r="H10" s="2236"/>
      <c r="I10" s="1392"/>
      <c r="J10" s="1392"/>
      <c r="K10" s="1392"/>
      <c r="L10" s="1392"/>
      <c r="M10" s="1392"/>
      <c r="N10" s="1392"/>
      <c r="O10" s="1392"/>
      <c r="P10" s="1392"/>
    </row>
    <row r="11" spans="1:16">
      <c r="A11" s="2237"/>
      <c r="B11" s="2238"/>
      <c r="C11" s="48" t="s">
        <v>1919</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1920</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1921</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1933</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1928</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1922</v>
      </c>
      <c r="D16" s="50">
        <f>SUM(D8:D15)</f>
        <v>0</v>
      </c>
      <c r="E16" s="53">
        <f>SUM(E8:E15)</f>
        <v>1894.58</v>
      </c>
      <c r="F16" s="1392"/>
      <c r="G16" s="2236"/>
      <c r="H16" s="2239" t="s">
        <v>1934</v>
      </c>
      <c r="I16" s="2240"/>
      <c r="J16" s="1392"/>
      <c r="K16" s="3032" t="s">
        <v>1934</v>
      </c>
      <c r="L16" s="3033"/>
      <c r="M16" s="3033"/>
      <c r="N16" s="3033"/>
      <c r="O16" s="3033"/>
      <c r="P16" s="3034"/>
    </row>
    <row r="17" spans="1:19" ht="15">
      <c r="A17" s="2241" t="s">
        <v>1935</v>
      </c>
      <c r="B17" s="2242" t="s">
        <v>1936</v>
      </c>
      <c r="C17" s="2243" t="s">
        <v>1937</v>
      </c>
      <c r="D17" s="2244" t="s">
        <v>1925</v>
      </c>
      <c r="E17" s="2245" t="s">
        <v>1926</v>
      </c>
      <c r="F17" s="2246"/>
      <c r="G17" s="2247"/>
      <c r="H17" s="2248" t="s">
        <v>1938</v>
      </c>
      <c r="I17" s="2249" t="s">
        <v>1923</v>
      </c>
      <c r="J17" s="1392"/>
      <c r="K17" s="3029" t="s">
        <v>1939</v>
      </c>
      <c r="L17" s="3030"/>
      <c r="M17" s="3031"/>
      <c r="N17" s="3029" t="s">
        <v>1940</v>
      </c>
      <c r="O17" s="3030"/>
      <c r="P17" s="3031"/>
      <c r="R17" s="2227" t="s">
        <v>1941</v>
      </c>
      <c r="S17" s="64"/>
    </row>
    <row r="18" spans="1:19" ht="15">
      <c r="A18" s="2237"/>
      <c r="B18" s="2250"/>
      <c r="C18" s="2251"/>
      <c r="D18" s="2252"/>
      <c r="E18" s="2253" t="s">
        <v>1942</v>
      </c>
      <c r="F18" s="2254" t="s">
        <v>1943</v>
      </c>
      <c r="G18" s="2255" t="s">
        <v>1944</v>
      </c>
      <c r="H18" s="1262" t="s">
        <v>1945</v>
      </c>
      <c r="I18" s="2256" t="s">
        <v>1946</v>
      </c>
      <c r="J18" s="1392"/>
      <c r="K18" s="1262" t="s">
        <v>1947</v>
      </c>
      <c r="L18" s="2257" t="s">
        <v>1948</v>
      </c>
      <c r="M18" s="1046" t="s">
        <v>1949</v>
      </c>
      <c r="N18" s="1262" t="s">
        <v>1947</v>
      </c>
      <c r="O18" s="2257" t="s">
        <v>1948</v>
      </c>
      <c r="P18" s="1046" t="s">
        <v>1949</v>
      </c>
      <c r="R18" s="1247" t="s">
        <v>1950</v>
      </c>
      <c r="S18" s="1247" t="s">
        <v>1951</v>
      </c>
    </row>
    <row r="19" spans="1:19">
      <c r="A19" s="2258"/>
      <c r="B19" s="50" t="s">
        <v>1924</v>
      </c>
      <c r="C19" s="3286" t="s">
        <v>3079</v>
      </c>
      <c r="D19" s="48">
        <f>ROUND($D$3*E19/$E$3,2)</f>
        <v>0</v>
      </c>
      <c r="E19" s="56">
        <f t="shared" ref="E19:E26" si="1">SUM(F19:G19)</f>
        <v>1894.58</v>
      </c>
      <c r="F19" s="57">
        <f>'数据-基础表'!I5</f>
        <v>1237.4099999999999</v>
      </c>
      <c r="G19" s="58">
        <f>'数据-基础表'!K5</f>
        <v>657.17</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1894.58</v>
      </c>
    </row>
    <row r="20" spans="1:19">
      <c r="A20" s="2262"/>
      <c r="B20" s="50" t="s">
        <v>1952</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1952</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1953</v>
      </c>
      <c r="D27" s="1393">
        <f>SUM(D19:D26)</f>
        <v>0</v>
      </c>
      <c r="E27" s="1394">
        <f>IF(SUM(E19:E26)='数据-基础表'!BA5,SUM(E19:E26),IF(F27="地上面积有误","面积有误","地下面积有误"))</f>
        <v>1894.58</v>
      </c>
      <c r="F27" s="1393">
        <f>IF(SUM(F19:F26)=E8,SUM(F19:F26),"地上面积有误")</f>
        <v>1237.4099999999999</v>
      </c>
      <c r="G27" s="1395">
        <f>SUM(G19:G26)</f>
        <v>657.17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1894.58</v>
      </c>
    </row>
    <row r="28" spans="1:19">
      <c r="A28" s="2262"/>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1954</v>
      </c>
      <c r="C29" s="2266"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1957</v>
      </c>
      <c r="D31" s="729">
        <f>D27+D30</f>
        <v>0</v>
      </c>
      <c r="E31" s="729">
        <f>E27+E30</f>
        <v>1894.58</v>
      </c>
      <c r="F31" s="730">
        <f>F27+F30</f>
        <v>1237.4099999999999</v>
      </c>
      <c r="G31" s="731">
        <f>G27+G30</f>
        <v>657.17</v>
      </c>
      <c r="H31" s="1392"/>
      <c r="I31" s="1392"/>
      <c r="J31" s="1392"/>
      <c r="K31" s="1392"/>
      <c r="L31" s="1392"/>
      <c r="M31" s="1392"/>
      <c r="N31" s="1392"/>
      <c r="O31" s="1392"/>
      <c r="P31" s="1392"/>
    </row>
    <row r="32" spans="1:19">
      <c r="A32" s="2232"/>
      <c r="B32" s="2232" t="s">
        <v>1958</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1959</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1960</v>
      </c>
      <c r="B2" s="1266">
        <f>项目基本情况!D3</f>
        <v>43851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1967</v>
      </c>
      <c r="B5" s="2289" t="s">
        <v>1968</v>
      </c>
      <c r="C5" s="2290" t="s">
        <v>1969</v>
      </c>
      <c r="D5" s="2291" t="s">
        <v>1970</v>
      </c>
      <c r="E5" s="1268" t="s">
        <v>1971</v>
      </c>
      <c r="F5" s="2292" t="s">
        <v>1972</v>
      </c>
      <c r="G5" s="1268" t="s">
        <v>1973</v>
      </c>
      <c r="H5" s="1268" t="s">
        <v>1974</v>
      </c>
      <c r="I5" s="1268" t="s">
        <v>1975</v>
      </c>
      <c r="J5" s="2293" t="s">
        <v>1976</v>
      </c>
      <c r="K5" s="2294" t="s">
        <v>1977</v>
      </c>
      <c r="L5" s="2295" t="s">
        <v>1978</v>
      </c>
      <c r="M5" s="2296" t="s">
        <v>1979</v>
      </c>
      <c r="N5" s="2297" t="s">
        <v>3080</v>
      </c>
      <c r="O5" s="2295" t="s">
        <v>1980</v>
      </c>
      <c r="P5" s="2298" t="s">
        <v>1981</v>
      </c>
      <c r="Q5" s="69" t="s">
        <v>1982</v>
      </c>
      <c r="R5" s="2299" t="s">
        <v>1983</v>
      </c>
      <c r="S5" s="2300" t="s">
        <v>1984</v>
      </c>
      <c r="T5" s="2301" t="s">
        <v>1985</v>
      </c>
      <c r="U5" s="1267" t="s">
        <v>1986</v>
      </c>
      <c r="V5" s="1268" t="s">
        <v>1987</v>
      </c>
      <c r="W5" s="1268" t="s">
        <v>1988</v>
      </c>
      <c r="X5" s="71"/>
      <c r="Y5" s="70" t="s">
        <v>1989</v>
      </c>
      <c r="Z5" s="2302" t="s">
        <v>1986</v>
      </c>
      <c r="AA5" s="1268" t="s">
        <v>1987</v>
      </c>
      <c r="AB5" s="1268" t="s">
        <v>1988</v>
      </c>
      <c r="AC5" s="71"/>
      <c r="AD5" s="71" t="s">
        <v>1989</v>
      </c>
      <c r="AE5" s="1267" t="s">
        <v>1990</v>
      </c>
      <c r="AF5" s="1268" t="s">
        <v>1991</v>
      </c>
      <c r="AG5" s="70" t="s">
        <v>1992</v>
      </c>
      <c r="AH5" s="1267" t="s">
        <v>1993</v>
      </c>
      <c r="AI5" s="2302" t="s">
        <v>1994</v>
      </c>
      <c r="AJ5" s="2302" t="s">
        <v>1995</v>
      </c>
      <c r="AK5" s="1268" t="s">
        <v>1996</v>
      </c>
      <c r="AL5" s="1268" t="s">
        <v>1997</v>
      </c>
      <c r="AM5" s="70" t="s">
        <v>1998</v>
      </c>
      <c r="AN5" s="2303" t="s">
        <v>1999</v>
      </c>
      <c r="AO5" s="2073" t="s">
        <v>2000</v>
      </c>
      <c r="AP5" s="1249" t="s">
        <v>2001</v>
      </c>
      <c r="AQ5" s="2304" t="s">
        <v>2002</v>
      </c>
      <c r="AR5" s="2304" t="s">
        <v>2003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商业</v>
      </c>
      <c r="B6" s="2306" t="str">
        <f>IF(A6=0,"","经营性")</f>
        <v>经营性</v>
      </c>
      <c r="C6" s="2307" t="s">
        <v>1372</v>
      </c>
      <c r="D6" s="1051">
        <f>SUMIF(项目基本情况!D$12:I$12,C6,项目基本情况!D$14:I$14)</f>
        <v>40</v>
      </c>
      <c r="E6" s="1048">
        <f>IF(B6="","",SUMIF(项目基本情况!D$12:I$12,C6,项目基本情况!D$13:I$13))</f>
        <v>52976</v>
      </c>
      <c r="F6" s="72">
        <f>SUMIF(项目基本情况!D$12:I$12,C6,项目基本情况!D$15:I$15)</f>
        <v>25</v>
      </c>
      <c r="G6" s="73">
        <f>IF(ISERROR(ROUND(POWER(1+H6,D6-F6)*(POWER(1+H6,F6)-1)/(POWER(1+H6,D6)-1),3)),0,ROUND(POWER(1+H6,D6-F6)*(POWER(1+H6,F6)-1)/(POWER(1+H6,D6)-1),3))</f>
        <v>0.82099999999999995</v>
      </c>
      <c r="H6" s="802">
        <v>0.05</v>
      </c>
      <c r="I6" s="802">
        <v>5.5E-2</v>
      </c>
      <c r="J6" s="74">
        <v>8.5000000000000006E-2</v>
      </c>
      <c r="K6" s="1251">
        <f>SUMIF('数据-汇总表'!C$19:C$33,A6,'数据-汇总表'!E$19:E$33)</f>
        <v>1894.58</v>
      </c>
      <c r="L6" s="803">
        <v>3500</v>
      </c>
      <c r="M6" s="75">
        <f t="shared" ref="M6:M14" si="0">ROUND(K6*L6/10000,0)</f>
        <v>663</v>
      </c>
      <c r="N6" s="801">
        <f>ROUND(1-(1-0%)*(2020-N18)/60,2)</f>
        <v>0.77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X23</f>
        <v>7.5</v>
      </c>
      <c r="V6" s="79">
        <v>0.03</v>
      </c>
      <c r="W6" s="79">
        <v>0.1</v>
      </c>
      <c r="X6" s="1261"/>
      <c r="Y6" s="80">
        <f>N6</f>
        <v>0.77</v>
      </c>
      <c r="Z6" s="81"/>
      <c r="AA6" s="74"/>
      <c r="AB6" s="74"/>
      <c r="AC6" s="1261"/>
      <c r="AD6" s="82"/>
      <c r="AE6" s="1262">
        <f ca="1">IF(AN6="",0,SUMIF(INDIRECT("'"&amp;AN6&amp;"'"&amp;"!E:E"),$AE$5,INDIRECT("'"&amp;AN6&amp;"'"&amp;"!F:F")))</f>
        <v>25</v>
      </c>
      <c r="AF6" s="1804"/>
      <c r="AG6" s="147">
        <f>IF(AF6="",0,AE6-AF6)</f>
        <v>0</v>
      </c>
      <c r="AH6" s="83"/>
      <c r="AI6" s="85">
        <v>365</v>
      </c>
      <c r="AJ6" s="86"/>
      <c r="AK6" s="87">
        <v>1.4999999999999999E-2</v>
      </c>
      <c r="AL6" s="88">
        <v>1.5E-3</v>
      </c>
      <c r="AM6" s="89">
        <v>0.01</v>
      </c>
      <c r="AN6" s="2308" t="s">
        <v>3089</v>
      </c>
      <c r="AO6" s="55">
        <f ca="1">SUMIF(INDIRECT("'"&amp;AN6&amp;"'"&amp;"!A:A"),"总价",INDIRECT("'"&amp;AN6&amp;"'"&amp;"!B:B"))</f>
        <v>7125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2004</v>
      </c>
      <c r="B14" s="2306" t="s">
        <v>2005</v>
      </c>
      <c r="C14" s="2311"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2006</v>
      </c>
      <c r="B15" s="2306" t="s">
        <v>2005</v>
      </c>
      <c r="C15" s="2311"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2008</v>
      </c>
      <c r="B16" s="97"/>
      <c r="C16" s="1005"/>
      <c r="D16" s="2313"/>
      <c r="E16" s="97"/>
      <c r="F16" s="97"/>
      <c r="G16" s="98">
        <f>ROUND(SUMPRODUCT(G6:G13,K6:K13)/SUMPRODUCT((G6:G13&gt;0)*(K6:K13)),3)</f>
        <v>0.82099999999999995</v>
      </c>
      <c r="H16" s="99">
        <f>ROUND(SUMPRODUCT(H6:H13,K6:K13)/SUMPRODUCT((H6:H13&gt;0)*(K6:K13)),3)</f>
        <v>0.05</v>
      </c>
      <c r="I16" s="100"/>
      <c r="J16" s="100"/>
      <c r="K16" s="101">
        <f>SUM(K6:K15)</f>
        <v>1894.58</v>
      </c>
      <c r="L16" s="102">
        <f>ROUND(M16*10000/SUM(K6:K14),0)</f>
        <v>3499</v>
      </c>
      <c r="M16" s="102">
        <f>SUM(M6:M14)</f>
        <v>663</v>
      </c>
      <c r="N16" s="103">
        <f>ROUND(SUMPRODUCT(M6:M14,N6:N14)/M16,3)</f>
        <v>0.77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9"/>
      <c r="C18" s="2276"/>
      <c r="D18" s="2277"/>
      <c r="E18" s="2276"/>
      <c r="F18" s="2276"/>
      <c r="G18" s="2276"/>
      <c r="H18" s="2276"/>
      <c r="I18" s="2276"/>
      <c r="J18" s="2276"/>
      <c r="K18" s="168"/>
      <c r="L18" s="168"/>
      <c r="M18" s="3285" t="s">
        <v>3076</v>
      </c>
      <c r="N18" s="1581">
        <v>2006</v>
      </c>
      <c r="O18" s="3285" t="s">
        <v>3077</v>
      </c>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2010</v>
      </c>
      <c r="B19" s="112">
        <v>0</v>
      </c>
      <c r="C19" s="2276" t="s">
        <v>2011</v>
      </c>
      <c r="D19" s="2277"/>
      <c r="E19" s="2276"/>
      <c r="F19" s="2276"/>
      <c r="G19" s="2276"/>
      <c r="H19" s="2276"/>
      <c r="I19" s="2276"/>
      <c r="J19" s="2276"/>
      <c r="K19" s="168"/>
      <c r="L19" s="168"/>
      <c r="M19" s="1581"/>
      <c r="N19" s="1581"/>
      <c r="O19" s="1581"/>
      <c r="P19" s="1581"/>
      <c r="Q19" s="1581"/>
      <c r="R19" s="1581"/>
      <c r="S19" s="1581"/>
      <c r="T19" s="1581">
        <f ca="1">结果表!G20</f>
        <v>48043</v>
      </c>
      <c r="U19" s="1581"/>
      <c r="V19" s="3285" t="s">
        <v>3084</v>
      </c>
      <c r="W19" s="3285" t="s">
        <v>3085</v>
      </c>
      <c r="X19" s="3285" t="s">
        <v>3086</v>
      </c>
      <c r="Y19" s="3285" t="s">
        <v>3087</v>
      </c>
      <c r="Z19" s="3285" t="s">
        <v>3088</v>
      </c>
      <c r="AA19" s="1581"/>
      <c r="AB19" s="1581"/>
      <c r="AC19" s="1581"/>
      <c r="AD19" s="1581"/>
      <c r="AE19" s="1581"/>
      <c r="AF19" s="1581"/>
      <c r="AG19" s="1581"/>
      <c r="AH19" s="1581"/>
      <c r="AI19" s="1581"/>
      <c r="AJ19" s="1581"/>
      <c r="AK19" s="1581"/>
      <c r="AL19" s="1581"/>
      <c r="AM19" s="1581"/>
    </row>
    <row r="20" spans="1:67" ht="14.25">
      <c r="A20" s="2316" t="s">
        <v>2012</v>
      </c>
      <c r="B20" s="113">
        <v>1</v>
      </c>
      <c r="C20" s="2276" t="s">
        <v>2013</v>
      </c>
      <c r="D20" s="2277"/>
      <c r="E20" s="2276"/>
      <c r="F20" s="2276"/>
      <c r="G20" s="2276"/>
      <c r="H20" s="2276"/>
      <c r="I20" s="2276"/>
      <c r="J20" s="2276"/>
      <c r="K20" s="168"/>
      <c r="L20" s="168"/>
      <c r="M20" s="1581"/>
      <c r="N20" s="1581"/>
      <c r="O20" s="1581"/>
      <c r="P20" s="1581"/>
      <c r="Q20" s="1581"/>
      <c r="R20" s="1581"/>
      <c r="S20" s="1581"/>
      <c r="T20" s="1581">
        <f ca="1">ROUND(T19*3/(W20+W21+W22),0)</f>
        <v>64057</v>
      </c>
      <c r="U20" s="1581" t="s">
        <v>3081</v>
      </c>
      <c r="V20" s="1581">
        <f>ROUND(K16/3,2)</f>
        <v>631.53</v>
      </c>
      <c r="W20" s="1581">
        <v>1</v>
      </c>
      <c r="X20" s="1581">
        <v>10</v>
      </c>
      <c r="Y20" s="1581">
        <f>ROUND(X20*365*V20/10000,0)</f>
        <v>231</v>
      </c>
      <c r="Z20" s="1581">
        <v>475</v>
      </c>
      <c r="AA20" s="1581">
        <f>Y20+Y22</f>
        <v>346</v>
      </c>
      <c r="AB20" s="1581"/>
      <c r="AC20" s="1581"/>
      <c r="AD20" s="1581"/>
      <c r="AE20" s="1581"/>
      <c r="AF20" s="1581"/>
      <c r="AG20" s="1581"/>
      <c r="AH20" s="1581"/>
      <c r="AI20" s="1581"/>
      <c r="AJ20" s="1581"/>
      <c r="AK20" s="1581"/>
      <c r="AL20" s="1581"/>
      <c r="AM20" s="1581"/>
    </row>
    <row r="21" spans="1:67" ht="14.25">
      <c r="A21" s="2317" t="s">
        <v>2014</v>
      </c>
      <c r="B21" s="113">
        <v>1</v>
      </c>
      <c r="C21" s="2276"/>
      <c r="D21" s="2277"/>
      <c r="E21" s="2276"/>
      <c r="F21" s="2276"/>
      <c r="G21" s="2276"/>
      <c r="H21" s="2276"/>
      <c r="I21" s="2276"/>
      <c r="J21" s="2276"/>
      <c r="K21" s="168"/>
      <c r="L21" s="168"/>
      <c r="M21" s="1581"/>
      <c r="N21" s="1581"/>
      <c r="O21" s="1581"/>
      <c r="P21" s="1581"/>
      <c r="Q21" s="1581"/>
      <c r="R21" s="1581"/>
      <c r="S21" s="1581"/>
      <c r="T21" s="1581">
        <f ca="1">W21*T20</f>
        <v>48042.75</v>
      </c>
      <c r="U21" s="1581" t="s">
        <v>3082</v>
      </c>
      <c r="V21" s="1581">
        <f>V20</f>
        <v>631.53</v>
      </c>
      <c r="W21" s="1581">
        <v>0.75</v>
      </c>
      <c r="X21" s="1581">
        <f>ROUND(X20*W21,1)</f>
        <v>7.5</v>
      </c>
      <c r="Y21" s="1581">
        <f>ROUND(X21*365*V21/10000,0)</f>
        <v>173</v>
      </c>
      <c r="Z21" s="1581"/>
      <c r="AA21" s="1581"/>
      <c r="AB21" s="1581"/>
      <c r="AC21" s="1581"/>
      <c r="AD21" s="1581"/>
      <c r="AE21" s="1581"/>
      <c r="AF21" s="1581"/>
      <c r="AG21" s="1581"/>
      <c r="AH21" s="1581"/>
      <c r="AI21" s="1581"/>
      <c r="AJ21" s="1581"/>
      <c r="AK21" s="1581"/>
      <c r="AL21" s="1581"/>
      <c r="AM21" s="1581"/>
    </row>
    <row r="22" spans="1:67" ht="14.25">
      <c r="A22" s="2316" t="s">
        <v>2015</v>
      </c>
      <c r="B22" s="114">
        <f>B19+B20</f>
        <v>1</v>
      </c>
      <c r="C22" s="2276"/>
      <c r="D22" s="2277"/>
      <c r="E22" s="2276"/>
      <c r="F22" s="2276"/>
      <c r="G22" s="2276"/>
      <c r="H22" s="2276"/>
      <c r="I22" s="2276"/>
      <c r="J22" s="2276"/>
      <c r="K22" s="168"/>
      <c r="L22" s="168"/>
      <c r="M22" s="1581"/>
      <c r="N22" s="1581"/>
      <c r="O22" s="1581"/>
      <c r="P22" s="1581"/>
      <c r="Q22" s="1581"/>
      <c r="R22" s="1581"/>
      <c r="S22" s="1581"/>
      <c r="T22" s="1581">
        <f ca="1">W22*T20</f>
        <v>32028.5</v>
      </c>
      <c r="U22" s="3287" t="s">
        <v>3083</v>
      </c>
      <c r="V22" s="1581">
        <f>V21</f>
        <v>631.53</v>
      </c>
      <c r="W22" s="1581">
        <v>0.5</v>
      </c>
      <c r="X22" s="1581">
        <f>ROUND(X20*W22,1)</f>
        <v>5</v>
      </c>
      <c r="Y22" s="1581">
        <f>ROUND(X22*365*V22/10000,0)</f>
        <v>115</v>
      </c>
      <c r="Z22" s="1581"/>
      <c r="AA22" s="1581"/>
      <c r="AB22" s="1581"/>
      <c r="AC22" s="1581"/>
      <c r="AD22" s="1581"/>
      <c r="AE22" s="1581"/>
      <c r="AF22" s="1581"/>
      <c r="AG22" s="1581"/>
      <c r="AH22" s="1581"/>
      <c r="AI22" s="1581"/>
      <c r="AJ22" s="1581"/>
      <c r="AK22" s="1581"/>
      <c r="AL22" s="1581"/>
      <c r="AM22" s="1581"/>
    </row>
    <row r="23" spans="1:67" ht="14.25">
      <c r="A23" s="2317" t="s">
        <v>2016</v>
      </c>
      <c r="B23" s="114">
        <f>B19+B21</f>
        <v>1</v>
      </c>
      <c r="C23" s="2276"/>
      <c r="D23" s="2277"/>
      <c r="E23" s="2276"/>
      <c r="F23" s="2276"/>
      <c r="G23" s="2276"/>
      <c r="H23" s="2276"/>
      <c r="I23" s="2276"/>
      <c r="J23" s="2276"/>
      <c r="K23" s="168"/>
      <c r="L23" s="168"/>
      <c r="M23" s="1581"/>
      <c r="N23" s="1581"/>
      <c r="O23" s="1581"/>
      <c r="P23" s="1581"/>
      <c r="Q23" s="1581"/>
      <c r="R23" s="1581"/>
      <c r="S23" s="1581"/>
      <c r="T23" s="1581" t="s">
        <v>3112</v>
      </c>
      <c r="U23" s="1581"/>
      <c r="V23" s="1581">
        <f>SUM(V20:V22)</f>
        <v>1894.59</v>
      </c>
      <c r="W23" s="1581"/>
      <c r="X23" s="1581">
        <f>ROUND(Y23*10000/V23/365,1)</f>
        <v>7.5</v>
      </c>
      <c r="Y23" s="1581">
        <f>SUM(Y20:Y22)</f>
        <v>519</v>
      </c>
      <c r="Z23" s="1581"/>
      <c r="AA23" s="1581"/>
      <c r="AB23" s="1581"/>
      <c r="AC23" s="1581"/>
      <c r="AD23" s="1581"/>
      <c r="AE23" s="1581"/>
      <c r="AF23" s="1581"/>
      <c r="AG23" s="1581"/>
      <c r="AH23" s="1581"/>
      <c r="AI23" s="1581"/>
      <c r="AJ23" s="1581"/>
      <c r="AK23" s="1581"/>
      <c r="AL23" s="1581"/>
      <c r="AM23" s="1581"/>
    </row>
    <row r="24" spans="1:67" ht="15" thickBot="1">
      <c r="A24" s="2318" t="s">
        <v>2017</v>
      </c>
      <c r="B24" s="115">
        <f>B20-B21</f>
        <v>0</v>
      </c>
      <c r="C24" s="2276"/>
      <c r="D24" s="2277"/>
      <c r="E24" s="2276"/>
      <c r="F24" s="2276"/>
      <c r="G24" s="2276"/>
      <c r="H24" s="2276"/>
      <c r="I24" s="2276"/>
      <c r="J24" s="2276"/>
      <c r="K24" s="168"/>
      <c r="L24" s="168"/>
      <c r="M24" s="1581"/>
      <c r="N24" s="1581"/>
      <c r="O24" s="1581"/>
      <c r="P24" s="1581"/>
      <c r="Q24" s="1581"/>
      <c r="R24" s="1581"/>
      <c r="S24" s="1581"/>
      <c r="T24" s="1581" t="s">
        <v>3111</v>
      </c>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2018</v>
      </c>
      <c r="B26" s="2319" t="s">
        <v>2019</v>
      </c>
      <c r="C26" s="2320" t="s">
        <v>2020</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2021</v>
      </c>
      <c r="B27" s="116">
        <v>160</v>
      </c>
      <c r="C27" s="1764" t="s">
        <v>2022</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2023</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2024</v>
      </c>
      <c r="B29" s="121">
        <f>ROUND(B28*K16/10000,0)</f>
        <v>38</v>
      </c>
      <c r="C29" s="1764" t="s">
        <v>2025</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2026</v>
      </c>
      <c r="B30" s="724">
        <v>150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2027</v>
      </c>
      <c r="B31" s="120">
        <f>B30-B32</f>
        <v>150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2028</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2029</v>
      </c>
      <c r="B33" s="726">
        <v>0.03</v>
      </c>
      <c r="C33" s="1763" t="s">
        <v>2030</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2031</v>
      </c>
      <c r="B34" s="122">
        <v>0</v>
      </c>
      <c r="C34" s="1763" t="s">
        <v>2032</v>
      </c>
      <c r="D34" s="2277" t="s">
        <v>2033</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2034</v>
      </c>
      <c r="B35" s="119">
        <f>B30</f>
        <v>150</v>
      </c>
      <c r="C35" s="1763" t="s">
        <v>2035</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2036</v>
      </c>
      <c r="B36" s="123">
        <v>1.4999999999999999E-2</v>
      </c>
      <c r="C36" s="1763" t="s">
        <v>2037</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2038</v>
      </c>
      <c r="B37" s="124">
        <v>0.02</v>
      </c>
      <c r="C37" s="1763" t="s">
        <v>2039</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2040</v>
      </c>
      <c r="B38" s="122">
        <v>0.02</v>
      </c>
      <c r="C38" s="1763" t="s">
        <v>2039</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2041</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2042</v>
      </c>
      <c r="B40" s="1300">
        <f ca="1">存贷款利率!G1</f>
        <v>4.3499999999999997E-2</v>
      </c>
      <c r="C40" s="1763" t="s">
        <v>2043</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2044</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2045</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2046</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2047</v>
      </c>
      <c r="B44" s="128">
        <v>7.0000000000000007E-2</v>
      </c>
      <c r="C44" s="1763" t="s">
        <v>2048</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2049</v>
      </c>
      <c r="B45" s="126">
        <v>0.03</v>
      </c>
      <c r="C45" s="1764" t="s">
        <v>2050</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2051</v>
      </c>
      <c r="B46" s="126">
        <v>0.02</v>
      </c>
      <c r="C46" s="1764" t="s">
        <v>2052</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2053</v>
      </c>
      <c r="B47" s="129">
        <v>0</v>
      </c>
      <c r="C47" s="1764" t="s">
        <v>2054</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2055</v>
      </c>
      <c r="B48" s="130">
        <v>0.03</v>
      </c>
      <c r="C48" s="1771" t="s">
        <v>2056</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2057</v>
      </c>
      <c r="B49" s="126">
        <v>5.0000000000000001E-4</v>
      </c>
      <c r="C49" s="1771" t="s">
        <v>2058</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2059</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2060</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2061</v>
      </c>
      <c r="B52" s="133">
        <f>SUMIF(A54:A63,B53,B54:B63)</f>
        <v>12</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2062</v>
      </c>
      <c r="B53" s="2335" t="s">
        <v>137</v>
      </c>
      <c r="C53" s="1427" t="s">
        <v>2063</v>
      </c>
      <c r="D53" s="2336" t="s">
        <v>2064</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2065</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2066</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2067</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2068</v>
      </c>
      <c r="B57" s="3288">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2069</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2070</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2071</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2072</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2073</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2074</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4" t="s">
        <v>2075</v>
      </c>
      <c r="B1" s="3045"/>
      <c r="C1" s="3045"/>
      <c r="D1" s="3045"/>
      <c r="E1" s="3045"/>
      <c r="F1" s="3045"/>
      <c r="G1" s="304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2076</v>
      </c>
      <c r="D2" s="2364"/>
      <c r="E2" s="2365"/>
      <c r="F2" s="2285"/>
      <c r="G2" s="2363" t="s">
        <v>2077</v>
      </c>
      <c r="H2" s="2366"/>
      <c r="I2" s="2366"/>
      <c r="J2" s="2366"/>
      <c r="K2" s="2366"/>
      <c r="L2" s="2366"/>
      <c r="M2" s="2366"/>
      <c r="N2" s="2366"/>
      <c r="O2" s="2366"/>
      <c r="P2" s="2366"/>
      <c r="Q2" s="2366"/>
      <c r="R2" s="2366"/>
    </row>
    <row r="3" spans="1:29" ht="42.75">
      <c r="A3" s="415" t="s">
        <v>2078</v>
      </c>
      <c r="B3" s="1268" t="s">
        <v>2079</v>
      </c>
      <c r="C3" s="2368"/>
      <c r="D3" s="2369"/>
      <c r="E3" s="431" t="s">
        <v>2078</v>
      </c>
      <c r="F3" s="2370" t="s">
        <v>2080</v>
      </c>
      <c r="G3" s="2371" t="s">
        <v>2081</v>
      </c>
      <c r="H3" s="2366"/>
      <c r="I3" s="2366"/>
      <c r="J3" s="2366"/>
      <c r="K3" s="2366"/>
      <c r="L3" s="2366"/>
      <c r="M3" s="2366"/>
      <c r="N3" s="2366"/>
      <c r="O3" s="2366"/>
      <c r="P3" s="2366"/>
      <c r="Q3" s="2366"/>
      <c r="R3" s="2366"/>
    </row>
    <row r="4" spans="1:29" ht="40.5">
      <c r="A4" s="431"/>
      <c r="B4" s="1795" t="s">
        <v>2082</v>
      </c>
      <c r="C4" s="3289" t="s">
        <v>3091</v>
      </c>
      <c r="D4" s="2369"/>
      <c r="E4" s="2373"/>
      <c r="F4" s="42" t="s">
        <v>2083</v>
      </c>
      <c r="G4" s="2374" t="s">
        <v>2084</v>
      </c>
      <c r="H4" s="2366"/>
      <c r="I4" s="2366"/>
      <c r="J4" s="2366"/>
      <c r="K4" s="2366"/>
      <c r="L4" s="2366"/>
      <c r="M4" s="2366"/>
      <c r="N4" s="2366"/>
      <c r="O4" s="2366"/>
      <c r="P4" s="2366"/>
      <c r="Q4" s="2366"/>
      <c r="R4" s="2366"/>
    </row>
    <row r="5" spans="1:29" ht="27">
      <c r="A5" s="431"/>
      <c r="B5" s="1795" t="s">
        <v>2085</v>
      </c>
      <c r="C5" s="2372"/>
      <c r="D5" s="2369"/>
      <c r="E5" s="2373"/>
      <c r="F5" s="1795" t="s">
        <v>2086</v>
      </c>
      <c r="G5" s="2374" t="s">
        <v>2087</v>
      </c>
      <c r="H5" s="2366"/>
      <c r="I5" s="2366"/>
      <c r="J5" s="2366"/>
      <c r="K5" s="2366"/>
      <c r="L5" s="2366"/>
      <c r="M5" s="2366"/>
      <c r="N5" s="2366"/>
      <c r="O5" s="2366"/>
      <c r="P5" s="2366"/>
      <c r="Q5" s="2366"/>
      <c r="R5" s="2366"/>
    </row>
    <row r="6" spans="1:29" ht="15">
      <c r="A6" s="431"/>
      <c r="B6" s="1795" t="s">
        <v>2088</v>
      </c>
      <c r="C6" s="3290" t="s">
        <v>3092</v>
      </c>
      <c r="D6" s="2369"/>
      <c r="E6" s="2373"/>
      <c r="F6" s="1795" t="s">
        <v>2089</v>
      </c>
      <c r="G6" s="2374" t="s">
        <v>2090</v>
      </c>
      <c r="H6" s="2366"/>
      <c r="I6" s="2366"/>
      <c r="J6" s="2366"/>
      <c r="K6" s="2366"/>
      <c r="L6" s="2366"/>
      <c r="M6" s="2366"/>
      <c r="N6" s="2366"/>
      <c r="O6" s="2366"/>
      <c r="P6" s="2366"/>
      <c r="Q6" s="2366"/>
      <c r="R6" s="2366"/>
    </row>
    <row r="7" spans="1:29" ht="41.25" thickBot="1">
      <c r="A7" s="431"/>
      <c r="B7" s="1795" t="s">
        <v>2086</v>
      </c>
      <c r="C7" s="3290" t="s">
        <v>3092</v>
      </c>
      <c r="D7" s="2375"/>
      <c r="E7" s="2376"/>
      <c r="F7" s="2377" t="s">
        <v>2091</v>
      </c>
      <c r="G7" s="2378" t="s">
        <v>2092</v>
      </c>
      <c r="H7" s="2366"/>
      <c r="I7" s="2366"/>
      <c r="J7" s="2366"/>
      <c r="K7" s="2366"/>
      <c r="L7" s="2366"/>
      <c r="M7" s="2366"/>
      <c r="N7" s="2366"/>
      <c r="O7" s="2366"/>
      <c r="P7" s="2366"/>
      <c r="Q7" s="2366"/>
      <c r="R7" s="2366"/>
    </row>
    <row r="8" spans="1:29" ht="15">
      <c r="A8" s="431"/>
      <c r="B8" s="1795" t="s">
        <v>2089</v>
      </c>
      <c r="C8" s="3290" t="s">
        <v>3093</v>
      </c>
      <c r="D8" s="2375"/>
      <c r="E8" s="2375"/>
      <c r="F8" s="1133"/>
      <c r="G8" s="1133"/>
      <c r="H8" s="2366"/>
      <c r="I8" s="2366"/>
      <c r="J8" s="2366"/>
      <c r="K8" s="2366"/>
      <c r="L8" s="2366"/>
      <c r="M8" s="2366"/>
      <c r="N8" s="2366"/>
      <c r="O8" s="2366"/>
      <c r="P8" s="2366"/>
      <c r="Q8" s="2366"/>
      <c r="R8" s="2366"/>
    </row>
    <row r="9" spans="1:29" ht="15">
      <c r="A9" s="431"/>
      <c r="B9" s="1795" t="s">
        <v>2093</v>
      </c>
      <c r="C9" s="3289" t="s">
        <v>3094</v>
      </c>
      <c r="D9" s="2369"/>
      <c r="E9" s="2375"/>
      <c r="F9" s="1133"/>
      <c r="G9" s="1133"/>
      <c r="H9" s="2366"/>
      <c r="I9" s="2366"/>
      <c r="J9" s="2366"/>
      <c r="K9" s="2366"/>
      <c r="L9" s="2366"/>
      <c r="M9" s="2366"/>
      <c r="N9" s="2366"/>
      <c r="O9" s="2366"/>
      <c r="P9" s="2366"/>
      <c r="Q9" s="2366"/>
      <c r="R9" s="2366"/>
    </row>
    <row r="10" spans="1:29" s="117" customFormat="1" ht="15.75" thickBot="1">
      <c r="A10" s="2379"/>
      <c r="B10" s="2380" t="s">
        <v>2094</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2095</v>
      </c>
      <c r="B13" s="2386"/>
      <c r="C13" s="2386"/>
      <c r="D13" s="2393"/>
      <c r="E13" s="2386"/>
      <c r="F13" s="2386"/>
      <c r="G13" s="2386"/>
    </row>
    <row r="14" spans="1:29" ht="15.75" thickBot="1">
      <c r="A14" s="2397"/>
      <c r="B14" s="2398"/>
      <c r="C14" s="2399" t="s">
        <v>2096</v>
      </c>
      <c r="D14" s="2369"/>
      <c r="E14" s="2400"/>
      <c r="F14" s="2400"/>
      <c r="G14" s="2363" t="s">
        <v>2097</v>
      </c>
    </row>
    <row r="15" spans="1:29" ht="57">
      <c r="A15" s="68" t="s">
        <v>2098</v>
      </c>
      <c r="B15" s="1267" t="s">
        <v>2079</v>
      </c>
      <c r="C15" s="2401">
        <f>C3</f>
        <v>0</v>
      </c>
      <c r="D15" s="2369"/>
      <c r="E15" s="2402" t="s">
        <v>2099</v>
      </c>
      <c r="F15" s="1267" t="s">
        <v>2100</v>
      </c>
      <c r="G15" s="135" t="str">
        <f>G3</f>
        <v>估价对象位于XX开发区，园区建设成熟度XX，产业集聚程度XX</v>
      </c>
    </row>
    <row r="16" spans="1:29" ht="42.75">
      <c r="A16" s="645"/>
      <c r="B16" s="2403" t="s">
        <v>2082</v>
      </c>
      <c r="C16" s="2404" t="str">
        <f>C4</f>
        <v>较好</v>
      </c>
      <c r="D16" s="2369"/>
      <c r="E16" s="2405"/>
      <c r="F16" s="2406" t="s">
        <v>2083</v>
      </c>
      <c r="G16" s="136" t="str">
        <f>G4</f>
        <v>估价对象周边道路状况、公共交通通达情况、停车便捷程度，综合评价交通便捷度较好</v>
      </c>
    </row>
    <row r="17" spans="1:18" ht="42.75">
      <c r="A17" s="645"/>
      <c r="B17" s="2403" t="s">
        <v>2085</v>
      </c>
      <c r="C17" s="2404">
        <f>C5</f>
        <v>0</v>
      </c>
      <c r="D17" s="2375"/>
      <c r="E17" s="2405"/>
      <c r="F17" s="2406" t="s">
        <v>2101</v>
      </c>
      <c r="G17" s="1569"/>
    </row>
    <row r="18" spans="1:18" ht="57">
      <c r="A18" s="645"/>
      <c r="B18" s="2406" t="s">
        <v>2088</v>
      </c>
      <c r="C18" s="136" t="str">
        <f>C6</f>
        <v>较好</v>
      </c>
      <c r="D18" s="2375"/>
      <c r="E18" s="2405"/>
      <c r="F18" s="2406" t="s">
        <v>2091</v>
      </c>
      <c r="G18" s="136" t="str">
        <f>G7</f>
        <v>该园区内是否有污染型企业，绿化情况，卫生条件，整体环境状况判断</v>
      </c>
    </row>
    <row r="19" spans="1:18" ht="28.5">
      <c r="A19" s="645"/>
      <c r="B19" s="2406" t="s">
        <v>2102</v>
      </c>
      <c r="C19" s="1569"/>
      <c r="D19" s="2369"/>
      <c r="E19" s="2405"/>
      <c r="F19" s="1795" t="s">
        <v>2086</v>
      </c>
      <c r="G19" s="136" t="str">
        <f>G5</f>
        <v>估价对象所在区域公共配套设施齐备情况</v>
      </c>
    </row>
    <row r="20" spans="1:18" ht="28.5">
      <c r="A20" s="645"/>
      <c r="B20" s="2406" t="s">
        <v>2103</v>
      </c>
      <c r="C20" s="2404" t="str">
        <f>C9</f>
        <v>较好</v>
      </c>
      <c r="D20" s="2375"/>
      <c r="E20" s="2405"/>
      <c r="F20" s="1795" t="s">
        <v>2104</v>
      </c>
      <c r="G20" s="136" t="str">
        <f>G6</f>
        <v>估价对象所在区域基础设施水平</v>
      </c>
    </row>
    <row r="21" spans="1:18" ht="28.5">
      <c r="A21" s="645"/>
      <c r="B21" s="1795" t="s">
        <v>2086</v>
      </c>
      <c r="C21" s="136" t="str">
        <f>C7</f>
        <v>较好</v>
      </c>
      <c r="D21" s="2369"/>
      <c r="E21" s="2405"/>
      <c r="F21" s="2406" t="s">
        <v>2105</v>
      </c>
      <c r="G21" s="2407"/>
    </row>
    <row r="22" spans="1:18" ht="13.5" customHeight="1">
      <c r="A22" s="645"/>
      <c r="B22" s="1795" t="s">
        <v>2089</v>
      </c>
      <c r="C22" s="136" t="str">
        <f>C8</f>
        <v>七通</v>
      </c>
      <c r="D22" s="2369"/>
      <c r="E22" s="2405"/>
      <c r="F22" s="2406" t="s">
        <v>2094</v>
      </c>
      <c r="G22" s="1569"/>
    </row>
    <row r="23" spans="1:18" s="2366" customFormat="1" ht="15.75" thickBot="1">
      <c r="A23" s="645"/>
      <c r="B23" s="2406" t="s">
        <v>2105</v>
      </c>
      <c r="C23" s="2407"/>
      <c r="D23" s="2394"/>
      <c r="E23" s="2408"/>
      <c r="F23" s="2409" t="s">
        <v>2106</v>
      </c>
      <c r="G23" s="2410"/>
      <c r="H23" s="2394"/>
      <c r="I23" s="2395"/>
      <c r="J23" s="2394"/>
      <c r="K23" s="2394"/>
      <c r="L23" s="2395"/>
      <c r="M23" s="2394"/>
      <c r="N23" s="2394"/>
      <c r="O23" s="2395"/>
      <c r="P23" s="2394"/>
      <c r="Q23" s="2394"/>
      <c r="R23" s="2396"/>
    </row>
    <row r="24" spans="1:18" s="2366"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1894.58</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43851</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9102</v>
      </c>
      <c r="C5" s="1743">
        <f ca="1">ROUND(B5*10000/$B$1,0)</f>
        <v>48042</v>
      </c>
      <c r="D5" s="1743" t="e">
        <f ca="1">ROUND(B5*10000/$B$2,0)</f>
        <v>#DIV/0!</v>
      </c>
      <c r="E5" s="1742"/>
      <c r="F5" s="1740"/>
      <c r="G5" s="1740"/>
    </row>
    <row r="6" spans="1:10" ht="16.5">
      <c r="A6" s="1743" t="s">
        <v>1351</v>
      </c>
      <c r="B6" s="1743">
        <f ca="1">SUM(G14:G23)</f>
        <v>9102</v>
      </c>
      <c r="C6" s="1743">
        <f ca="1">ROUND(B6*10000/$B$1,0)</f>
        <v>48042</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1894.58</v>
      </c>
      <c r="C14" s="1741">
        <f>结果表!C118</f>
        <v>0</v>
      </c>
      <c r="D14" s="1741">
        <f ca="1">结果表!H118</f>
        <v>9102</v>
      </c>
      <c r="E14" s="1741">
        <f ca="1">ROUND(D14*10000/B14,0)</f>
        <v>48042</v>
      </c>
      <c r="F14" s="1741" t="e">
        <f ca="1">ROUND(D14*10000/C14,0)</f>
        <v>#DIV/0!</v>
      </c>
      <c r="G14" s="1741">
        <f ca="1">结果表!D122</f>
        <v>9102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I30" sqref="I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2108</v>
      </c>
      <c r="B1" s="2417"/>
      <c r="C1" s="2418"/>
      <c r="D1" s="2417"/>
      <c r="E1" s="2417"/>
      <c r="F1" s="2419" t="s">
        <v>2109</v>
      </c>
      <c r="G1" s="2069" t="s">
        <v>2110</v>
      </c>
      <c r="H1" s="2420" t="str">
        <f>IF(G1="现房","——","估价对象范围")</f>
        <v>估价对象范围</v>
      </c>
      <c r="I1" s="2421"/>
    </row>
    <row r="2" spans="1:12" ht="21.75" customHeight="1" thickBot="1">
      <c r="A2" s="3079" t="str">
        <f>项目基本情况!S2</f>
        <v>北京市石景山区玉泉西里二区1号楼-1至2层商业05号出让国有建设用地使用权及在建建筑物房地产</v>
      </c>
      <c r="B2" s="3080"/>
      <c r="C2" s="3080"/>
      <c r="D2" s="3080"/>
      <c r="E2" s="3080"/>
      <c r="F2" s="3080"/>
      <c r="G2" s="3080"/>
      <c r="H2" s="3080"/>
      <c r="I2" s="3081"/>
    </row>
    <row r="3" spans="1:12" ht="12.75">
      <c r="A3" s="3083" t="s">
        <v>2111</v>
      </c>
      <c r="B3" s="3084"/>
      <c r="C3" s="3084"/>
      <c r="D3" s="3084"/>
      <c r="E3" s="3084"/>
      <c r="F3" s="3084"/>
      <c r="G3" s="3084"/>
      <c r="H3" s="3084"/>
      <c r="I3" s="3084"/>
    </row>
    <row r="4" spans="1:12" ht="14.25">
      <c r="A4" s="2424" t="s">
        <v>2112</v>
      </c>
      <c r="B4" s="2425" t="s">
        <v>2113</v>
      </c>
      <c r="C4" s="2426" t="s">
        <v>3113</v>
      </c>
      <c r="D4" s="2426" t="s">
        <v>3089</v>
      </c>
      <c r="E4" s="3076" t="s">
        <v>2114</v>
      </c>
      <c r="F4" s="3077"/>
      <c r="G4" s="3077"/>
      <c r="H4" s="3077"/>
      <c r="I4" s="308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9" t="s">
        <v>2115</v>
      </c>
      <c r="B5" s="2998">
        <v>25</v>
      </c>
      <c r="C5" s="3062"/>
      <c r="D5" s="3082"/>
      <c r="E5" s="140" t="s">
        <v>2116</v>
      </c>
      <c r="F5" s="2428"/>
      <c r="G5" s="2428"/>
      <c r="H5" s="2428"/>
      <c r="I5" s="1831"/>
    </row>
    <row r="6" spans="1:12" ht="12.75">
      <c r="A6" s="3059"/>
      <c r="B6" s="2998"/>
      <c r="C6" s="3063"/>
      <c r="D6" s="3082"/>
      <c r="E6" s="140" t="s">
        <v>2117</v>
      </c>
      <c r="F6" s="2428"/>
      <c r="G6" s="2428"/>
      <c r="H6" s="2428"/>
      <c r="I6" s="1831"/>
    </row>
    <row r="7" spans="1:12" ht="12.75">
      <c r="A7" s="3059"/>
      <c r="B7" s="2998"/>
      <c r="C7" s="3064"/>
      <c r="D7" s="3082"/>
      <c r="E7" s="140" t="s">
        <v>2118</v>
      </c>
      <c r="F7" s="2428"/>
      <c r="G7" s="2428"/>
      <c r="H7" s="2428"/>
      <c r="I7" s="1831"/>
    </row>
    <row r="8" spans="1:12" ht="12.75">
      <c r="A8" s="3059" t="s">
        <v>2119</v>
      </c>
      <c r="B8" s="2998">
        <v>15</v>
      </c>
      <c r="C8" s="3062"/>
      <c r="D8" s="3082"/>
      <c r="E8" s="140" t="s">
        <v>2120</v>
      </c>
      <c r="F8" s="2428"/>
      <c r="G8" s="2428"/>
      <c r="H8" s="2428"/>
      <c r="I8" s="1831"/>
    </row>
    <row r="9" spans="1:12" ht="12.75">
      <c r="A9" s="3059"/>
      <c r="B9" s="2998"/>
      <c r="C9" s="3064"/>
      <c r="D9" s="3082"/>
      <c r="E9" s="140" t="s">
        <v>2121</v>
      </c>
      <c r="F9" s="2428"/>
      <c r="G9" s="2428"/>
      <c r="H9" s="2428"/>
      <c r="I9" s="1831"/>
    </row>
    <row r="10" spans="1:12" ht="12.75">
      <c r="A10" s="3059" t="s">
        <v>2122</v>
      </c>
      <c r="B10" s="2998">
        <v>15</v>
      </c>
      <c r="C10" s="3062"/>
      <c r="D10" s="3082"/>
      <c r="E10" s="140" t="s">
        <v>2123</v>
      </c>
      <c r="F10" s="2428"/>
      <c r="G10" s="2428"/>
      <c r="H10" s="2428"/>
      <c r="I10" s="1831"/>
    </row>
    <row r="11" spans="1:12" ht="12.75">
      <c r="A11" s="3059"/>
      <c r="B11" s="2998"/>
      <c r="C11" s="3064"/>
      <c r="D11" s="3082"/>
      <c r="E11" s="140" t="s">
        <v>2124</v>
      </c>
      <c r="F11" s="2428"/>
      <c r="G11" s="2428"/>
      <c r="H11" s="2428"/>
      <c r="I11" s="1831"/>
    </row>
    <row r="12" spans="1:12" ht="12.75">
      <c r="A12" s="3059" t="s">
        <v>2125</v>
      </c>
      <c r="B12" s="2998">
        <v>15</v>
      </c>
      <c r="C12" s="3062"/>
      <c r="D12" s="3082"/>
      <c r="E12" s="140" t="s">
        <v>2126</v>
      </c>
      <c r="F12" s="2428"/>
      <c r="G12" s="2428"/>
      <c r="H12" s="2428"/>
      <c r="I12" s="1831"/>
    </row>
    <row r="13" spans="1:12" ht="12.75">
      <c r="A13" s="3059"/>
      <c r="B13" s="2998"/>
      <c r="C13" s="3064"/>
      <c r="D13" s="3082"/>
      <c r="E13" s="140" t="s">
        <v>2127</v>
      </c>
      <c r="F13" s="2428"/>
      <c r="G13" s="2428"/>
      <c r="H13" s="2428"/>
      <c r="I13" s="1831"/>
    </row>
    <row r="14" spans="1:12" ht="12.75">
      <c r="A14" s="3059" t="s">
        <v>2128</v>
      </c>
      <c r="B14" s="2998">
        <v>30</v>
      </c>
      <c r="C14" s="3062">
        <v>6</v>
      </c>
      <c r="D14" s="3082">
        <v>4</v>
      </c>
      <c r="E14" s="140" t="s">
        <v>2129</v>
      </c>
      <c r="F14" s="2428"/>
      <c r="G14" s="2428"/>
      <c r="H14" s="2428"/>
      <c r="I14" s="1831"/>
    </row>
    <row r="15" spans="1:12" ht="12.75">
      <c r="A15" s="3059"/>
      <c r="B15" s="2998"/>
      <c r="C15" s="3063"/>
      <c r="D15" s="3082"/>
      <c r="E15" s="140" t="s">
        <v>2130</v>
      </c>
      <c r="F15" s="2428"/>
      <c r="G15" s="2428"/>
      <c r="H15" s="2428"/>
      <c r="I15" s="1831"/>
    </row>
    <row r="16" spans="1:12" ht="12.75">
      <c r="A16" s="3059"/>
      <c r="B16" s="2998"/>
      <c r="C16" s="3064"/>
      <c r="D16" s="3082"/>
      <c r="E16" s="140" t="s">
        <v>2131</v>
      </c>
      <c r="F16" s="2428"/>
      <c r="G16" s="2428"/>
      <c r="H16" s="2428"/>
      <c r="I16" s="1831"/>
    </row>
    <row r="17" spans="1:35" ht="15">
      <c r="A17" s="2429" t="s">
        <v>2132</v>
      </c>
      <c r="B17" s="64"/>
      <c r="C17" s="141">
        <f>SUM(C5:C16)</f>
        <v>6</v>
      </c>
      <c r="D17" s="141">
        <f>SUM(D5:D16)</f>
        <v>4</v>
      </c>
      <c r="E17" s="138"/>
      <c r="F17" s="138"/>
      <c r="G17" s="138"/>
      <c r="H17" s="138"/>
      <c r="I17" s="138"/>
      <c r="K17" s="2427"/>
      <c r="L17" s="2430" t="s">
        <v>2133</v>
      </c>
      <c r="M17" s="2430" t="s">
        <v>2134</v>
      </c>
    </row>
    <row r="18" spans="1:35" ht="15.75" thickBot="1">
      <c r="A18" s="2431" t="s">
        <v>2135</v>
      </c>
      <c r="B18" s="2432"/>
      <c r="C18" s="142">
        <f>ROUND(C17/SUM(C17:D17),2)</f>
        <v>0.6</v>
      </c>
      <c r="D18" s="142">
        <f>1-C18</f>
        <v>0.4</v>
      </c>
      <c r="E18" s="138"/>
      <c r="F18" s="138"/>
      <c r="G18" s="138"/>
      <c r="H18" s="138"/>
      <c r="I18" s="138"/>
      <c r="K18" s="2427" t="s">
        <v>2136</v>
      </c>
      <c r="L18" s="2427">
        <f>IF(C1="",'数据-汇总表'!E3,SUMIF(项目类型,C1,'数据-汇总表'!E17:E26)+SUMIF(项目类型,C1,'数据-汇总表'!I17:I26))</f>
        <v>1894.58</v>
      </c>
      <c r="M18" s="2427">
        <f>IF(C1="",'数据-汇总表'!E3,SUMIF(项目类型,C1,'数据-汇总表'!E17:E26))</f>
        <v>1894.58</v>
      </c>
    </row>
    <row r="19" spans="1:35" ht="15">
      <c r="A19" s="2433" t="s">
        <v>2137</v>
      </c>
      <c r="B19" s="2434" t="s">
        <v>2138</v>
      </c>
      <c r="C19" s="143">
        <f ca="1">SUMIF(INDIRECT("'"&amp;C4&amp;"'"&amp;"!A:A"),结果表!B19,INDIRECT("'"&amp;C4&amp;"'"&amp;"!B:B"))</f>
        <v>10420</v>
      </c>
      <c r="D19" s="144">
        <f ca="1">SUMIF(INDIRECT("'"&amp;D4&amp;"'"&amp;"!A:A"),结果表!B19,INDIRECT("'"&amp;D4&amp;"'"&amp;"!B:B"))</f>
        <v>7125</v>
      </c>
      <c r="E19" s="2433" t="s">
        <v>2139</v>
      </c>
      <c r="F19" s="2434" t="s">
        <v>2138</v>
      </c>
      <c r="G19" s="145">
        <f ca="1">ROUND(C19*$C$18+D19*$D$18,0)</f>
        <v>9102</v>
      </c>
      <c r="H19" s="2435" t="s">
        <v>2140</v>
      </c>
      <c r="I19" s="138"/>
      <c r="J19" s="795" t="s">
        <v>3097</v>
      </c>
      <c r="K19" s="2427" t="s">
        <v>2141</v>
      </c>
      <c r="L19" s="2427">
        <f>IF(C1="",'数据-汇总表'!D3,SUMIF(项目类型,C1,'数据-汇总表'!D17:D26)+SUMIF(项目类型,C1,'数据-汇总表'!H17:H27))</f>
        <v>0</v>
      </c>
      <c r="M19" s="2427">
        <f>IF(C1="",'数据-汇总表'!D3,SUMIF(项目类型,C1,'数据-汇总表'!D17:D26))</f>
        <v>0</v>
      </c>
    </row>
    <row r="20" spans="1:35" ht="15">
      <c r="A20" s="2436"/>
      <c r="B20" s="1247" t="s">
        <v>2142</v>
      </c>
      <c r="C20" s="146">
        <f ca="1">SUMIF(INDIRECT("'"&amp;C4&amp;"'"&amp;"!A:A"),结果表!B20,INDIRECT("'"&amp;C4&amp;"'"&amp;"!B:B"))</f>
        <v>55000</v>
      </c>
      <c r="D20" s="147">
        <f ca="1">SUMIF(INDIRECT("'"&amp;D4&amp;"'"&amp;"!A:A"),结果表!B20,INDIRECT("'"&amp;D4&amp;"'"&amp;"!B:B"))</f>
        <v>37607</v>
      </c>
      <c r="E20" s="2436"/>
      <c r="F20" s="1247" t="s">
        <v>2142</v>
      </c>
      <c r="G20" s="148">
        <f ca="1">ROUND(C20*$C$18+D20*$D$18,0)</f>
        <v>48043</v>
      </c>
      <c r="H20" s="980" t="s">
        <v>2143</v>
      </c>
      <c r="I20" s="138"/>
      <c r="J20" s="795">
        <v>45000</v>
      </c>
    </row>
    <row r="21" spans="1:35" ht="15" customHeight="1" thickBot="1">
      <c r="A21" s="1000"/>
      <c r="B21" s="2437" t="s">
        <v>2144</v>
      </c>
      <c r="C21" s="789" t="e">
        <f ca="1">ROUND(C19*10000/L19,0)</f>
        <v>#DIV/0!</v>
      </c>
      <c r="D21" s="790" t="e">
        <f ca="1">ROUND(D19*10000/L19,0)</f>
        <v>#DIV/0!</v>
      </c>
      <c r="E21" s="1000"/>
      <c r="F21" s="2437" t="s">
        <v>2144</v>
      </c>
      <c r="G21" s="149" t="e">
        <f ca="1">ROUND(G19*10000/L19,0)</f>
        <v>#DIV/0!</v>
      </c>
      <c r="H21" s="2438" t="s">
        <v>2143</v>
      </c>
      <c r="I21" s="138"/>
    </row>
    <row r="22" spans="1:35" ht="15" thickBot="1">
      <c r="A22" s="2280" t="s">
        <v>2145</v>
      </c>
      <c r="B22" s="2439"/>
      <c r="C22" s="2440"/>
      <c r="D22" s="791">
        <f ca="1">IF(C19&lt;D19,D19/C19-1,C19/D19-1)</f>
        <v>0.46245614035087712</v>
      </c>
      <c r="E22" s="138"/>
      <c r="F22" s="138"/>
      <c r="G22" s="138"/>
      <c r="H22" s="138"/>
      <c r="I22" s="138"/>
    </row>
    <row r="23" spans="1:35" ht="13.5" thickBot="1">
      <c r="A23" s="2417"/>
      <c r="B23" s="2417"/>
      <c r="C23" s="2417"/>
      <c r="D23" s="2417"/>
      <c r="E23" s="138"/>
      <c r="F23" s="138"/>
      <c r="G23" s="138"/>
      <c r="H23" s="138"/>
      <c r="I23" s="138"/>
    </row>
    <row r="24" spans="1:35" ht="14.25">
      <c r="A24" s="3053" t="s">
        <v>2146</v>
      </c>
      <c r="B24" s="2434" t="s">
        <v>2138</v>
      </c>
      <c r="C24" s="145">
        <f>IF(B30=0,0,D30)</f>
        <v>0</v>
      </c>
      <c r="D24" s="2441"/>
      <c r="E24" s="138"/>
      <c r="F24" s="138"/>
      <c r="G24" s="138"/>
      <c r="H24" s="138"/>
      <c r="I24" s="138"/>
    </row>
    <row r="25" spans="1:35" ht="14.25">
      <c r="A25" s="3054"/>
      <c r="B25" s="1247" t="s">
        <v>2142</v>
      </c>
      <c r="C25" s="150">
        <f>IF(B30=0,0,C30)</f>
        <v>0</v>
      </c>
      <c r="D25" s="2442"/>
      <c r="E25" s="138"/>
      <c r="F25" s="138"/>
      <c r="G25" s="138"/>
      <c r="H25" s="138"/>
      <c r="I25" s="138"/>
    </row>
    <row r="26" spans="1:35" ht="13.5" customHeight="1">
      <c r="A26" s="2443" t="s">
        <v>2147</v>
      </c>
      <c r="B26" s="151" t="s">
        <v>2148</v>
      </c>
      <c r="C26" s="151" t="s">
        <v>2149</v>
      </c>
      <c r="D26" s="152" t="s">
        <v>2150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2151</v>
      </c>
      <c r="B30" s="151"/>
      <c r="C30" s="151"/>
      <c r="D30" s="151"/>
      <c r="E30" s="2916"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2152</v>
      </c>
      <c r="B32" s="2447"/>
      <c r="C32" s="153">
        <f ca="1">IF(D32="总价",G19-C24,G20-C25)</f>
        <v>9102</v>
      </c>
      <c r="D32" s="2448" t="s">
        <v>2153</v>
      </c>
      <c r="E32" s="138"/>
      <c r="F32" s="138"/>
      <c r="G32" s="138"/>
      <c r="H32" s="138"/>
      <c r="I32" s="138"/>
    </row>
    <row r="33" spans="1:15" ht="15">
      <c r="A33" s="957" t="s">
        <v>2154</v>
      </c>
      <c r="B33" s="2449"/>
      <c r="C33" s="2450"/>
      <c r="D33" s="2451"/>
      <c r="E33" s="2452" t="s">
        <v>2155</v>
      </c>
      <c r="F33" s="2453" t="str">
        <f>IF(D32="楼面单价","取值（单价）","取值（总价）")</f>
        <v>取值（总价）</v>
      </c>
      <c r="G33" s="138"/>
      <c r="H33" s="138"/>
      <c r="I33" s="138"/>
    </row>
    <row r="34" spans="1:15" ht="15">
      <c r="A34" s="2454"/>
      <c r="B34" s="2455" t="s">
        <v>2156</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2157</v>
      </c>
      <c r="F34" s="1736"/>
      <c r="G34" s="138"/>
      <c r="H34" s="138"/>
      <c r="I34" s="138"/>
    </row>
    <row r="35" spans="1:15" ht="15.75" thickBot="1">
      <c r="A35" s="2457"/>
      <c r="B35" s="2458" t="s">
        <v>2158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2159</v>
      </c>
      <c r="F35" s="163"/>
      <c r="G35" s="138"/>
      <c r="H35" s="138"/>
      <c r="I35" s="138"/>
    </row>
    <row r="36" spans="1:15" ht="15.75" thickBot="1">
      <c r="A36" s="3071" t="s">
        <v>2160</v>
      </c>
      <c r="B36" s="2460" t="s">
        <v>2161</v>
      </c>
      <c r="C36" s="154"/>
      <c r="D36" s="2461"/>
      <c r="E36" s="2462"/>
      <c r="F36" s="2463"/>
      <c r="G36" s="138"/>
      <c r="H36" s="138"/>
      <c r="I36" s="138"/>
    </row>
    <row r="37" spans="1:15" ht="15.75" thickBot="1">
      <c r="A37" s="3072"/>
      <c r="B37" s="2266" t="s">
        <v>2162</v>
      </c>
      <c r="C37" s="156"/>
      <c r="D37" s="1392"/>
      <c r="E37" s="1392"/>
      <c r="F37" s="2463"/>
      <c r="G37" s="138"/>
      <c r="H37" s="138"/>
      <c r="I37" s="138"/>
    </row>
    <row r="38" spans="1:15" ht="15.75" thickBot="1">
      <c r="A38" s="3073"/>
      <c r="B38" s="2464" t="s">
        <v>2163</v>
      </c>
      <c r="C38" s="727"/>
      <c r="D38" s="2465" t="s">
        <v>2164</v>
      </c>
      <c r="E38" s="1392"/>
      <c r="F38" s="2463"/>
      <c r="G38" s="138"/>
      <c r="H38" s="138"/>
      <c r="I38" s="138"/>
    </row>
    <row r="39" spans="1:15" ht="15">
      <c r="A39" s="2436" t="s">
        <v>2165</v>
      </c>
      <c r="B39" s="2466" t="s">
        <v>2166</v>
      </c>
      <c r="C39" s="2467" t="s">
        <v>2167</v>
      </c>
      <c r="D39" s="2467" t="s">
        <v>2168</v>
      </c>
      <c r="E39" s="2468" t="s">
        <v>2169</v>
      </c>
      <c r="F39" s="2463"/>
      <c r="G39" s="138"/>
      <c r="H39" s="138"/>
      <c r="I39" s="138"/>
    </row>
    <row r="40" spans="1:15" ht="14.25">
      <c r="A40" s="2469" t="s">
        <v>2170</v>
      </c>
      <c r="B40" s="158"/>
      <c r="C40" s="159"/>
      <c r="D40" s="159"/>
      <c r="E40" s="160"/>
      <c r="F40" s="2463"/>
      <c r="G40" s="138"/>
      <c r="H40" s="138"/>
      <c r="I40" s="138"/>
    </row>
    <row r="41" spans="1:15" ht="14.25">
      <c r="A41" s="2469" t="s">
        <v>2171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050" t="s">
        <v>2174</v>
      </c>
      <c r="B45" s="3051"/>
      <c r="C45" s="3052"/>
      <c r="D45" s="164">
        <f ca="1">ROUND(H101*F45,0)</f>
        <v>9102</v>
      </c>
      <c r="E45" s="165" t="s">
        <v>2175</v>
      </c>
      <c r="F45" s="166">
        <v>1</v>
      </c>
      <c r="G45" s="167" t="s">
        <v>2176</v>
      </c>
      <c r="H45" s="138"/>
      <c r="I45" s="138"/>
      <c r="J45" s="3110" t="s">
        <v>2177</v>
      </c>
      <c r="K45" s="3110"/>
      <c r="L45" s="3110"/>
      <c r="M45" s="3110"/>
      <c r="N45" s="3110"/>
      <c r="O45" s="3110"/>
    </row>
    <row r="46" spans="1:15" ht="14.25" customHeight="1">
      <c r="A46" s="3047" t="s">
        <v>2178</v>
      </c>
      <c r="B46" s="3048"/>
      <c r="C46" s="3048"/>
      <c r="D46" s="3048"/>
      <c r="E46" s="3048"/>
      <c r="F46" s="3048"/>
      <c r="G46" s="3049"/>
      <c r="H46" s="2479"/>
      <c r="I46" s="168"/>
      <c r="J46" s="1809">
        <v>1</v>
      </c>
      <c r="K46" s="3110" t="s">
        <v>2179</v>
      </c>
      <c r="L46" s="3110"/>
      <c r="M46" s="3130"/>
      <c r="N46" s="3130"/>
      <c r="O46" s="3130"/>
    </row>
    <row r="47" spans="1:15" ht="12" customHeight="1">
      <c r="A47" s="169" t="s">
        <v>2180</v>
      </c>
      <c r="B47" s="170"/>
      <c r="C47" s="171"/>
      <c r="D47" s="172" t="s">
        <v>2181</v>
      </c>
      <c r="E47" s="24" t="s">
        <v>2182</v>
      </c>
      <c r="F47" s="173" t="s">
        <v>2183</v>
      </c>
      <c r="G47" s="174" t="s">
        <v>2184</v>
      </c>
      <c r="H47" s="2479"/>
      <c r="I47" s="168"/>
      <c r="J47" s="1809">
        <v>2</v>
      </c>
      <c r="K47" s="3110" t="s">
        <v>2185</v>
      </c>
      <c r="L47" s="3110"/>
      <c r="M47" s="3131">
        <f>'数据-取费表'!B2</f>
        <v>43851</v>
      </c>
      <c r="N47" s="3131"/>
      <c r="O47" s="3131"/>
    </row>
    <row r="48" spans="1:15" ht="25.5">
      <c r="A48" s="3078" t="s">
        <v>2186</v>
      </c>
      <c r="B48" s="3061"/>
      <c r="C48" s="3061"/>
      <c r="D48" s="140">
        <f>IF(H48="情况1",0,IF(H48="情况2",D52,IF(H48="情况3",D53,IF(H48="情况4",D54))))</f>
        <v>0</v>
      </c>
      <c r="E48" s="1798" t="str">
        <f>IF(H48="情况4","(销售额-原购置价)×税（费）率","销售额×税（费）率")</f>
        <v>销售额×税（费）率</v>
      </c>
      <c r="F48" s="175" t="str">
        <f>IF(H48="情况1","免征",'数据-取费表'!B41)</f>
        <v>免征</v>
      </c>
      <c r="G48" s="2480" t="s">
        <v>2187</v>
      </c>
      <c r="H48" s="2481" t="s">
        <v>2188</v>
      </c>
      <c r="I48" s="2479"/>
      <c r="J48" s="1809">
        <v>3</v>
      </c>
      <c r="K48" s="3110" t="s">
        <v>2189</v>
      </c>
      <c r="L48" s="3110"/>
      <c r="M48" s="3132">
        <f ca="1">H101</f>
        <v>9102</v>
      </c>
      <c r="N48" s="3132"/>
      <c r="O48" s="3132"/>
    </row>
    <row r="49" spans="1:35" ht="25.5" customHeight="1">
      <c r="A49" s="176" t="s">
        <v>2190</v>
      </c>
      <c r="B49" s="3046" t="s">
        <v>2191</v>
      </c>
      <c r="C49" s="3046"/>
      <c r="D49" s="177">
        <v>0</v>
      </c>
      <c r="E49" s="23" t="s">
        <v>2192</v>
      </c>
      <c r="F49" s="28" t="s">
        <v>34</v>
      </c>
      <c r="G49" s="3116"/>
      <c r="H49" s="138"/>
      <c r="I49" s="2482"/>
      <c r="J49" s="1809">
        <v>4</v>
      </c>
      <c r="K49" s="3110" t="str">
        <f>IF(项目基本情况!E8="房地产抵押价值","房地产抵押价值","抵押担保权已注销时的房地产抵押价值")</f>
        <v>房地产抵押价值</v>
      </c>
      <c r="L49" s="3110"/>
      <c r="M49" s="3132">
        <f ca="1">IF(项目基本情况!E8="房地产抵押价值",H107,H109)</f>
        <v>9102</v>
      </c>
      <c r="N49" s="3132"/>
      <c r="O49" s="3132"/>
    </row>
    <row r="50" spans="1:35" ht="25.5" customHeight="1">
      <c r="A50" s="178"/>
      <c r="B50" s="3046" t="s">
        <v>2193</v>
      </c>
      <c r="C50" s="3046"/>
      <c r="D50" s="179"/>
      <c r="E50" s="31"/>
      <c r="F50" s="180"/>
      <c r="G50" s="3117"/>
      <c r="H50" s="138"/>
      <c r="I50" s="2482"/>
      <c r="J50" s="3110" t="s">
        <v>2194</v>
      </c>
      <c r="K50" s="3110"/>
      <c r="L50" s="3110"/>
      <c r="M50" s="3110"/>
      <c r="N50" s="3110"/>
      <c r="O50" s="3110"/>
    </row>
    <row r="51" spans="1:35" ht="12" customHeight="1">
      <c r="A51" s="181"/>
      <c r="B51" s="3046" t="s">
        <v>2195</v>
      </c>
      <c r="C51" s="3046"/>
      <c r="D51" s="182"/>
      <c r="E51" s="30"/>
      <c r="F51" s="180"/>
      <c r="G51" s="3118"/>
      <c r="H51" s="138"/>
      <c r="I51" s="2482"/>
      <c r="J51" s="2483" t="s">
        <v>2196</v>
      </c>
      <c r="K51" s="3110" t="s">
        <v>2197</v>
      </c>
      <c r="L51" s="3110"/>
      <c r="M51" s="2483" t="s">
        <v>2198</v>
      </c>
      <c r="N51" s="2483" t="s">
        <v>2199</v>
      </c>
      <c r="O51" s="2483" t="s">
        <v>2200</v>
      </c>
    </row>
    <row r="52" spans="1:35" ht="24" customHeight="1">
      <c r="A52" s="183" t="s">
        <v>2201</v>
      </c>
      <c r="B52" s="3046" t="s">
        <v>2202</v>
      </c>
      <c r="C52" s="3046"/>
      <c r="D52" s="182">
        <f ca="1">ROUND(D45*'数据-取费表'!B41/(1+'数据-取费表'!C42),0)</f>
        <v>485</v>
      </c>
      <c r="E52" s="11" t="s">
        <v>2203</v>
      </c>
      <c r="F52" s="184">
        <f>'数据-取费表'!B41</f>
        <v>5.6000000000000001E-2</v>
      </c>
      <c r="G52" s="2484"/>
      <c r="H52" s="138"/>
      <c r="I52" s="2482"/>
      <c r="J52" s="1809">
        <v>1</v>
      </c>
      <c r="K52" s="3111" t="s">
        <v>2204</v>
      </c>
      <c r="L52" s="3111"/>
      <c r="M52" s="1751">
        <f>D48</f>
        <v>0</v>
      </c>
      <c r="N52" s="1809" t="str">
        <f>E48</f>
        <v>销售额×税（费）率</v>
      </c>
      <c r="O52" s="1752" t="str">
        <f>F48</f>
        <v>免征</v>
      </c>
    </row>
    <row r="53" spans="1:35" ht="12" customHeight="1">
      <c r="A53" s="183" t="s">
        <v>2205</v>
      </c>
      <c r="B53" s="3069" t="s">
        <v>2206</v>
      </c>
      <c r="C53" s="3070"/>
      <c r="D53" s="182">
        <f ca="1">ROUND(D45*'数据-取费表'!B41/(1+'数据-取费表'!C42),0)</f>
        <v>485</v>
      </c>
      <c r="E53" s="11" t="s">
        <v>2203</v>
      </c>
      <c r="F53" s="184">
        <f>'数据-取费表'!B41</f>
        <v>5.6000000000000001E-2</v>
      </c>
      <c r="G53" s="2484"/>
      <c r="H53" s="138"/>
      <c r="I53" s="2482"/>
      <c r="J53" s="1809">
        <v>2</v>
      </c>
      <c r="K53" s="3111" t="s">
        <v>2207</v>
      </c>
      <c r="L53" s="3111"/>
      <c r="M53" s="1751">
        <f t="shared" ref="M53:O54" ca="1" si="0">D55</f>
        <v>5</v>
      </c>
      <c r="N53" s="1809" t="str">
        <f t="shared" si="0"/>
        <v>销售额×税（费）率</v>
      </c>
      <c r="O53" s="1752">
        <f t="shared" si="0"/>
        <v>5.0000000000000001E-4</v>
      </c>
    </row>
    <row r="54" spans="1:35" ht="12" customHeight="1">
      <c r="A54" s="183" t="s">
        <v>2208</v>
      </c>
      <c r="B54" s="3069" t="s">
        <v>2209</v>
      </c>
      <c r="C54" s="3070"/>
      <c r="D54" s="182">
        <f ca="1">C68</f>
        <v>485</v>
      </c>
      <c r="E54" s="30" t="s">
        <v>2210</v>
      </c>
      <c r="F54" s="184">
        <f>'数据-取费表'!B41</f>
        <v>5.6000000000000001E-2</v>
      </c>
      <c r="G54" s="2484"/>
      <c r="H54" s="2485"/>
      <c r="I54" s="2482"/>
      <c r="J54" s="1809">
        <v>3</v>
      </c>
      <c r="K54" s="3111" t="s">
        <v>2211</v>
      </c>
      <c r="L54" s="3111"/>
      <c r="M54" s="1751">
        <f t="shared" ca="1" si="0"/>
        <v>5152</v>
      </c>
      <c r="N54" s="1809" t="str">
        <f t="shared" si="0"/>
        <v>增值额×税（费）率</v>
      </c>
      <c r="O54" s="1753" t="str">
        <f t="shared" si="0"/>
        <v>——</v>
      </c>
    </row>
    <row r="55" spans="1:35" ht="24" customHeight="1">
      <c r="A55" s="3060" t="s">
        <v>2212</v>
      </c>
      <c r="B55" s="3061"/>
      <c r="C55" s="3061"/>
      <c r="D55" s="185">
        <f ca="1">IF(H55="个人住宅",0,ROUND(D45*I55,0))</f>
        <v>5</v>
      </c>
      <c r="E55" s="11" t="s">
        <v>2213</v>
      </c>
      <c r="F55" s="184">
        <f>IF(H55="正常",I55,"免征")</f>
        <v>5.0000000000000001E-4</v>
      </c>
      <c r="G55" s="2484"/>
      <c r="H55" s="2481" t="s">
        <v>2214</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c r="A56" s="3060" t="s">
        <v>2215</v>
      </c>
      <c r="B56" s="3061"/>
      <c r="C56" s="3061"/>
      <c r="D56" s="185">
        <f ca="1">IF(H56="个人住宅",D57,D58)</f>
        <v>5152</v>
      </c>
      <c r="E56" s="11" t="s">
        <v>2216</v>
      </c>
      <c r="F56" s="184" t="str">
        <f>IF(H56="正常",F58,"免征")</f>
        <v>——</v>
      </c>
      <c r="G56" s="2486" t="s">
        <v>2217</v>
      </c>
      <c r="H56" s="2487" t="s">
        <v>2214</v>
      </c>
      <c r="I56" s="2488"/>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c r="A57" s="183" t="s">
        <v>2190</v>
      </c>
      <c r="B57" s="3076" t="s">
        <v>2218</v>
      </c>
      <c r="C57" s="3085"/>
      <c r="D57" s="187">
        <v>0</v>
      </c>
      <c r="E57" s="23" t="s">
        <v>2192</v>
      </c>
      <c r="F57" s="155"/>
      <c r="G57" s="2484"/>
      <c r="H57" s="2488"/>
      <c r="I57" s="2488"/>
      <c r="J57" s="3111">
        <f>IF(AND(J55="",J56=""),4,IF(项目基本情况!K6="上海银行",结果表!J56+1,结果表!J55+1))</f>
        <v>4</v>
      </c>
      <c r="K57" s="3111" t="s">
        <v>2219</v>
      </c>
      <c r="L57" s="2489" t="s">
        <v>2220</v>
      </c>
      <c r="M57" s="1756"/>
      <c r="N57" s="1757">
        <f ca="1">SUMIF(M52:M56,"&lt;9e307")</f>
        <v>5157</v>
      </c>
      <c r="O57" s="2490"/>
      <c r="P57" s="1750">
        <f ca="1">N57/M49</f>
        <v>0.5665787738958471</v>
      </c>
    </row>
    <row r="58" spans="1:35" ht="24.75">
      <c r="A58" s="183" t="s">
        <v>2201</v>
      </c>
      <c r="B58" s="3076" t="s">
        <v>2221</v>
      </c>
      <c r="C58" s="3077"/>
      <c r="D58" s="185">
        <f ca="1">IF(H58="转让取得",C81,C97)</f>
        <v>5152</v>
      </c>
      <c r="E58" s="11" t="s">
        <v>2216</v>
      </c>
      <c r="F58" s="24" t="s">
        <v>34</v>
      </c>
      <c r="G58" s="2484"/>
      <c r="H58" s="2487" t="s">
        <v>2222</v>
      </c>
      <c r="I58" s="2488"/>
      <c r="J58" s="3111"/>
      <c r="K58" s="3111"/>
      <c r="L58" s="2489" t="s">
        <v>2223</v>
      </c>
      <c r="M58" s="1758"/>
      <c r="N58" s="2491" t="str">
        <f ca="1">NUMBERSTRING(INT(N57*10000),2)&amp;"元整"</f>
        <v>伍仟壹佰伍拾柒万元整</v>
      </c>
      <c r="O58" s="2492"/>
    </row>
    <row r="59" spans="1:35" ht="24.75" thickBot="1">
      <c r="A59" s="3114" t="s">
        <v>2224</v>
      </c>
      <c r="B59" s="3115"/>
      <c r="C59" s="3115"/>
      <c r="D59" s="188" t="str">
        <f>IF(H59="非个人房产","——",IF(H59="个人住宅",0,ROUND(D45*I59,0)))</f>
        <v>——</v>
      </c>
      <c r="E59" s="189" t="str">
        <f>IF(H59="非个人房产","——","销售额×税（费）率")</f>
        <v>——</v>
      </c>
      <c r="F59" s="190" t="str">
        <f>IF(H59="非个人房产","——",IF(H59="个人住宅","免征",I59))</f>
        <v>——</v>
      </c>
      <c r="G59" s="2493" t="s">
        <v>2217</v>
      </c>
      <c r="H59" s="2487" t="s">
        <v>2225</v>
      </c>
      <c r="I59" s="191">
        <v>0.01</v>
      </c>
      <c r="J59" s="3112">
        <f>J57+1</f>
        <v>5</v>
      </c>
      <c r="K59" s="3111" t="s">
        <v>2226</v>
      </c>
      <c r="L59" s="1809" t="s">
        <v>2220</v>
      </c>
      <c r="M59" s="1759"/>
      <c r="N59" s="1760">
        <f ca="1">M49-N57</f>
        <v>3945</v>
      </c>
      <c r="O59" s="2494"/>
    </row>
    <row r="60" spans="1:35" ht="12" customHeight="1">
      <c r="A60" s="2495"/>
      <c r="B60" s="2417"/>
      <c r="C60" s="2417"/>
      <c r="D60" s="2417"/>
      <c r="E60" s="2165"/>
      <c r="F60" s="2488"/>
      <c r="G60" s="2488"/>
      <c r="H60" s="2496"/>
      <c r="I60" s="138"/>
      <c r="J60" s="3113"/>
      <c r="K60" s="3111"/>
      <c r="L60" s="2489" t="s">
        <v>2223</v>
      </c>
      <c r="M60" s="1758"/>
      <c r="N60" s="2491" t="str">
        <f ca="1">NUMBERSTRING(INT(N59*10000),2)&amp;"元整"</f>
        <v>叁仟玖佰肆拾伍万元整</v>
      </c>
      <c r="O60" s="2492"/>
    </row>
    <row r="61" spans="1:35" ht="13.5" thickBot="1">
      <c r="A61" s="3058" t="s">
        <v>2227</v>
      </c>
      <c r="B61" s="3058"/>
      <c r="C61" s="3058"/>
      <c r="D61" s="3058"/>
      <c r="E61" s="3058"/>
      <c r="F61" s="2488"/>
      <c r="G61" s="2488"/>
      <c r="H61" s="2496"/>
      <c r="I61" s="138"/>
      <c r="J61" s="1809">
        <f>J59+1</f>
        <v>6</v>
      </c>
      <c r="K61" s="3111" t="s">
        <v>2228</v>
      </c>
      <c r="L61" s="3111"/>
      <c r="M61" s="1761"/>
      <c r="N61" s="1762">
        <f ca="1">ROUND(N59*10000/'数据-汇总表'!E3,0)</f>
        <v>20823</v>
      </c>
      <c r="O61" s="2497"/>
    </row>
    <row r="62" spans="1:35" ht="12.75">
      <c r="A62" s="3074" t="s">
        <v>2229</v>
      </c>
      <c r="B62" s="3075"/>
      <c r="C62" s="1801"/>
      <c r="D62" s="1801" t="s">
        <v>2230</v>
      </c>
      <c r="E62" s="192" t="s">
        <v>2231</v>
      </c>
      <c r="F62" s="2488"/>
      <c r="G62" s="2488"/>
      <c r="H62" s="2496"/>
      <c r="I62" s="138"/>
    </row>
    <row r="63" spans="1:35" ht="12.75">
      <c r="A63" s="203" t="s">
        <v>775</v>
      </c>
      <c r="B63" s="193" t="s">
        <v>2232</v>
      </c>
      <c r="C63" s="194">
        <f ca="1">ROUND((C64+C65)/(1+'数据-取费表'!C42),0)</f>
        <v>8669</v>
      </c>
      <c r="D63" s="195"/>
      <c r="E63" s="196"/>
      <c r="F63" s="2488"/>
      <c r="G63" s="2488"/>
      <c r="H63" s="2496"/>
      <c r="I63" s="138"/>
      <c r="J63" s="3136" t="s">
        <v>2233</v>
      </c>
      <c r="K63" s="2498" t="s">
        <v>2234</v>
      </c>
      <c r="L63" s="1749">
        <f ca="1">IF(M49&gt;10000,M49*0.5%,IF(AND(M49&gt;1000,M49&lt;=10000),M49*1%,IF(AND(M49&gt;100,M49&lt;=1000),M49*3%,IF(AND(M49&gt;10,M49&lt;=100),M49*5%,M49*8%))))</f>
        <v>91.02</v>
      </c>
      <c r="M63" s="24">
        <f ca="1">ROUND(L63,1)</f>
        <v>91</v>
      </c>
      <c r="Z63" s="2422"/>
      <c r="AI63" s="2423"/>
    </row>
    <row r="64" spans="1:35" ht="14.25" customHeight="1">
      <c r="A64" s="197" t="s">
        <v>770</v>
      </c>
      <c r="B64" s="198" t="s">
        <v>2235</v>
      </c>
      <c r="C64" s="199">
        <f ca="1">D45</f>
        <v>9102</v>
      </c>
      <c r="D64" s="200" t="s">
        <v>32</v>
      </c>
      <c r="E64" s="201"/>
      <c r="F64" s="2488"/>
      <c r="G64" s="2488"/>
      <c r="H64" s="2496"/>
      <c r="I64" s="138"/>
      <c r="J64" s="3136"/>
      <c r="K64" s="2498" t="s">
        <v>2236</v>
      </c>
      <c r="L64" s="1749">
        <f ca="1">IF(M49&gt;2000,M49*0.5%,IF(AND(M49&gt;1000,M49&lt;=2000),M49*0.6%,IF(AND(M49&gt;500,M49&lt;=1000),M49*0.7%,IF(AND(M49&gt;200,M49&lt;=500),M49*0.8%,IF(AND(M49&gt;100,M49&lt;=200),M49*0.9%,IF(AND(M49&gt;50,M49&lt;=100),M49*1%,IF(AND(M49&gt;20,M49&lt;=50),M49*1.5%,IF(AND(M49&gt;10,M49&lt;=20),M49*2%,IF(AND(M49&gt;1,M49&lt;=10),M49*2.5%)))))))))</f>
        <v>45.51</v>
      </c>
      <c r="M64" s="24">
        <f t="shared" ref="M64:M65" ca="1" si="1">ROUND(L64,1)</f>
        <v>45.5</v>
      </c>
      <c r="N64" s="138" t="s">
        <v>2237</v>
      </c>
      <c r="Z64" s="2422"/>
      <c r="AI64" s="2423"/>
    </row>
    <row r="65" spans="1:35" ht="14.25" customHeight="1">
      <c r="A65" s="197" t="s">
        <v>771</v>
      </c>
      <c r="B65" s="198" t="s">
        <v>2238</v>
      </c>
      <c r="C65" s="202"/>
      <c r="D65" s="200"/>
      <c r="E65" s="201"/>
      <c r="F65" s="2488"/>
      <c r="G65" s="2488"/>
      <c r="H65" s="2496"/>
      <c r="I65" s="138"/>
      <c r="J65" s="3136"/>
      <c r="K65" s="2498" t="s">
        <v>2239</v>
      </c>
      <c r="L65" s="1749">
        <f ca="1">IF(M49&gt;1000,M49*0.1%,IF(AND(M49&gt;500,M49&lt;=1000),M49*0.5%,IF(AND(M49&gt;50,M49&lt;=500),M49*1%,IF(AND(M49&gt;1,M49&lt;=50),M49*1.5%))))</f>
        <v>9.1020000000000003</v>
      </c>
      <c r="M65" s="24">
        <f t="shared" ca="1" si="1"/>
        <v>9.1</v>
      </c>
      <c r="N65" s="138" t="s">
        <v>2237</v>
      </c>
      <c r="Z65" s="2422"/>
      <c r="AI65" s="2423"/>
    </row>
    <row r="66" spans="1:35" ht="14.25" customHeight="1">
      <c r="A66" s="203" t="s">
        <v>772</v>
      </c>
      <c r="B66" s="204" t="s">
        <v>2240</v>
      </c>
      <c r="C66" s="205"/>
      <c r="D66" s="206" t="s">
        <v>32</v>
      </c>
      <c r="E66" s="1773" t="s">
        <v>1366</v>
      </c>
      <c r="F66" s="2488"/>
      <c r="G66" s="2488"/>
      <c r="H66" s="2496"/>
      <c r="I66" s="138"/>
      <c r="J66" s="3136"/>
      <c r="K66" s="2498" t="s">
        <v>2241</v>
      </c>
      <c r="L66" s="1749">
        <f ca="1">M49*0.5%</f>
        <v>45.51</v>
      </c>
      <c r="M66" s="24">
        <f ca="1">IF(L66&gt;0.5,0.5,ROUND(L66,0))</f>
        <v>0.5</v>
      </c>
      <c r="N66" s="138" t="s">
        <v>2242</v>
      </c>
      <c r="Z66" s="2422"/>
      <c r="AI66" s="2423"/>
    </row>
    <row r="67" spans="1:35" ht="14.25" customHeight="1">
      <c r="A67" s="203" t="s">
        <v>773</v>
      </c>
      <c r="B67" s="204" t="s">
        <v>2243</v>
      </c>
      <c r="C67" s="207">
        <f ca="1">C63-C66</f>
        <v>8669</v>
      </c>
      <c r="D67" s="200" t="s">
        <v>32</v>
      </c>
      <c r="E67" s="201"/>
      <c r="F67" s="2488"/>
      <c r="G67" s="2488"/>
      <c r="H67" s="2496"/>
      <c r="I67" s="138"/>
      <c r="J67" s="3136"/>
      <c r="K67" s="2498" t="s">
        <v>2244</v>
      </c>
      <c r="L67" s="1749">
        <f ca="1">IF(M49&gt;=10000,(8.25+(M49-10000)*0.01%),IF(AND(M49&gt;=8000,M49&lt;10000),(7.85+(M49-8000)*0.02%),IF(AND(M49&gt;=5000,M49&lt;8000),(6.65+(M49-5000)*0.04%),IF(AND(M49&gt;=2000,M49&lt;5000),(4.25+(PM49-2000)*0.08%),IF(AND(M49&gt;=1000,M49&lt;2000),(2.75+(M49-1000)*0.15%),IF(AND(M49&gt;=100,M49&lt;1000),(0.5+(M49-100)*0.25%),IF(AND(M49&gt;0,M49&lt;100),M49*0.5%)))))))</f>
        <v>8.0703999999999994</v>
      </c>
      <c r="M67" s="24">
        <f ca="1">ROUND(L67*0.9,1)</f>
        <v>7.3</v>
      </c>
      <c r="Z67" s="2422"/>
      <c r="AI67" s="2423"/>
    </row>
    <row r="68" spans="1:35" ht="14.25" customHeight="1" thickBot="1">
      <c r="A68" s="208" t="s">
        <v>774</v>
      </c>
      <c r="B68" s="209" t="s">
        <v>2245</v>
      </c>
      <c r="C68" s="210">
        <f ca="1">IF(C67&lt;=0,0,ROUND(C67*D68,0))</f>
        <v>485</v>
      </c>
      <c r="D68" s="211">
        <f>'数据-取费表'!B41</f>
        <v>5.6000000000000001E-2</v>
      </c>
      <c r="E68" s="212"/>
      <c r="F68" s="2488"/>
      <c r="G68" s="2488"/>
      <c r="H68" s="2496"/>
      <c r="I68" s="138"/>
      <c r="J68" s="3136"/>
      <c r="K68" s="2498" t="s">
        <v>2246</v>
      </c>
      <c r="L68" s="1749">
        <f ca="1">IF(M49&gt;10000,M49*0.5%,IF(AND(M49&gt;5000,M49&lt;=10000),M49*1%,IF(AND(M49&gt;1000,M49&lt;=5000),M49*2%,IF(AND(M49&gt;200,M49&lt;=1000),M49*3%,M49*5%))))</f>
        <v>91.02</v>
      </c>
      <c r="M68" s="24">
        <f ca="1">ROUND(L68,1)</f>
        <v>91</v>
      </c>
      <c r="Z68" s="2422"/>
      <c r="AI68" s="2423"/>
    </row>
    <row r="69" spans="1:35" s="2445" customFormat="1" ht="16.5" customHeight="1">
      <c r="A69" s="2499"/>
      <c r="B69" s="2500"/>
      <c r="C69" s="2501"/>
      <c r="D69" s="2502"/>
      <c r="E69" s="2503"/>
      <c r="F69" s="2165"/>
      <c r="G69" s="2165"/>
      <c r="H69" s="2164"/>
      <c r="I69" s="2417"/>
      <c r="J69" s="3136"/>
      <c r="K69" s="2498" t="s">
        <v>2247</v>
      </c>
      <c r="L69" s="2504"/>
      <c r="M69" s="24">
        <f ca="1">ROUND(SUM(M63:M68),0)</f>
        <v>244</v>
      </c>
      <c r="N69" s="1750">
        <f ca="1">M69/M49</f>
        <v>2.6807295099978028E-2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095" t="s">
        <v>2248</v>
      </c>
      <c r="B70" s="3096"/>
      <c r="C70" s="3096"/>
      <c r="D70" s="3096"/>
      <c r="E70" s="3096"/>
      <c r="F70" s="3096"/>
      <c r="G70" s="3096"/>
      <c r="H70" s="309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4" t="s">
        <v>2229</v>
      </c>
      <c r="B71" s="3075"/>
      <c r="C71" s="1801"/>
      <c r="D71" s="1801" t="s">
        <v>2230</v>
      </c>
      <c r="E71" s="213" t="s">
        <v>2231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2249</v>
      </c>
      <c r="C72" s="207">
        <f ca="1">ROUND(D45/(1+'数据-取费表'!C42),0)</f>
        <v>8669</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2250</v>
      </c>
      <c r="C73" s="207">
        <f ca="1">C74+C78</f>
        <v>52</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2251</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2252</v>
      </c>
      <c r="C75" s="218"/>
      <c r="D75" s="200" t="s">
        <v>32</v>
      </c>
      <c r="E75" s="219" t="s">
        <v>2253</v>
      </c>
      <c r="F75" s="2510" t="s">
        <v>2254</v>
      </c>
      <c r="G75" s="219" t="s">
        <v>2255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2256</v>
      </c>
      <c r="C76" s="200">
        <f>IF(F75="购房发票",ROUND(C75*H75*D76,0),0)</f>
        <v>0</v>
      </c>
      <c r="D76" s="222">
        <v>0.05</v>
      </c>
      <c r="E76" s="3069" t="s">
        <v>2257</v>
      </c>
      <c r="F76" s="3046"/>
      <c r="G76" s="3046"/>
      <c r="H76" s="309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2" t="s">
        <v>2260</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2261</v>
      </c>
      <c r="C78" s="225">
        <f ca="1">ROUND(D45*D78/(1+'数据-取费表'!C42),0)</f>
        <v>52</v>
      </c>
      <c r="D78" s="226">
        <f>'数据-取费表'!B43</f>
        <v>6.000000000000001E-3</v>
      </c>
      <c r="E78" s="3055" t="s">
        <v>2262</v>
      </c>
      <c r="F78" s="3056"/>
      <c r="G78" s="3056"/>
      <c r="H78" s="306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2263</v>
      </c>
      <c r="C79" s="207">
        <f ca="1">C72-C73</f>
        <v>8617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2264</v>
      </c>
      <c r="C80" s="227">
        <f ca="1">IF(C79&lt;=0,0,C79/C73)</f>
        <v>165.71153846153845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2265</v>
      </c>
      <c r="C81" s="228">
        <f ca="1">ROUND(IF(C79&lt;=0,0,IF(C80&gt;=200%,C79*60%-C73*35%,IF(C80&gt;=100%,C79*50%-C73*15%,IF(C80&gt;=50%,C79*40%-C73*5%,IF(C80&lt;50%,C79*30%,0))))),0)</f>
        <v>5152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5" t="s">
        <v>2266</v>
      </c>
      <c r="B83" s="3096"/>
      <c r="C83" s="3096"/>
      <c r="D83" s="3096"/>
      <c r="E83" s="3096"/>
      <c r="F83" s="3096"/>
      <c r="G83" s="3096"/>
      <c r="H83" s="309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4" t="s">
        <v>2229</v>
      </c>
      <c r="B84" s="3075"/>
      <c r="C84" s="1801"/>
      <c r="D84" s="1801" t="s">
        <v>2230</v>
      </c>
      <c r="E84" s="213" t="s">
        <v>2231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2249</v>
      </c>
      <c r="C85" s="207">
        <f ca="1">ROUND(D45/(1+'数据-取费表'!C42),0)</f>
        <v>8669</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2250</v>
      </c>
      <c r="C86" s="207">
        <f ca="1">IF(H88="仅含出让金",C87+C90+C91+C92+C93+C94,C87+C91+C92+C93+C94)</f>
        <v>52</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2267</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2268</v>
      </c>
      <c r="C88" s="236"/>
      <c r="D88" s="226"/>
      <c r="E88" s="237" t="s">
        <v>2269</v>
      </c>
      <c r="F88" s="1797"/>
      <c r="G88" s="238"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2258</v>
      </c>
      <c r="C89" s="225">
        <f>ROUND(C88*D89,0)</f>
        <v>0</v>
      </c>
      <c r="D89" s="226">
        <f>'数据-取费表'!B48+'数据-取费表'!B49</f>
        <v>3.0499999999999999E-2</v>
      </c>
      <c r="E89" s="237" t="s">
        <v>2271</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2272</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2273</v>
      </c>
      <c r="B91" s="198" t="s">
        <v>2274</v>
      </c>
      <c r="C91" s="225">
        <f>IF(H91="——",成本法!C33,I91)</f>
        <v>0</v>
      </c>
      <c r="D91" s="226"/>
      <c r="E91" s="3055" t="s">
        <v>2275</v>
      </c>
      <c r="F91" s="3056"/>
      <c r="G91" s="3056"/>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2277</v>
      </c>
      <c r="B92" s="198" t="s">
        <v>2278</v>
      </c>
      <c r="C92" s="225">
        <f>ROUND((C87+C90+C91)*D92,0)</f>
        <v>0</v>
      </c>
      <c r="D92" s="226">
        <v>0.1</v>
      </c>
      <c r="E92" s="3055" t="s">
        <v>2279</v>
      </c>
      <c r="F92" s="3056"/>
      <c r="G92" s="3056"/>
      <c r="H92" s="306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2280</v>
      </c>
      <c r="B93" s="198" t="s">
        <v>2261</v>
      </c>
      <c r="C93" s="225">
        <f ca="1">ROUND(D45*D93/(1+'数据-取费表'!C42),0)</f>
        <v>52</v>
      </c>
      <c r="D93" s="226">
        <f>'数据-取费表'!B43</f>
        <v>6.000000000000001E-3</v>
      </c>
      <c r="E93" s="3055" t="s">
        <v>2262</v>
      </c>
      <c r="F93" s="3056"/>
      <c r="G93" s="3056"/>
      <c r="H93" s="306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2281</v>
      </c>
      <c r="B94" s="198" t="s">
        <v>2282</v>
      </c>
      <c r="C94" s="236">
        <f>ROUND((C87+C90+C91)*D94,0)</f>
        <v>0</v>
      </c>
      <c r="D94" s="226">
        <v>0.2</v>
      </c>
      <c r="E94" s="3066" t="s">
        <v>2283</v>
      </c>
      <c r="F94" s="3067"/>
      <c r="G94" s="3067"/>
      <c r="H94" s="306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2263</v>
      </c>
      <c r="C95" s="207">
        <f ca="1">ROUND(C85-C86,0)</f>
        <v>8617</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2264</v>
      </c>
      <c r="C96" s="227">
        <f ca="1">IF(C95&lt;=0,0,C95/C86)</f>
        <v>165.71153846153845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2265</v>
      </c>
      <c r="C97" s="228">
        <f ca="1">ROUND(IF(C95&lt;=0,0,IF(C96&gt;=200%,C95*60%-C86*35%,IF(C96&gt;=100%,C95*50%-C86*15%,IF(C96&gt;=50%,C95*40%-C86*5%,IF(C96&lt;50%,C95*30%,0))))),0)</f>
        <v>5152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2284</v>
      </c>
      <c r="B99" s="2417"/>
      <c r="C99" s="2417"/>
      <c r="D99" s="2417"/>
      <c r="E99" s="2165"/>
      <c r="F99" s="2165"/>
      <c r="G99" s="2165"/>
      <c r="H99" s="2164"/>
      <c r="I99" s="138"/>
    </row>
    <row r="100" spans="1:35" ht="18.75" customHeight="1">
      <c r="A100" s="3040" t="s">
        <v>2285</v>
      </c>
      <c r="B100" s="3041"/>
      <c r="C100" s="3041"/>
      <c r="D100" s="3057"/>
      <c r="E100" s="3041" t="s">
        <v>2286</v>
      </c>
      <c r="F100" s="3041"/>
      <c r="G100" s="3041"/>
      <c r="H100" s="3057"/>
      <c r="I100" s="138"/>
    </row>
    <row r="101" spans="1:35" ht="18.75" customHeight="1">
      <c r="A101" s="3119" t="s">
        <v>2287</v>
      </c>
      <c r="B101" s="3120"/>
      <c r="C101" s="736" t="str">
        <f>C4</f>
        <v>比较法-商业</v>
      </c>
      <c r="D101" s="737" t="str">
        <f>D4</f>
        <v>收益法</v>
      </c>
      <c r="E101" s="3133" t="s">
        <v>2288</v>
      </c>
      <c r="F101" s="3087"/>
      <c r="G101" s="2519" t="s">
        <v>2289</v>
      </c>
      <c r="H101" s="1045">
        <f ca="1">H118</f>
        <v>9102</v>
      </c>
      <c r="I101" s="138"/>
    </row>
    <row r="102" spans="1:35" ht="18.75" customHeight="1">
      <c r="A102" s="3089" t="s">
        <v>2290</v>
      </c>
      <c r="B102" s="2519" t="s">
        <v>2289</v>
      </c>
      <c r="C102" s="736">
        <f ca="1">C19</f>
        <v>10420</v>
      </c>
      <c r="D102" s="737">
        <f ca="1">D19</f>
        <v>7125</v>
      </c>
      <c r="E102" s="3133"/>
      <c r="F102" s="3087"/>
      <c r="G102" s="2519" t="s">
        <v>2291</v>
      </c>
      <c r="H102" s="371">
        <f ca="1">I118</f>
        <v>48042</v>
      </c>
      <c r="I102" s="138"/>
    </row>
    <row r="103" spans="1:35" ht="42.75" customHeight="1">
      <c r="A103" s="3089"/>
      <c r="B103" s="2519" t="s">
        <v>2291</v>
      </c>
      <c r="C103" s="738">
        <f ca="1">C20</f>
        <v>55000</v>
      </c>
      <c r="D103" s="739">
        <f ca="1">D20</f>
        <v>37607</v>
      </c>
      <c r="E103" s="3128" t="s">
        <v>2292</v>
      </c>
      <c r="F103" s="3129"/>
      <c r="G103" s="2520" t="s">
        <v>2293</v>
      </c>
      <c r="H103" s="1045">
        <f>IF(D36="正常操作",H104+H105+H106,H105+H106)</f>
        <v>0</v>
      </c>
      <c r="I103" s="138"/>
    </row>
    <row r="104" spans="1:35" ht="18.75" customHeight="1">
      <c r="A104" s="3089" t="s">
        <v>2294</v>
      </c>
      <c r="B104" s="2521" t="s">
        <v>2289</v>
      </c>
      <c r="C104" s="740">
        <f ca="1">H118</f>
        <v>9102</v>
      </c>
      <c r="D104" s="741"/>
      <c r="E104" s="2266" t="s">
        <v>2295</v>
      </c>
      <c r="F104" s="2257"/>
      <c r="G104" s="2520" t="s">
        <v>2293</v>
      </c>
      <c r="H104" s="1046">
        <f>IF(D36="同一抵押权人同一抵押物续贷",C36&amp;"（未扣减，详见特别提示）",C36)</f>
        <v>0</v>
      </c>
      <c r="I104" s="138"/>
    </row>
    <row r="105" spans="1:35" ht="18.75" customHeight="1" thickBot="1">
      <c r="A105" s="3090"/>
      <c r="B105" s="2522" t="s">
        <v>2291</v>
      </c>
      <c r="C105" s="742">
        <f ca="1">I118</f>
        <v>48042</v>
      </c>
      <c r="D105" s="743"/>
      <c r="E105" s="2266" t="s">
        <v>2296</v>
      </c>
      <c r="F105" s="2257"/>
      <c r="G105" s="2520" t="s">
        <v>2293</v>
      </c>
      <c r="H105" s="1046">
        <f>C37</f>
        <v>0</v>
      </c>
      <c r="I105" s="138"/>
    </row>
    <row r="106" spans="1:35" ht="18.75" customHeight="1">
      <c r="A106" s="2417" t="s">
        <v>2297</v>
      </c>
      <c r="B106" s="2417"/>
      <c r="C106" s="2417"/>
      <c r="D106" s="2417"/>
      <c r="E106" s="2523" t="s">
        <v>2298</v>
      </c>
      <c r="F106" s="2257"/>
      <c r="G106" s="2520" t="s">
        <v>2293</v>
      </c>
      <c r="H106" s="1046">
        <f>C38</f>
        <v>0</v>
      </c>
      <c r="I106" s="138"/>
    </row>
    <row r="107" spans="1:35" ht="18.75" customHeight="1">
      <c r="A107" s="138"/>
      <c r="B107" s="138"/>
      <c r="C107" s="138"/>
      <c r="D107" s="138"/>
      <c r="E107" s="3086" t="str">
        <f>IF(项目基本情况!E8="已注销","——","3.房地产抵押价值")</f>
        <v>3.房地产抵押价值</v>
      </c>
      <c r="F107" s="3087"/>
      <c r="G107" s="2519" t="s">
        <v>2289</v>
      </c>
      <c r="H107" s="1045">
        <f ca="1">IF(E107="——","——",H101-H103)</f>
        <v>9102</v>
      </c>
      <c r="I107" s="138"/>
    </row>
    <row r="108" spans="1:35" ht="18.75" customHeight="1">
      <c r="A108" s="138"/>
      <c r="B108" s="138"/>
      <c r="C108" s="138"/>
      <c r="D108" s="138"/>
      <c r="E108" s="3086"/>
      <c r="F108" s="3087"/>
      <c r="G108" s="2519" t="s">
        <v>2291</v>
      </c>
      <c r="H108" s="371">
        <f ca="1">ROUND(H107*10000/'数据-汇总表'!E3,0)</f>
        <v>48042</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9" t="s">
        <v>2289</v>
      </c>
      <c r="H109" s="348" t="str">
        <f>IF(E109="——","——",H101-H105-H106)</f>
        <v>——</v>
      </c>
      <c r="I109" s="138"/>
    </row>
    <row r="110" spans="1:35" ht="18.75" customHeight="1">
      <c r="A110" s="138"/>
      <c r="B110" s="138"/>
      <c r="C110" s="138"/>
      <c r="D110" s="138"/>
      <c r="E110" s="3086"/>
      <c r="F110" s="3087"/>
      <c r="G110" s="2519" t="s">
        <v>2291</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9" t="s">
        <v>2289</v>
      </c>
      <c r="H111" s="1045" t="str">
        <f>IF(E111="——","——",N59)</f>
        <v>——</v>
      </c>
      <c r="I111" s="138"/>
    </row>
    <row r="112" spans="1:35" ht="18.75" customHeight="1" thickBot="1">
      <c r="A112" s="138"/>
      <c r="B112" s="138"/>
      <c r="C112" s="138"/>
      <c r="D112" s="138"/>
      <c r="E112" s="3123"/>
      <c r="F112" s="3124"/>
      <c r="G112" s="2524" t="s">
        <v>2291</v>
      </c>
      <c r="H112" s="790" t="str">
        <f>IF(E111="——","——",N61)</f>
        <v>——</v>
      </c>
      <c r="I112" s="138"/>
    </row>
    <row r="113" spans="1:11" ht="18.75" customHeight="1">
      <c r="A113" s="138"/>
      <c r="B113" s="138"/>
      <c r="C113" s="138"/>
      <c r="D113" s="138"/>
      <c r="E113" s="3091" t="s">
        <v>2297</v>
      </c>
      <c r="F113" s="3091"/>
      <c r="G113" s="3091"/>
      <c r="H113" s="3091"/>
      <c r="I113" s="138"/>
    </row>
    <row r="114" spans="1:11" ht="3.75" customHeight="1">
      <c r="A114" s="2417"/>
      <c r="B114" s="2417"/>
      <c r="C114" s="2417"/>
      <c r="D114" s="2417"/>
      <c r="E114" s="2495"/>
      <c r="F114" s="2495"/>
      <c r="G114" s="2495"/>
      <c r="H114" s="2495"/>
      <c r="I114" s="2417"/>
    </row>
    <row r="115" spans="1:11" ht="18.75" customHeight="1">
      <c r="A115" s="3104" t="s">
        <v>2299</v>
      </c>
      <c r="B115" s="3105"/>
      <c r="C115" s="3105"/>
      <c r="D115" s="3105"/>
      <c r="E115" s="3105"/>
      <c r="F115" s="3105"/>
      <c r="G115" s="3105"/>
      <c r="H115" s="3105"/>
      <c r="I115" s="3106"/>
    </row>
    <row r="116" spans="1:11" ht="27" customHeight="1">
      <c r="A116" s="2998" t="s">
        <v>2300</v>
      </c>
      <c r="B116" s="3092" t="s">
        <v>2301</v>
      </c>
      <c r="C116" s="3092" t="s">
        <v>2302</v>
      </c>
      <c r="D116" s="3108" t="s">
        <v>2303</v>
      </c>
      <c r="E116" s="3109"/>
      <c r="F116" s="3100" t="s">
        <v>2304</v>
      </c>
      <c r="G116" s="3100"/>
      <c r="H116" s="2998" t="s">
        <v>2305</v>
      </c>
      <c r="I116" s="2998"/>
    </row>
    <row r="117" spans="1:11" ht="18.75" customHeight="1">
      <c r="A117" s="2998"/>
      <c r="B117" s="3093"/>
      <c r="C117" s="3093"/>
      <c r="D117" s="1795" t="s">
        <v>2306</v>
      </c>
      <c r="E117" s="1795" t="s">
        <v>2307</v>
      </c>
      <c r="F117" s="1795" t="s">
        <v>2306</v>
      </c>
      <c r="G117" s="1795" t="s">
        <v>2308</v>
      </c>
      <c r="H117" s="1795" t="s">
        <v>2306</v>
      </c>
      <c r="I117" s="1795" t="s">
        <v>2308</v>
      </c>
    </row>
    <row r="118" spans="1:11" ht="24.75" customHeight="1">
      <c r="A118" s="2525" t="str">
        <f>项目基本情况!S2</f>
        <v>北京市石景山区玉泉西里二区1号楼-1至2层商业05号出让国有建设用地使用权及在建建筑物房地产</v>
      </c>
      <c r="B118" s="1795">
        <f>M18</f>
        <v>1894.58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9102</v>
      </c>
      <c r="I118" s="1795">
        <f ca="1">ROUND(IF(D32="楼面单价",C32,H118*10000/B118),0)</f>
        <v>48042</v>
      </c>
    </row>
    <row r="119" spans="1:11" ht="18.75" customHeight="1">
      <c r="A119" s="2998" t="s">
        <v>2309</v>
      </c>
      <c r="B119" s="2998"/>
      <c r="C119" s="2998"/>
      <c r="D119" s="3097" t="e">
        <f ca="1">NUMBERSTRING(INT(D118*10000),2)&amp;"元整"</f>
        <v>#REF!</v>
      </c>
      <c r="E119" s="3099"/>
      <c r="F119" s="3097" t="e">
        <f ca="1">NUMBERSTRING(INT(F118*10000),2)&amp;"元整"</f>
        <v>#REF!</v>
      </c>
      <c r="G119" s="3099"/>
      <c r="H119" s="3097" t="str">
        <f ca="1">NUMBERSTRING(INT(H118*10000),2)&amp;"元整"</f>
        <v>玖仟壹佰零贰万元整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2" t="str">
        <f>IF(D120=0,"故，本次评估不存在"&amp;A120,"故，本次评估"&amp;A120&amp;"为人民币"&amp;D120&amp;"万元整。")</f>
        <v>故，本次评估不存在估价师知悉的法定优先受偿款</v>
      </c>
    </row>
    <row r="121" spans="1:11" ht="18.75" customHeight="1">
      <c r="A121" s="3101" t="s">
        <v>2309</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9102</v>
      </c>
      <c r="E122" s="3126"/>
      <c r="F122" s="3126"/>
      <c r="G122" s="3126"/>
      <c r="H122" s="3126"/>
      <c r="I122" s="3127"/>
    </row>
    <row r="123" spans="1:11" ht="18.75" customHeight="1">
      <c r="A123" s="2998" t="s">
        <v>2309</v>
      </c>
      <c r="B123" s="2998"/>
      <c r="C123" s="2998"/>
      <c r="D123" s="3097" t="str">
        <f ca="1">NUMBERSTRING(INT(D122*10000),2)&amp;"元整"</f>
        <v>玖仟壹佰零贰万元整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8" t="s">
        <v>2309</v>
      </c>
      <c r="B125" s="2998"/>
      <c r="C125" s="2998"/>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8" t="s">
        <v>2309</v>
      </c>
      <c r="B127" s="2998"/>
      <c r="C127" s="2998"/>
      <c r="D127" s="3097" t="e">
        <f>NUMBERSTRING(INT(D126*10000),2)&amp;"元整"</f>
        <v>#VALUE!</v>
      </c>
      <c r="E127" s="3098"/>
      <c r="F127" s="3098"/>
      <c r="G127" s="3098"/>
      <c r="H127" s="3098"/>
      <c r="I127" s="3099"/>
    </row>
    <row r="128" spans="1:11" ht="21.75" customHeight="1">
      <c r="A128" s="3107" t="s">
        <v>2310</v>
      </c>
      <c r="B128" s="3107"/>
      <c r="C128" s="3107"/>
      <c r="D128" s="3107"/>
      <c r="E128" s="3107"/>
      <c r="F128" s="3107"/>
      <c r="G128" s="3107"/>
      <c r="H128" s="3107"/>
      <c r="I128" s="3107"/>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9"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 sqref="U4"/>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2796</v>
      </c>
      <c r="B1" s="241"/>
      <c r="C1" s="245" t="s">
        <v>2797</v>
      </c>
      <c r="D1" s="388">
        <f>SUM(D29:D30,D33:D39)</f>
        <v>631.53</v>
      </c>
      <c r="E1" s="2718"/>
      <c r="F1" s="2718"/>
      <c r="G1" s="2718"/>
      <c r="H1" s="2718"/>
      <c r="I1" s="2718"/>
      <c r="J1" s="2718"/>
      <c r="K1" s="1370"/>
      <c r="L1" s="2719" t="s">
        <v>2798</v>
      </c>
      <c r="M1" s="1080">
        <f>SUMPRODUCT((区片价!B5:B9=I2)*(区片价!C3:F3=E2)*(区片价!C5:F9))</f>
        <v>0</v>
      </c>
      <c r="N1" s="1083">
        <f>SUMPRODUCT((因素修正幅度!B5:B9=I2)*(因素修正幅度!C3:F3=E2)*(因素修正幅度!C5:F9))</f>
        <v>0</v>
      </c>
      <c r="O1" s="2720"/>
      <c r="P1" s="2720"/>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671</v>
      </c>
      <c r="C2" s="2722" t="s">
        <v>2805</v>
      </c>
      <c r="D2" s="2723" t="s">
        <v>2806</v>
      </c>
      <c r="E2" s="2724" t="s">
        <v>1372</v>
      </c>
      <c r="F2" s="2723" t="s">
        <v>2807</v>
      </c>
      <c r="G2" s="2725" t="str">
        <f>IF(E2="商业",项目基本情况!B37,IF(E2="办公",项目基本情况!C37,IF(E2="住宅",项目基本情况!D37,项目基本情况!E37)))</f>
        <v>五级</v>
      </c>
      <c r="H2" s="2723" t="s">
        <v>2808</v>
      </c>
      <c r="I2" s="2725" t="str">
        <f>IF(E2="商业",项目基本情况!B38,IF(E2="办公",项目基本情况!C38,IF(E2="住宅",项目基本情况!D38,项目基本情况!E38)))</f>
        <v>Ⅴ-11</v>
      </c>
      <c r="J2" s="2726"/>
      <c r="K2" s="1370"/>
      <c r="L2" s="2727"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31087</v>
      </c>
      <c r="U2" s="1603">
        <f>D33</f>
        <v>631.53</v>
      </c>
      <c r="V2" s="1602">
        <f ca="1">ROUND(T2*U2/10000,0)</f>
        <v>1963</v>
      </c>
      <c r="W2" s="1606"/>
      <c r="X2" s="1606"/>
      <c r="Y2" s="1606"/>
      <c r="Z2" s="1606"/>
      <c r="AA2" s="1606"/>
      <c r="AB2" s="1606"/>
      <c r="AC2" s="1607"/>
      <c r="AD2" s="1608"/>
      <c r="AE2" s="1608"/>
      <c r="AF2" s="1608"/>
      <c r="AG2" s="1608"/>
      <c r="AH2" s="1608"/>
      <c r="AI2" s="1608"/>
      <c r="AJ2" s="1609"/>
    </row>
    <row r="3" spans="1:36" ht="25.5">
      <c r="A3" s="247" t="s">
        <v>2810</v>
      </c>
      <c r="B3" s="248">
        <f ca="1">ROUND(B2*10000/D1,0)</f>
        <v>10625</v>
      </c>
      <c r="C3" s="2722" t="s">
        <v>2811</v>
      </c>
      <c r="D3" s="2723" t="s">
        <v>2812</v>
      </c>
      <c r="E3" s="2728" t="s">
        <v>3095</v>
      </c>
      <c r="F3" s="2729" t="s">
        <v>3103</v>
      </c>
      <c r="G3" s="916">
        <f>IF(F3="宗地容积率",'数据-汇总表'!I4,IF(F3="估价对象容积率",'数据-汇总表'!I6,'数据-汇总表'!I7))</f>
        <v>1</v>
      </c>
      <c r="H3" s="198" t="s">
        <v>2813</v>
      </c>
      <c r="I3" s="944">
        <v>1</v>
      </c>
      <c r="J3" s="2726" t="s">
        <v>2814</v>
      </c>
      <c r="K3" s="1370"/>
      <c r="L3" s="2727"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22315</v>
      </c>
      <c r="U3" s="1603">
        <f>U2</f>
        <v>631.53</v>
      </c>
      <c r="V3" s="1602">
        <f t="shared" ref="V3:V16" ca="1" si="1">ROUND(T3*U3/10000,0)</f>
        <v>1409</v>
      </c>
      <c r="W3" s="1606"/>
      <c r="X3" s="1606"/>
      <c r="Y3" s="1606"/>
      <c r="Z3" s="1606"/>
      <c r="AA3" s="1606"/>
      <c r="AB3" s="1606"/>
      <c r="AC3" s="1607"/>
      <c r="AD3" s="1608"/>
      <c r="AE3" s="1608"/>
      <c r="AF3" s="1608"/>
      <c r="AG3" s="1608"/>
      <c r="AH3" s="1608"/>
      <c r="AI3" s="1608"/>
      <c r="AJ3" s="1609"/>
    </row>
    <row r="4" spans="1:36" ht="15.75">
      <c r="A4" s="3242"/>
      <c r="B4" s="3243"/>
      <c r="C4" s="3243"/>
      <c r="D4" s="3244"/>
      <c r="E4" s="3244"/>
      <c r="F4" s="3244"/>
      <c r="G4" s="3244"/>
      <c r="H4" s="3244"/>
      <c r="I4" s="3244"/>
      <c r="J4" s="3245"/>
      <c r="K4" s="1370"/>
      <c r="L4" s="2727"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18002</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2817</v>
      </c>
      <c r="C5" s="917">
        <f>ROUND(IF(E2="商业",C6*C7+C16,(IF(E2="住宅",C6*C12+C16,C6+C16))),0)</f>
        <v>12694</v>
      </c>
      <c r="D5" s="1787">
        <f>ROUND(C6+C16,0)</f>
        <v>12694</v>
      </c>
      <c r="E5" s="1787"/>
      <c r="F5" s="2732"/>
      <c r="G5" s="2733"/>
      <c r="H5" s="2733"/>
      <c r="I5" s="2733"/>
      <c r="J5" s="2734"/>
      <c r="K5" s="2735"/>
      <c r="L5" s="2727" t="s">
        <v>2818</v>
      </c>
      <c r="M5" s="1081">
        <f>SUMPRODUCT((区片价!B76:B109=I2)*(区片价!C3:F3=E2)*(区片价!C76:F109))</f>
        <v>12730</v>
      </c>
      <c r="N5" s="1083">
        <f>SUMPRODUCT((因素修正幅度!B76:B109=I2)*(因素修正幅度!C3:F3=E2)*(因素修正幅度!C76:F109))</f>
        <v>0.1</v>
      </c>
      <c r="O5" s="1370"/>
      <c r="P5" s="1370"/>
      <c r="Q5" s="1370"/>
      <c r="R5" s="1602">
        <v>4</v>
      </c>
      <c r="S5" s="1602">
        <f>ROUND(IF(G3&gt;1,IF(R5&lt;7,SUMPRODUCT((B93:B98=R5)*(C92:N92=G2)*(C93:N98)),SUMIF(C92:N92,G2,C100:N100)),IF(R5&lt;7,SUMPRODUCT((B102:B107=R5)*(C92:N92=G2)*(C102:N107)),SUMIF(C92:N92,G2,C109:N109))),4)</f>
        <v>0.86560000000000004</v>
      </c>
      <c r="T5" s="1602">
        <f t="shared" ca="1" si="0"/>
        <v>14445</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2819</v>
      </c>
      <c r="B6" s="2741" t="s">
        <v>2820</v>
      </c>
      <c r="C6" s="918">
        <f>SUMIF(L1:L12,G2,M1:M12)</f>
        <v>12730</v>
      </c>
      <c r="D6" s="2742" t="s">
        <v>2821</v>
      </c>
      <c r="E6" s="2743"/>
      <c r="F6" s="2743"/>
      <c r="G6" s="2744"/>
      <c r="H6" s="2744"/>
      <c r="I6" s="2744"/>
      <c r="J6" s="2745"/>
      <c r="K6" s="1842"/>
      <c r="L6" s="2727"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12300</v>
      </c>
      <c r="U6" s="1603"/>
      <c r="V6" s="1602">
        <f t="shared" ca="1" si="1"/>
        <v>0</v>
      </c>
      <c r="W6" s="1606"/>
      <c r="X6" s="1606"/>
      <c r="Y6" s="1606"/>
      <c r="Z6" s="1606"/>
      <c r="AA6" s="1606"/>
      <c r="AB6" s="1606"/>
      <c r="AC6" s="2736"/>
      <c r="AD6" s="2737"/>
      <c r="AE6" s="2737"/>
      <c r="AF6" s="2737"/>
      <c r="AG6" s="2737"/>
      <c r="AH6" s="2737"/>
      <c r="AI6" s="2737"/>
      <c r="AJ6" s="2738"/>
    </row>
    <row r="7" spans="1:36" ht="24">
      <c r="A7" s="3246" t="str">
        <f>IF(E2="商业",IF(C8="不临58条商业街","",2),"")</f>
        <v/>
      </c>
      <c r="B7" s="2746" t="s">
        <v>2823</v>
      </c>
      <c r="C7" s="919">
        <f>IF(C8="不临58条商业街",1,ROUND(1+(1.6*E8+1.2*E9+0.8*E10+0.4*E11)*C9,4))</f>
        <v>1</v>
      </c>
      <c r="D7" s="2747" t="s">
        <v>2824</v>
      </c>
      <c r="E7" s="945"/>
      <c r="F7" s="2748"/>
      <c r="G7" s="2749"/>
      <c r="H7" s="2749"/>
      <c r="I7" s="2749"/>
      <c r="J7" s="2750"/>
      <c r="K7" s="1842"/>
      <c r="L7" s="2727"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10817</v>
      </c>
      <c r="U7" s="1603"/>
      <c r="V7" s="1602">
        <f t="shared" ca="1" si="1"/>
        <v>0</v>
      </c>
      <c r="W7" s="1816" t="s">
        <v>2826</v>
      </c>
      <c r="X7" s="1604" t="str">
        <f>G2</f>
        <v>五级</v>
      </c>
      <c r="Y7" s="1604" t="s">
        <v>2827</v>
      </c>
      <c r="Z7" s="1605">
        <f>G3</f>
        <v>1</v>
      </c>
      <c r="AA7" s="1606"/>
      <c r="AB7" s="1606"/>
      <c r="AC7" s="1607"/>
      <c r="AD7" s="1608"/>
      <c r="AE7" s="1608"/>
      <c r="AF7" s="1608"/>
      <c r="AG7" s="1608"/>
      <c r="AH7" s="1608"/>
      <c r="AI7" s="1608"/>
      <c r="AJ7" s="1609"/>
    </row>
    <row r="8" spans="1:36" ht="25.5">
      <c r="A8" s="3247"/>
      <c r="B8" s="198" t="s">
        <v>2828</v>
      </c>
      <c r="C8" s="2751" t="s">
        <v>3096</v>
      </c>
      <c r="D8" s="920" t="s">
        <v>139</v>
      </c>
      <c r="E8" s="921" t="e">
        <f>ROUND(C11/E7,4)</f>
        <v>#DIV/0!</v>
      </c>
      <c r="F8" s="2752" t="s">
        <v>2829</v>
      </c>
      <c r="G8" s="2753"/>
      <c r="H8" s="2753"/>
      <c r="I8" s="2753"/>
      <c r="J8" s="2754"/>
      <c r="K8" s="1370"/>
      <c r="L8" s="2727"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9" t="s">
        <v>2831</v>
      </c>
      <c r="X8" s="324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47"/>
      <c r="B9" s="198" t="s">
        <v>2844</v>
      </c>
      <c r="C9" s="922">
        <f>SUMIF(修正!C59:C119,C8,修正!E59:E119)</f>
        <v>0</v>
      </c>
      <c r="D9" s="200" t="s">
        <v>140</v>
      </c>
      <c r="E9" s="200" t="e">
        <f>ROUND(C11/E7,4)</f>
        <v>#DIV/0!</v>
      </c>
      <c r="F9" s="2752" t="s">
        <v>2845</v>
      </c>
      <c r="G9" s="2753"/>
      <c r="H9" s="2753"/>
      <c r="I9" s="2753"/>
      <c r="J9" s="2754"/>
      <c r="K9" s="1370"/>
      <c r="L9" s="2727"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1"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7"/>
      <c r="B10" s="198" t="s">
        <v>2849</v>
      </c>
      <c r="C10" s="200">
        <f>SUMIF(修正!C59:C119,C8,修正!F59:F119)</f>
        <v>0</v>
      </c>
      <c r="D10" s="200" t="s">
        <v>141</v>
      </c>
      <c r="E10" s="200" t="e">
        <f>ROUND(C11/E7,4)</f>
        <v>#DIV/0!</v>
      </c>
      <c r="F10" s="2752" t="s">
        <v>2850</v>
      </c>
      <c r="G10" s="2753"/>
      <c r="H10" s="2753"/>
      <c r="I10" s="2753"/>
      <c r="J10" s="2754"/>
      <c r="K10" s="1370"/>
      <c r="L10" s="2727"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7"/>
      <c r="B11" s="2755" t="s">
        <v>2852</v>
      </c>
      <c r="C11" s="923">
        <f>C10/4</f>
        <v>0</v>
      </c>
      <c r="D11" s="923" t="s">
        <v>142</v>
      </c>
      <c r="E11" s="923" t="e">
        <f>ROUND(C11/E7,4)</f>
        <v>#DIV/0!</v>
      </c>
      <c r="F11" s="2756" t="s">
        <v>2853</v>
      </c>
      <c r="G11" s="2757"/>
      <c r="H11" s="2757"/>
      <c r="I11" s="2757"/>
      <c r="J11" s="2758"/>
      <c r="K11" s="1370"/>
      <c r="L11" s="2727"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1" t="s">
        <v>2855</v>
      </c>
      <c r="X11" s="1614" t="s">
        <v>2856</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46" t="s">
        <v>2857</v>
      </c>
      <c r="B12" s="2759" t="s">
        <v>2858</v>
      </c>
      <c r="C12" s="919">
        <f>ROUND(C15*D15*E15*F15*G15*H15*I15*J15,4)</f>
        <v>1</v>
      </c>
      <c r="D12" s="2760" t="s">
        <v>2859</v>
      </c>
      <c r="E12" s="2761"/>
      <c r="F12" s="2761"/>
      <c r="G12" s="2762"/>
      <c r="H12" s="2762"/>
      <c r="I12" s="2762"/>
      <c r="J12" s="2763"/>
      <c r="K12" s="1370"/>
      <c r="L12" s="2764"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8"/>
      <c r="B13" s="2765" t="s">
        <v>2862</v>
      </c>
      <c r="C13" s="2766" t="s">
        <v>2863</v>
      </c>
      <c r="D13" s="1808" t="s">
        <v>2864</v>
      </c>
      <c r="E13" s="1808" t="s">
        <v>2865</v>
      </c>
      <c r="F13" s="30" t="s">
        <v>2866</v>
      </c>
      <c r="G13" s="2767" t="s">
        <v>2867</v>
      </c>
      <c r="H13" s="2767" t="s">
        <v>2867</v>
      </c>
      <c r="I13" s="2767" t="s">
        <v>2867</v>
      </c>
      <c r="J13" s="2768" t="s">
        <v>2867</v>
      </c>
      <c r="K13" s="1370"/>
      <c r="L13" s="1370"/>
      <c r="M13" s="1370"/>
      <c r="N13" s="1370"/>
      <c r="O13" s="1370"/>
      <c r="P13" s="1370"/>
      <c r="Q13" s="1370"/>
      <c r="R13" s="1602">
        <v>12</v>
      </c>
      <c r="S13" s="1603"/>
      <c r="T13" s="1602">
        <f t="shared" ca="1" si="0"/>
        <v>0</v>
      </c>
      <c r="U13" s="1603"/>
      <c r="V13" s="1602">
        <f t="shared" ca="1" si="1"/>
        <v>0</v>
      </c>
      <c r="W13" s="3241"/>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48"/>
      <c r="B14" s="2769"/>
      <c r="C14" s="2770"/>
      <c r="D14" s="2771"/>
      <c r="E14" s="2771"/>
      <c r="F14" s="2772"/>
      <c r="G14" s="2773" t="s">
        <v>2868</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9"/>
      <c r="B15" s="2777"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6" t="s">
        <v>2874</v>
      </c>
      <c r="B16" s="2746" t="s">
        <v>2875</v>
      </c>
      <c r="C16" s="2933">
        <f>ROUND(IF(F17="与级别开发程度一致",0,(G17-E17)/C17),0)</f>
        <v>-36</v>
      </c>
      <c r="D16" s="3260" t="s">
        <v>2879</v>
      </c>
      <c r="E16" s="3261"/>
      <c r="F16" s="3260" t="s">
        <v>2876</v>
      </c>
      <c r="G16" s="3261"/>
      <c r="H16" s="2780" t="s">
        <v>3066</v>
      </c>
      <c r="I16" s="2780" t="s">
        <v>3067</v>
      </c>
      <c r="J16" s="2937" t="s">
        <v>3068</v>
      </c>
      <c r="K16" s="2780" t="s">
        <v>3069</v>
      </c>
      <c r="L16" s="2780" t="s">
        <v>3070</v>
      </c>
      <c r="M16" s="2780" t="s">
        <v>3098</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44" t="s">
        <v>2878</v>
      </c>
      <c r="C17" s="2945">
        <f>SUMPRODUCT((修正!A2:A5=E2)*(修正!B1:M1=G2)*(修正!B2:M5))</f>
        <v>2.5</v>
      </c>
      <c r="D17" s="229" t="str">
        <f>IF(OR(G2="八级",G2="九级",G2="十级",G2="十一级",G2="十二级"),"五通一平","七通一平")</f>
        <v>七通一平</v>
      </c>
      <c r="E17" s="2934">
        <f>SUMPRODUCT((修正!B1:M1=G2)*(修正!B15:M15))</f>
        <v>300</v>
      </c>
      <c r="F17" s="2935" t="s">
        <v>3099</v>
      </c>
      <c r="G17" s="2936">
        <f>SUM(H17:O17)</f>
        <v>210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15</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2881</v>
      </c>
      <c r="C18" s="2940">
        <f>SUMIF(修正!C18:C39,E3,修正!E18:E39)</f>
        <v>1.1000000000000001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2882</v>
      </c>
      <c r="C19" s="924">
        <f>ROUND(IF(H19="按公示增长率计算",SUMPRODUCT((地价!A3:A29=YEAR(G19)&amp;"-"&amp;ROUNDUP(MONTH(G19)/3,0))*(地价!X2:AB2=E2)*(地价!X3:AB29)),IF(H19="地价指数",M20/M19,(1+I19)^O19)),4)</f>
        <v>1.3649</v>
      </c>
      <c r="D19" s="2790" t="s">
        <v>2883</v>
      </c>
      <c r="E19" s="925">
        <v>41640</v>
      </c>
      <c r="F19" s="2790" t="s">
        <v>2884</v>
      </c>
      <c r="G19" s="926">
        <f>'数据-取费表'!B2</f>
        <v>43851</v>
      </c>
      <c r="H19" s="2791" t="s">
        <v>3100</v>
      </c>
      <c r="I19" s="927" t="str">
        <f>IF(H19="季度增幅（自定义）",SUMIF(N21:N24,E2,O21:O24),"")</f>
        <v/>
      </c>
      <c r="J19" s="2788"/>
      <c r="K19" s="1377"/>
      <c r="L19" s="2792" t="s">
        <v>2885</v>
      </c>
      <c r="M19" s="1734">
        <f>ROUND(SUMIF(地价!B2:F2,E2,地价!B29:F29),0)</f>
        <v>258</v>
      </c>
      <c r="N19" s="2793" t="s">
        <v>2886</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2887</v>
      </c>
      <c r="C20" s="929">
        <f ca="1">ROUND(POWER(1+G20,J20-I20)*(POWER(1+G20,I20)-1)/(POWER(1+G20,J20)-1),4)</f>
        <v>0.83309999999999995</v>
      </c>
      <c r="D20" s="2799" t="s">
        <v>2888</v>
      </c>
      <c r="E20" s="1768">
        <f ca="1">存贷款利率!D4/100</f>
        <v>4.3499999999999997E-2</v>
      </c>
      <c r="F20" s="2799" t="s">
        <v>2880</v>
      </c>
      <c r="G20" s="934">
        <f ca="1">SUMIF(M26:P26,E2,M28:P28)</f>
        <v>5.3999999999999999E-2</v>
      </c>
      <c r="H20" s="2799" t="s">
        <v>2889</v>
      </c>
      <c r="I20" s="935">
        <f>SUMIF('数据-取费表'!C6:C15,E2,'数据-取费表'!F6:F15)/COUNTIF('数据-取费表'!C6:C15,E2)</f>
        <v>25</v>
      </c>
      <c r="J20" s="936">
        <f>IF(E2="住宅",70,IF(E2="商业",40,50))</f>
        <v>40</v>
      </c>
      <c r="K20" s="1377"/>
      <c r="L20" s="2800" t="s">
        <v>2890</v>
      </c>
      <c r="M20" s="1735">
        <f>ROUND(SUMPRODUCT((地价!A4:A29=YEAR(G19)&amp;"-"&amp;ROUNDUP(MONTH(G19)/3,0))*(地价!B2:F2=E2)*(地价!B4:F29)),0)</f>
        <v>352</v>
      </c>
      <c r="N20" s="2801" t="s">
        <v>2891</v>
      </c>
      <c r="O20" s="2802" t="s">
        <v>2892</v>
      </c>
      <c r="P20" s="2803" t="s">
        <v>2893</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2894</v>
      </c>
      <c r="C21" s="937">
        <f>IF(B21="容积率修正",IF(G3&lt;=10,D22,J22),C23)</f>
        <v>1.8629</v>
      </c>
      <c r="D21" s="2806"/>
      <c r="E21" s="2806"/>
      <c r="F21" s="2806"/>
      <c r="G21" s="2806"/>
      <c r="H21" s="2806"/>
      <c r="I21" s="2806"/>
      <c r="J21" s="2807"/>
      <c r="K21" s="1377"/>
      <c r="N21" s="2808" t="s">
        <v>2895</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25">
      <c r="A22" s="2665" t="s">
        <v>2896</v>
      </c>
      <c r="B22" s="2809" t="s">
        <v>2897</v>
      </c>
      <c r="C22" s="1810" t="s">
        <v>2898</v>
      </c>
      <c r="D22" s="1810">
        <f>IF(E22=G22,F22,IF(G3&lt;=10,ROUND(F22+(H22-F22)*(G3-E22)/(G22-E22),4),"——"))</f>
        <v>1.4262999999999999</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1.4262999999999999</v>
      </c>
      <c r="I22" s="1810" t="s">
        <v>155</v>
      </c>
      <c r="J22" s="938" t="str">
        <f>IF(G3&gt;10,D113,"——")</f>
        <v>——</v>
      </c>
      <c r="K22" s="1377"/>
      <c r="N22" s="2808" t="s">
        <v>2899</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5" t="s">
        <v>2900</v>
      </c>
      <c r="B23" s="2810" t="s">
        <v>2901</v>
      </c>
      <c r="C23" s="1013">
        <f>ROUND(IF(G3&gt;1,IF(I3&lt;7,SUMPRODUCT((B93:B98=I3)*(C92:N92=G2)*(C93:N98)),SUMIF(C92:N92,G2,C100:N100)),IF(I3&lt;7,SUMPRODUCT((B102:B107=I3)*(C92:N92=G2)*(C102:N107)),SUMIF(C92:N92,G2,C109:N109))),4)</f>
        <v>1.8629</v>
      </c>
      <c r="D23" s="2774"/>
      <c r="E23" s="2774"/>
      <c r="F23" s="2811"/>
      <c r="G23" s="2812"/>
      <c r="H23" s="2813"/>
      <c r="I23" s="2814"/>
      <c r="J23" s="2815"/>
      <c r="K23" s="1370"/>
      <c r="N23" s="2808" t="s">
        <v>2902</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2903</v>
      </c>
      <c r="C24" s="924">
        <f>SUMIF(A45:A88,E2,B45:B88)</f>
        <v>1.0509999999999999</v>
      </c>
      <c r="D24" s="2787"/>
      <c r="E24" s="2816"/>
      <c r="F24" s="2816"/>
      <c r="G24" s="2816"/>
      <c r="H24" s="2816"/>
      <c r="I24" s="2816"/>
      <c r="J24" s="2817"/>
      <c r="K24" s="1377"/>
      <c r="N24" s="2818" t="s">
        <v>2904</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2905</v>
      </c>
      <c r="C25" s="930"/>
      <c r="D25" s="2749"/>
      <c r="E25" s="2749"/>
      <c r="F25" s="2820"/>
      <c r="G25" s="2749"/>
      <c r="H25" s="2749"/>
      <c r="I25" s="2749"/>
      <c r="J25" s="2750"/>
      <c r="K25" s="1370"/>
      <c r="N25" s="2821" t="s">
        <v>2906</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2"/>
      <c r="B26" s="2809" t="s">
        <v>2907</v>
      </c>
      <c r="C26" s="206">
        <f ca="1">E29+SUM(E33:E39)</f>
        <v>671</v>
      </c>
      <c r="D26" s="2823"/>
      <c r="E26" s="2774"/>
      <c r="F26" s="2824"/>
      <c r="G26" s="2774"/>
      <c r="H26" s="2774"/>
      <c r="I26" s="2774"/>
      <c r="J26" s="2825"/>
      <c r="K26" s="1370"/>
      <c r="L26" s="2778" t="s">
        <v>2806</v>
      </c>
      <c r="M26" s="920" t="s">
        <v>2870</v>
      </c>
      <c r="N26" s="920" t="s">
        <v>2871</v>
      </c>
      <c r="O26" s="920" t="s">
        <v>2872</v>
      </c>
      <c r="P26" s="2779" t="s">
        <v>2873</v>
      </c>
      <c r="R26" s="1376"/>
      <c r="S26" s="1376"/>
      <c r="T26" s="1371"/>
      <c r="U26" s="1371"/>
      <c r="V26" s="1371"/>
      <c r="W26" s="1370"/>
      <c r="X26" s="1370"/>
      <c r="Y26" s="1370"/>
      <c r="Z26" s="1377"/>
      <c r="AA26" s="1378"/>
      <c r="AB26" s="1378"/>
      <c r="AC26" s="1378"/>
      <c r="AD26" s="1378"/>
    </row>
    <row r="27" spans="1:37" ht="15.75" thickBot="1">
      <c r="A27" s="2822"/>
      <c r="B27" s="2826" t="s">
        <v>2908</v>
      </c>
      <c r="C27" s="931">
        <f ca="1">E30+SUM(I33:I39)</f>
        <v>168</v>
      </c>
      <c r="D27" s="2827"/>
      <c r="E27" s="2828"/>
      <c r="F27" s="2829"/>
      <c r="G27" s="2828"/>
      <c r="H27" s="2828"/>
      <c r="I27" s="2828"/>
      <c r="J27" s="2830"/>
      <c r="K27" s="1370"/>
      <c r="L27" s="2782"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2909</v>
      </c>
      <c r="C28" s="2833" t="s">
        <v>2910</v>
      </c>
      <c r="D28" s="2833" t="s">
        <v>2911</v>
      </c>
      <c r="E28" s="2834" t="s">
        <v>2912</v>
      </c>
      <c r="F28" s="2835"/>
      <c r="G28" s="2762"/>
      <c r="H28" s="2762"/>
      <c r="I28" s="2762"/>
      <c r="J28" s="2763"/>
      <c r="K28" s="1370"/>
      <c r="L28" s="2783"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2913</v>
      </c>
      <c r="C29" s="206">
        <f ca="1">ROUND(C5*C18*C19*C20*C21*C24,0)</f>
        <v>31087</v>
      </c>
      <c r="D29" s="2838"/>
      <c r="E29" s="942">
        <f ca="1">ROUND(C29*D29/10000,0)</f>
        <v>0</v>
      </c>
      <c r="F29" s="2839" t="s">
        <v>2914</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2915</v>
      </c>
      <c r="C30" s="229">
        <f ca="1">ROUND(IF(E2="工业",C29*M39,C29*M38),0)</f>
        <v>7772</v>
      </c>
      <c r="D30" s="2844"/>
      <c r="E30" s="942">
        <f ca="1">ROUND(C30*D30/10000,0)</f>
        <v>0</v>
      </c>
      <c r="F30" s="2845" t="s">
        <v>2916</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2917</v>
      </c>
      <c r="C31" s="2850" t="s">
        <v>2918</v>
      </c>
      <c r="D31" s="2762"/>
      <c r="E31" s="2850"/>
      <c r="F31" s="2850"/>
      <c r="G31" s="2760" t="s">
        <v>2919</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2910</v>
      </c>
      <c r="D32" s="498" t="s">
        <v>2911</v>
      </c>
      <c r="E32" s="498" t="s">
        <v>2912</v>
      </c>
      <c r="F32" s="388" t="s">
        <v>2920</v>
      </c>
      <c r="G32" s="2853" t="s">
        <v>2910</v>
      </c>
      <c r="H32" s="2853" t="s">
        <v>2911</v>
      </c>
      <c r="I32" s="2853"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7" t="s">
        <v>2921</v>
      </c>
      <c r="B33" s="2854" t="s">
        <v>2922</v>
      </c>
      <c r="C33" s="206">
        <f ca="1">ROUND(D5*C19*C20*C24*F33,0)</f>
        <v>10619</v>
      </c>
      <c r="D33" s="2838">
        <f>'数据-取费表'!V22</f>
        <v>631.53</v>
      </c>
      <c r="E33" s="200">
        <f ca="1">ROUND(C33*D33/10000,0)</f>
        <v>671</v>
      </c>
      <c r="F33" s="200">
        <f>SUMIF(修正!A45:A56,G2,修正!B45:B56)</f>
        <v>0.7</v>
      </c>
      <c r="G33" s="200">
        <f t="shared" ref="G33" ca="1" si="6">ROUND(IF(E2="工业",C33*$M$39,C33*$M$38),0)</f>
        <v>2655</v>
      </c>
      <c r="H33" s="200">
        <f>D33</f>
        <v>631.53</v>
      </c>
      <c r="I33" s="200">
        <f ca="1">ROUND(G33*H33/10000,0)</f>
        <v>168</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6" t="s">
        <v>2923</v>
      </c>
      <c r="C34" s="206">
        <f ca="1">ROUND(D5*C19*C20*C24*F34,0)</f>
        <v>6068</v>
      </c>
      <c r="D34" s="2838"/>
      <c r="E34" s="200">
        <f t="shared" ref="E34:E39" ca="1" si="7">ROUND(C34*D34/10000,0)</f>
        <v>0</v>
      </c>
      <c r="F34" s="200">
        <f>SUMIF(修正!A45:A56,G2,修正!C45:C56)</f>
        <v>0.4</v>
      </c>
      <c r="G34" s="200">
        <f ca="1">ROUND(IF(E2="工业",C34*$M$39,C34*$M$38),0)</f>
        <v>1517</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6" t="s">
        <v>2924</v>
      </c>
      <c r="C35" s="206">
        <f ca="1">ROUND(D5*C19*C20*C24*F35,0)</f>
        <v>4248</v>
      </c>
      <c r="D35" s="2838"/>
      <c r="E35" s="200">
        <f t="shared" ca="1" si="7"/>
        <v>0</v>
      </c>
      <c r="F35" s="200">
        <f>SUMIF(修正!A45:A56,G2,修正!D45:D56)</f>
        <v>0.28000000000000003</v>
      </c>
      <c r="G35" s="200">
        <f ca="1">ROUND(IF(E2="工业",C35*$M$39,C35*$M$38),0)</f>
        <v>1062</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59"/>
      <c r="B36" s="2766" t="s">
        <v>2925</v>
      </c>
      <c r="C36" s="206">
        <f ca="1">ROUND(D5*C19*C20*C24*F36,0)</f>
        <v>3793</v>
      </c>
      <c r="D36" s="2838"/>
      <c r="E36" s="200">
        <f t="shared" ca="1" si="7"/>
        <v>0</v>
      </c>
      <c r="F36" s="200">
        <f>SUMIF(修正!A45:A56,G2,修正!E45:E56)</f>
        <v>0.25</v>
      </c>
      <c r="G36" s="200">
        <f ca="1">ROUND(IF(E2="工业",C36*$M$39,C36*$M$38),0)</f>
        <v>948</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2926</v>
      </c>
      <c r="C37" s="200">
        <f ca="1">ROUND(D5*C19*C20*C24*F37,0)</f>
        <v>3793</v>
      </c>
      <c r="D37" s="2838"/>
      <c r="E37" s="200">
        <f t="shared" ca="1" si="7"/>
        <v>0</v>
      </c>
      <c r="F37" s="206">
        <f>SUMIF(修正!A45:A56,G2,修正!F45:F56)</f>
        <v>0.25</v>
      </c>
      <c r="G37" s="200">
        <f ca="1">ROUND(IF(E2="工业",C37*$M$39,C37*$M$38),0)</f>
        <v>948</v>
      </c>
      <c r="H37" s="200">
        <f t="shared" si="8"/>
        <v>0</v>
      </c>
      <c r="I37" s="200">
        <f t="shared" ca="1" si="9"/>
        <v>0</v>
      </c>
      <c r="J37" s="2855"/>
      <c r="K37" s="1370"/>
      <c r="L37" s="2857" t="s">
        <v>2927</v>
      </c>
      <c r="M37" s="2858"/>
      <c r="N37" s="1370"/>
      <c r="O37" s="1370"/>
      <c r="P37" s="1370"/>
      <c r="Q37" s="1370"/>
      <c r="R37" s="1370"/>
      <c r="S37" s="1370"/>
      <c r="T37" s="1370"/>
      <c r="U37" s="1370"/>
      <c r="V37" s="1370"/>
      <c r="W37" s="1370"/>
      <c r="X37" s="1370"/>
      <c r="Y37" s="1370"/>
      <c r="Z37" s="1371"/>
    </row>
    <row r="38" spans="1:37">
      <c r="A38" s="2856"/>
      <c r="B38" s="2766" t="s">
        <v>2928</v>
      </c>
      <c r="C38" s="200">
        <f ca="1">ROUND(D5*C19*C41*C24*F38,0)</f>
        <v>3589</v>
      </c>
      <c r="D38" s="2838"/>
      <c r="E38" s="200">
        <f t="shared" ca="1" si="7"/>
        <v>0</v>
      </c>
      <c r="F38" s="206">
        <f>SUMIF(修正!A45:A56,G2,修正!G45:G56)</f>
        <v>0.25</v>
      </c>
      <c r="G38" s="200">
        <f ca="1">ROUND(IF(E2="工业",C38*$M$39,C38*$M$38),0)</f>
        <v>897</v>
      </c>
      <c r="H38" s="200">
        <f t="shared" si="8"/>
        <v>0</v>
      </c>
      <c r="I38" s="200">
        <f t="shared" ca="1" si="9"/>
        <v>0</v>
      </c>
      <c r="J38" s="2855"/>
      <c r="K38" s="1370"/>
      <c r="L38" s="1887" t="s">
        <v>2929</v>
      </c>
      <c r="M38" s="2859">
        <v>0.25</v>
      </c>
      <c r="N38" s="1370"/>
      <c r="O38" s="1370"/>
      <c r="P38" s="1370"/>
      <c r="Q38" s="1370"/>
      <c r="R38" s="1370"/>
      <c r="S38" s="1370"/>
      <c r="T38" s="1370"/>
      <c r="U38" s="1370"/>
      <c r="V38" s="1370"/>
      <c r="W38" s="1370"/>
      <c r="X38" s="1370"/>
      <c r="Y38" s="1370"/>
      <c r="Z38" s="1371"/>
    </row>
    <row r="39" spans="1:37" ht="13.5" thickBot="1">
      <c r="A39" s="2842"/>
      <c r="B39" s="2860" t="s">
        <v>2930</v>
      </c>
      <c r="C39" s="229">
        <f ca="1">ROUND(D5*C19*C41*C24*F39,0)</f>
        <v>2871</v>
      </c>
      <c r="D39" s="2844"/>
      <c r="E39" s="229">
        <f t="shared" ca="1" si="7"/>
        <v>0</v>
      </c>
      <c r="F39" s="932">
        <f>SUMIF(修正!A45:A56,G2,修正!H45:H56)</f>
        <v>0.2</v>
      </c>
      <c r="G39" s="229">
        <f ca="1">ROUND(IF(E2="工业",C39*$M$39,C39*$M$38),0)</f>
        <v>718</v>
      </c>
      <c r="H39" s="229">
        <f t="shared" si="8"/>
        <v>0</v>
      </c>
      <c r="I39" s="229">
        <f t="shared" ca="1" si="9"/>
        <v>0</v>
      </c>
      <c r="J39" s="2861"/>
      <c r="K39" s="1370"/>
      <c r="L39" s="2862" t="s">
        <v>2873</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3038</v>
      </c>
      <c r="C41" s="388">
        <f ca="1">ROUND(POWER(1+E41,H41-G41)*(POWER(1+E41,G41)-1)/(POWER(1+E41,H41)-1),4)</f>
        <v>0.7883</v>
      </c>
      <c r="D41" s="200" t="s">
        <v>2880</v>
      </c>
      <c r="E41" s="2930">
        <f ca="1">G20</f>
        <v>5.3999999999999999E-2</v>
      </c>
      <c r="F41" s="200" t="s">
        <v>2889</v>
      </c>
      <c r="G41" s="218">
        <f>'数据-取费表'!F6</f>
        <v>25</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2931</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2932</v>
      </c>
      <c r="B46" s="2868">
        <f>1+E48</f>
        <v>1.0509999999999999</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2933</v>
      </c>
      <c r="B47" s="1809" t="s">
        <v>2934</v>
      </c>
      <c r="C47" s="1809" t="s">
        <v>2935</v>
      </c>
      <c r="D47" s="1809" t="s">
        <v>2936</v>
      </c>
      <c r="E47" s="819" t="s">
        <v>2937</v>
      </c>
      <c r="F47" s="2872" t="s">
        <v>2938</v>
      </c>
      <c r="G47" s="1809" t="s">
        <v>754</v>
      </c>
      <c r="H47" s="2873"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24.75">
      <c r="A48" s="2871" t="s">
        <v>2941</v>
      </c>
      <c r="B48" s="2874" t="str">
        <f>估价对象房地状况!C4</f>
        <v>较好</v>
      </c>
      <c r="C48" s="2771" t="s">
        <v>3090</v>
      </c>
      <c r="D48" s="1286">
        <f t="shared" ref="D48:D56" si="10">SUMIF($J$47:$N$47,C48,J48:N48)</f>
        <v>1.6500000000000001E-2</v>
      </c>
      <c r="E48" s="821">
        <f>ROUND(SUM(D48:D56),4)</f>
        <v>5.0999999999999997E-2</v>
      </c>
      <c r="F48" s="2502">
        <f>IF(E2="商业",SUMIF(L1:L12,G2,N1:N12),"——")</f>
        <v>0.1</v>
      </c>
      <c r="G48" s="1284">
        <v>1.6500000000000001E-2</v>
      </c>
      <c r="H48" s="1288">
        <f t="shared" ref="H48:H56" si="11">IFERROR(ROUNDDOWN($F$48*I48/2,4),"——")</f>
        <v>1.6500000000000001E-2</v>
      </c>
      <c r="I48" s="820">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14.25">
      <c r="A49" s="2871" t="s">
        <v>2942</v>
      </c>
      <c r="B49" s="2875" t="str">
        <f>估价对象房地状况!C18</f>
        <v>较好</v>
      </c>
      <c r="C49" s="2771" t="s">
        <v>3090</v>
      </c>
      <c r="D49" s="1286">
        <f t="shared" si="10"/>
        <v>1.2500000000000001E-2</v>
      </c>
      <c r="E49" s="822"/>
      <c r="F49" s="2502"/>
      <c r="G49" s="1284">
        <v>1.2500000000000001E-2</v>
      </c>
      <c r="H49" s="1288">
        <f t="shared" si="11"/>
        <v>1.2500000000000001E-2</v>
      </c>
      <c r="I49" s="820">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871" t="s">
        <v>2943</v>
      </c>
      <c r="B50" s="2875">
        <f>估价对象房地状况!C19</f>
        <v>0</v>
      </c>
      <c r="C50" s="2771" t="s">
        <v>3090</v>
      </c>
      <c r="D50" s="1286">
        <f t="shared" si="10"/>
        <v>2.5000000000000001E-3</v>
      </c>
      <c r="E50" s="822"/>
      <c r="F50" s="2502"/>
      <c r="G50" s="1284">
        <v>2.5000000000000001E-3</v>
      </c>
      <c r="H50" s="1288">
        <f t="shared" si="11"/>
        <v>2.5000000000000001E-3</v>
      </c>
      <c r="I50" s="820">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36.75">
      <c r="A51" s="2871" t="s">
        <v>2944</v>
      </c>
      <c r="B51" s="2876" t="s">
        <v>2945</v>
      </c>
      <c r="C51" s="2771" t="s">
        <v>3090</v>
      </c>
      <c r="D51" s="1286">
        <f t="shared" si="10"/>
        <v>2.5000000000000001E-3</v>
      </c>
      <c r="E51" s="822"/>
      <c r="F51" s="2502"/>
      <c r="G51" s="1284">
        <v>2.5000000000000001E-3</v>
      </c>
      <c r="H51" s="1288">
        <f t="shared" si="11"/>
        <v>2.5000000000000001E-3</v>
      </c>
      <c r="I51" s="820">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871" t="s">
        <v>2946</v>
      </c>
      <c r="B52" s="2875">
        <f>估价对象房地状况!C24</f>
        <v>0</v>
      </c>
      <c r="C52" s="2771" t="s">
        <v>3101</v>
      </c>
      <c r="D52" s="1286">
        <f t="shared" si="10"/>
        <v>0</v>
      </c>
      <c r="E52" s="822"/>
      <c r="F52" s="2502"/>
      <c r="G52" s="1284">
        <v>4.0000000000000001E-3</v>
      </c>
      <c r="H52" s="1288">
        <f t="shared" si="11"/>
        <v>4.0000000000000001E-3</v>
      </c>
      <c r="I52" s="820">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24">
      <c r="A53" s="2871" t="s">
        <v>2947</v>
      </c>
      <c r="B53" s="2877" t="s">
        <v>2948</v>
      </c>
      <c r="C53" s="2771" t="s">
        <v>3090</v>
      </c>
      <c r="D53" s="1286">
        <f t="shared" si="10"/>
        <v>1.5E-3</v>
      </c>
      <c r="E53" s="822"/>
      <c r="F53" s="2502"/>
      <c r="G53" s="1284">
        <v>1.5E-3</v>
      </c>
      <c r="H53" s="1288">
        <f t="shared" si="11"/>
        <v>1.5E-3</v>
      </c>
      <c r="I53" s="820">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4">
      <c r="A54" s="2878" t="s">
        <v>2949</v>
      </c>
      <c r="B54" s="1725" t="str">
        <f>估价对象房地状况!C21</f>
        <v>较好</v>
      </c>
      <c r="C54" s="2771" t="s">
        <v>3090</v>
      </c>
      <c r="D54" s="1286">
        <f t="shared" si="10"/>
        <v>2.5000000000000001E-3</v>
      </c>
      <c r="E54" s="822"/>
      <c r="F54" s="2502"/>
      <c r="G54" s="1284">
        <v>2.5000000000000001E-3</v>
      </c>
      <c r="H54" s="1288">
        <f t="shared" si="11"/>
        <v>2.5000000000000001E-3</v>
      </c>
      <c r="I54" s="820">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4">
      <c r="A55" s="2878" t="s">
        <v>2950</v>
      </c>
      <c r="B55" s="2875" t="str">
        <f>估价对象房地状况!C22</f>
        <v>七通</v>
      </c>
      <c r="C55" s="2771" t="s">
        <v>3102</v>
      </c>
      <c r="D55" s="1286">
        <f t="shared" si="10"/>
        <v>0.01</v>
      </c>
      <c r="E55" s="822"/>
      <c r="F55" s="2502"/>
      <c r="G55" s="1284">
        <v>5.0000000000000001E-3</v>
      </c>
      <c r="H55" s="1288">
        <f t="shared" si="11"/>
        <v>5.0000000000000001E-3</v>
      </c>
      <c r="I55" s="820">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24.75" thickBot="1">
      <c r="A56" s="2879" t="s">
        <v>2951</v>
      </c>
      <c r="B56" s="2880" t="str">
        <f>估价对象房地状况!C20</f>
        <v>较好</v>
      </c>
      <c r="C56" s="2771" t="s">
        <v>3090</v>
      </c>
      <c r="D56" s="1286">
        <f t="shared" si="10"/>
        <v>3.0000000000000001E-3</v>
      </c>
      <c r="E56" s="825"/>
      <c r="F56" s="2502"/>
      <c r="G56" s="1284">
        <v>3.0000000000000001E-3</v>
      </c>
      <c r="H56" s="1288">
        <f t="shared" si="11"/>
        <v>3.0000000000000001E-3</v>
      </c>
      <c r="I56" s="824">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5">
      <c r="A57" s="2867" t="s">
        <v>2952</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2933</v>
      </c>
      <c r="B58" s="1809"/>
      <c r="C58" s="1809" t="s">
        <v>2935</v>
      </c>
      <c r="D58" s="1809" t="s">
        <v>2936</v>
      </c>
      <c r="E58" s="819" t="s">
        <v>2937</v>
      </c>
      <c r="F58" s="2872" t="s">
        <v>2953</v>
      </c>
      <c r="G58" s="1809" t="s">
        <v>754</v>
      </c>
      <c r="H58" s="2873"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c r="A59" s="2871" t="s">
        <v>2954</v>
      </c>
      <c r="B59" s="2874">
        <f>估价对象房地状况!C17</f>
        <v>0</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2942</v>
      </c>
      <c r="B60" s="2875" t="str">
        <f>估价对象房地状况!C18</f>
        <v>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2943</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2944</v>
      </c>
      <c r="B62" s="2876" t="s">
        <v>2945</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2946</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2947</v>
      </c>
      <c r="B64" s="2877" t="s">
        <v>2948</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2949</v>
      </c>
      <c r="B65" s="1725" t="str">
        <f>估价对象房地状况!C21</f>
        <v>较好</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2950</v>
      </c>
      <c r="B66" s="1725" t="str">
        <f>估价对象房地状况!C22</f>
        <v>七通</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2951</v>
      </c>
      <c r="B67" s="2881" t="str">
        <f>估价对象房地状况!C20</f>
        <v>较好</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2955</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2933</v>
      </c>
      <c r="B69" s="1809"/>
      <c r="C69" s="1809" t="s">
        <v>2935</v>
      </c>
      <c r="D69" s="1809" t="s">
        <v>2936</v>
      </c>
      <c r="E69" s="819" t="s">
        <v>2937</v>
      </c>
      <c r="F69" s="2872" t="s">
        <v>2953</v>
      </c>
      <c r="G69" s="1809" t="s">
        <v>754</v>
      </c>
      <c r="H69" s="2873"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c r="A70" s="2871" t="s">
        <v>2956</v>
      </c>
      <c r="B70" s="2874">
        <f>估价对象房地状况!C15</f>
        <v>0</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2942</v>
      </c>
      <c r="B71" s="2875" t="str">
        <f>估价对象房地状况!C18</f>
        <v>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2943</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2957</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2949</v>
      </c>
      <c r="B74" s="1725" t="str">
        <f>估价对象房地状况!C21</f>
        <v>较好</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2950</v>
      </c>
      <c r="B75" s="1725" t="str">
        <f>估价对象房地状况!C22</f>
        <v>七通</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2947</v>
      </c>
      <c r="B76" s="2877" t="s">
        <v>2948</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2951</v>
      </c>
      <c r="B77" s="2874" t="str">
        <f>估价对象房地状况!C20</f>
        <v>较好</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2958</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2959</v>
      </c>
      <c r="B79" s="2868">
        <f>1+E81</f>
        <v>1</v>
      </c>
      <c r="C79" s="814"/>
      <c r="D79" s="814"/>
      <c r="E79" s="815"/>
      <c r="F79" s="2870"/>
      <c r="G79" s="6"/>
      <c r="H79" s="6"/>
      <c r="I79" s="6"/>
      <c r="J79" s="7"/>
      <c r="K79" s="7"/>
      <c r="L79" s="7"/>
      <c r="M79" s="7"/>
      <c r="N79" s="7"/>
      <c r="Z79" s="2721"/>
      <c r="AA79" s="2789"/>
      <c r="AG79" s="1372"/>
      <c r="AK79" s="2789"/>
    </row>
    <row r="80" spans="1:37" ht="24.75">
      <c r="A80" s="2871" t="s">
        <v>2933</v>
      </c>
      <c r="B80" s="1809"/>
      <c r="C80" s="1809" t="s">
        <v>2935</v>
      </c>
      <c r="D80" s="1809" t="s">
        <v>2936</v>
      </c>
      <c r="E80" s="819" t="s">
        <v>2937</v>
      </c>
      <c r="F80" s="2872" t="s">
        <v>2953</v>
      </c>
      <c r="G80" s="1809" t="s">
        <v>754</v>
      </c>
      <c r="H80" s="2873" t="s">
        <v>2939</v>
      </c>
      <c r="I80" s="1809" t="s">
        <v>2940</v>
      </c>
      <c r="J80" s="603" t="s">
        <v>2589</v>
      </c>
      <c r="K80" s="603" t="s">
        <v>2590</v>
      </c>
      <c r="L80" s="603" t="s">
        <v>2591</v>
      </c>
      <c r="M80" s="603" t="s">
        <v>2592</v>
      </c>
      <c r="N80" s="603" t="s">
        <v>2593</v>
      </c>
      <c r="Z80" s="2721"/>
      <c r="AA80" s="2789"/>
      <c r="AG80" s="1372"/>
      <c r="AK80" s="2789"/>
    </row>
    <row r="81" spans="1:37" ht="38.25">
      <c r="A81" s="2871" t="s">
        <v>2960</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2942</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2943</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2957</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2949</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2950</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2947</v>
      </c>
      <c r="B87" s="2877" t="s">
        <v>2961</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2962</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51" t="s">
        <v>2963</v>
      </c>
      <c r="B90" s="3251"/>
      <c r="C90" s="3251"/>
      <c r="D90" s="3251"/>
      <c r="E90" s="3251"/>
      <c r="F90" s="3251"/>
      <c r="G90" s="3251"/>
      <c r="H90" s="3251"/>
      <c r="I90" s="3251"/>
      <c r="J90" s="3251"/>
      <c r="K90" s="2885"/>
      <c r="L90" s="2885"/>
      <c r="M90" s="2885"/>
      <c r="N90" s="2885"/>
    </row>
    <row r="91" spans="1:37">
      <c r="A91" s="3253" t="s">
        <v>2964</v>
      </c>
      <c r="B91" s="3253" t="s">
        <v>2965</v>
      </c>
      <c r="C91" s="2839" t="s">
        <v>2966</v>
      </c>
      <c r="D91" s="2840"/>
      <c r="E91" s="2840"/>
      <c r="F91" s="2840"/>
      <c r="G91" s="2840"/>
      <c r="H91" s="2840"/>
      <c r="I91" s="2840"/>
      <c r="J91" s="2886"/>
      <c r="K91" s="2887"/>
      <c r="L91" s="2887"/>
      <c r="M91" s="2887"/>
      <c r="N91" s="2887"/>
    </row>
    <row r="92" spans="1:37">
      <c r="A92" s="3253"/>
      <c r="B92" s="3253"/>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54" t="s">
        <v>2967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5"/>
      <c r="B99" s="2888" t="s">
        <v>2848</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56"/>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54" t="s">
        <v>2968</v>
      </c>
      <c r="B101" s="2892" t="s">
        <v>2969</v>
      </c>
      <c r="C101" s="2893">
        <f>$G$3</f>
        <v>1</v>
      </c>
      <c r="D101" s="2893">
        <f t="shared" ref="D101:N101" si="31">$G$3</f>
        <v>1</v>
      </c>
      <c r="E101" s="2893">
        <f t="shared" si="31"/>
        <v>1</v>
      </c>
      <c r="F101" s="2893">
        <f t="shared" si="31"/>
        <v>1</v>
      </c>
      <c r="G101" s="2893">
        <f t="shared" si="31"/>
        <v>1</v>
      </c>
      <c r="H101" s="2893">
        <f t="shared" si="31"/>
        <v>1</v>
      </c>
      <c r="I101" s="2893">
        <f t="shared" si="31"/>
        <v>1</v>
      </c>
      <c r="J101" s="2893">
        <f t="shared" si="31"/>
        <v>1</v>
      </c>
      <c r="K101" s="2893">
        <f t="shared" si="31"/>
        <v>1</v>
      </c>
      <c r="L101" s="2893">
        <f t="shared" si="31"/>
        <v>1</v>
      </c>
      <c r="M101" s="2893">
        <f t="shared" si="31"/>
        <v>1</v>
      </c>
      <c r="N101" s="2893">
        <f t="shared" si="31"/>
        <v>1</v>
      </c>
    </row>
    <row r="102" spans="1:14">
      <c r="A102" s="3255"/>
      <c r="B102" s="2888">
        <v>1</v>
      </c>
      <c r="C102" s="2889">
        <f>1.9362/C101</f>
        <v>1.9361999999999999</v>
      </c>
      <c r="D102" s="2889">
        <f>1.9362/D101</f>
        <v>1.9361999999999999</v>
      </c>
      <c r="E102" s="2889">
        <f>1.8629/E101</f>
        <v>1.8629</v>
      </c>
      <c r="F102" s="2889">
        <f>1.8629/F101</f>
        <v>1.8629</v>
      </c>
      <c r="G102" s="2889">
        <f>1.8629/G101</f>
        <v>1.8629</v>
      </c>
      <c r="H102" s="2889">
        <f>1.8629/H101</f>
        <v>1.8629</v>
      </c>
      <c r="I102" s="2889">
        <f>1.8629/I101</f>
        <v>1.8629</v>
      </c>
      <c r="J102" s="2889">
        <f>1.942/J101</f>
        <v>1.9419999999999999</v>
      </c>
      <c r="K102" s="2889">
        <f>1.942/K101</f>
        <v>1.9419999999999999</v>
      </c>
      <c r="L102" s="2889">
        <f>1.942/L101</f>
        <v>1.9419999999999999</v>
      </c>
      <c r="M102" s="2889">
        <f>1.942/M101</f>
        <v>1.9419999999999999</v>
      </c>
      <c r="N102" s="2889">
        <f>1.942/N101</f>
        <v>1.9419999999999999</v>
      </c>
    </row>
    <row r="103" spans="1:14">
      <c r="A103" s="3255"/>
      <c r="B103" s="2888">
        <v>2</v>
      </c>
      <c r="C103" s="2889">
        <f>1.4198/C101</f>
        <v>1.4198</v>
      </c>
      <c r="D103" s="2889">
        <f>1.4198/D101</f>
        <v>1.4198</v>
      </c>
      <c r="E103" s="2889">
        <f>1.3372/E101</f>
        <v>1.3371999999999999</v>
      </c>
      <c r="F103" s="2889">
        <f>1.3372/F101</f>
        <v>1.3371999999999999</v>
      </c>
      <c r="G103" s="2889">
        <f>1.3372/G101</f>
        <v>1.3371999999999999</v>
      </c>
      <c r="H103" s="2889">
        <f>1.3372/H101</f>
        <v>1.3371999999999999</v>
      </c>
      <c r="I103" s="2889">
        <f>1.3372/I101</f>
        <v>1.3371999999999999</v>
      </c>
      <c r="J103" s="2889">
        <f>1.2799/J101</f>
        <v>1.2799</v>
      </c>
      <c r="K103" s="2889">
        <f>1.2799/K101</f>
        <v>1.2799</v>
      </c>
      <c r="L103" s="2889">
        <f>1.2799/L101</f>
        <v>1.2799</v>
      </c>
      <c r="M103" s="2889">
        <f>1.2799/M101</f>
        <v>1.2799</v>
      </c>
      <c r="N103" s="2889">
        <f>1.2799/N101</f>
        <v>1.2799</v>
      </c>
    </row>
    <row r="104" spans="1:14">
      <c r="A104" s="3255"/>
      <c r="B104" s="2888">
        <v>3</v>
      </c>
      <c r="C104" s="2889">
        <f>1.1594/C101</f>
        <v>1.1594</v>
      </c>
      <c r="D104" s="2889">
        <f>1.1594/D101</f>
        <v>1.1594</v>
      </c>
      <c r="E104" s="2889">
        <f>1.0788/E101</f>
        <v>1.0788</v>
      </c>
      <c r="F104" s="2889">
        <f>1.0788/F101</f>
        <v>1.0788</v>
      </c>
      <c r="G104" s="2889">
        <f>1.0788/G101</f>
        <v>1.0788</v>
      </c>
      <c r="H104" s="2889">
        <f>1.0788/H101</f>
        <v>1.0788</v>
      </c>
      <c r="I104" s="2889">
        <f>1.0788/I101</f>
        <v>1.0788</v>
      </c>
      <c r="J104" s="2889">
        <f>1.0072/J101</f>
        <v>1.0072000000000001</v>
      </c>
      <c r="K104" s="2889">
        <f>1.0072/K101</f>
        <v>1.0072000000000001</v>
      </c>
      <c r="L104" s="2889">
        <f>1.0072/L101</f>
        <v>1.0072000000000001</v>
      </c>
      <c r="M104" s="2889">
        <f>1.0072/M101</f>
        <v>1.0072000000000001</v>
      </c>
      <c r="N104" s="2889">
        <f>1.0072/N101</f>
        <v>1.0072000000000001</v>
      </c>
    </row>
    <row r="105" spans="1:14">
      <c r="A105" s="3255"/>
      <c r="B105" s="2888">
        <v>4</v>
      </c>
      <c r="C105" s="2889">
        <f>0.9622/C101</f>
        <v>0.96220000000000006</v>
      </c>
      <c r="D105" s="2889">
        <f>0.9622/D101</f>
        <v>0.96220000000000006</v>
      </c>
      <c r="E105" s="2889">
        <f>0.8656/E101</f>
        <v>0.86560000000000004</v>
      </c>
      <c r="F105" s="2889">
        <f>0.8656/F101</f>
        <v>0.86560000000000004</v>
      </c>
      <c r="G105" s="2889">
        <f>0.8656/G101</f>
        <v>0.86560000000000004</v>
      </c>
      <c r="H105" s="2889">
        <f>0.8656/H101</f>
        <v>0.86560000000000004</v>
      </c>
      <c r="I105" s="2889">
        <f>0.8656/I101</f>
        <v>0.86560000000000004</v>
      </c>
      <c r="J105" s="2889">
        <f>0.7525/J101</f>
        <v>0.75249999999999995</v>
      </c>
      <c r="K105" s="2889">
        <f>0.7525/K101</f>
        <v>0.75249999999999995</v>
      </c>
      <c r="L105" s="2889">
        <f>0.7525/L101</f>
        <v>0.75249999999999995</v>
      </c>
      <c r="M105" s="2889">
        <f>0.7525/M101</f>
        <v>0.75249999999999995</v>
      </c>
      <c r="N105" s="2889">
        <f>0.7525/N101</f>
        <v>0.75249999999999995</v>
      </c>
    </row>
    <row r="106" spans="1:14">
      <c r="A106" s="3255"/>
      <c r="B106" s="2888">
        <v>5</v>
      </c>
      <c r="C106" s="2889">
        <f>0.8417/C101</f>
        <v>0.8417</v>
      </c>
      <c r="D106" s="2889">
        <f>0.8417/D101</f>
        <v>0.8417</v>
      </c>
      <c r="E106" s="2889">
        <f>0.7371/E101</f>
        <v>0.73709999999999998</v>
      </c>
      <c r="F106" s="2889">
        <f>0.7371/F101</f>
        <v>0.73709999999999998</v>
      </c>
      <c r="G106" s="2889">
        <f>0.7371/G101</f>
        <v>0.73709999999999998</v>
      </c>
      <c r="H106" s="2889">
        <f>0.7371/H101</f>
        <v>0.73709999999999998</v>
      </c>
      <c r="I106" s="2889">
        <f>0.7371/I101</f>
        <v>0.73709999999999998</v>
      </c>
      <c r="J106" s="2889">
        <f>0.5659/J101</f>
        <v>0.56589999999999996</v>
      </c>
      <c r="K106" s="2889">
        <f>0.5659/K101</f>
        <v>0.56589999999999996</v>
      </c>
      <c r="L106" s="2889">
        <f>0.5659/L101</f>
        <v>0.56589999999999996</v>
      </c>
      <c r="M106" s="2889">
        <f>0.5659/M101</f>
        <v>0.56589999999999996</v>
      </c>
      <c r="N106" s="2889">
        <f>0.5659/N101</f>
        <v>0.56589999999999996</v>
      </c>
    </row>
    <row r="107" spans="1:14">
      <c r="A107" s="3255"/>
      <c r="B107" s="2888">
        <v>6</v>
      </c>
      <c r="C107" s="2889">
        <f>0.7608/C101</f>
        <v>0.76080000000000003</v>
      </c>
      <c r="D107" s="2889">
        <f>0.7608/D101</f>
        <v>0.76080000000000003</v>
      </c>
      <c r="E107" s="2889">
        <f>0.6482/E101</f>
        <v>0.6482</v>
      </c>
      <c r="F107" s="2889">
        <f>0.6482/F101</f>
        <v>0.6482</v>
      </c>
      <c r="G107" s="2889">
        <f>0.6482/G101</f>
        <v>0.6482</v>
      </c>
      <c r="H107" s="2889">
        <f>0.6482/H101</f>
        <v>0.6482</v>
      </c>
      <c r="I107" s="2889">
        <f>0.6482/I101</f>
        <v>0.6482</v>
      </c>
      <c r="J107" s="2889">
        <f>0.4525/J101</f>
        <v>0.45250000000000001</v>
      </c>
      <c r="K107" s="2889">
        <f>0.4525/K101</f>
        <v>0.45250000000000001</v>
      </c>
      <c r="L107" s="2889">
        <f>0.4525/L101</f>
        <v>0.45250000000000001</v>
      </c>
      <c r="M107" s="2889">
        <f>0.4525/M101</f>
        <v>0.45250000000000001</v>
      </c>
      <c r="N107" s="2889">
        <f>0.4525/N101</f>
        <v>0.45250000000000001</v>
      </c>
    </row>
    <row r="108" spans="1:14">
      <c r="A108" s="3255"/>
      <c r="B108" s="3112" t="s">
        <v>2970</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56"/>
      <c r="B109" s="3113"/>
      <c r="C109" s="2891">
        <f>(-0.163*(C108^2)-0.59*C108+7617)*(10^(-4))/C101</f>
        <v>0.76162470000000004</v>
      </c>
      <c r="D109" s="2891">
        <f>(-0.163*(D108^2)-0.59*D108+7617)*(10^(-4))/D101</f>
        <v>0.76162470000000004</v>
      </c>
      <c r="E109" s="2891">
        <f>(-0.161*(E108^2)-7.509*E108+6533)*(10^(-4))/E101</f>
        <v>0.65253300000000003</v>
      </c>
      <c r="F109" s="2891">
        <f>(-0.161*(F108^2)-7.509*F108+6533)*(10^(-4))/F101</f>
        <v>0.65253300000000003</v>
      </c>
      <c r="G109" s="2891">
        <f>(-0.161*(G108^2)-7.509*G108+6533)*(10^(-4))/G101</f>
        <v>0.65253300000000003</v>
      </c>
      <c r="H109" s="2891">
        <f>(-0.161*(H108^2)-7.509*H108+6533)*(10^(-4))/H101</f>
        <v>0.65253300000000003</v>
      </c>
      <c r="I109" s="2891">
        <f>(-0.161*(I108^2)-7.509*I108+6533)*(10^(-4))/I101</f>
        <v>0.65253300000000003</v>
      </c>
      <c r="J109" s="2891">
        <f>(-0.214*(J108^2)-21.991*J108+4665)*(10^(-4))/J101</f>
        <v>0.46427950000000001</v>
      </c>
      <c r="K109" s="2891">
        <f>(-0.214*(K108^2)-21.991*K108+4665)*(10^(-4))/K101</f>
        <v>0.46427950000000001</v>
      </c>
      <c r="L109" s="2891">
        <f>(-0.214*(L108^2)-21.991*L108+4665)*(10^(-4))/L101</f>
        <v>0.46427950000000001</v>
      </c>
      <c r="M109" s="2891">
        <f>(-0.214*(M108^2)-21.991*M108+4665)*(10^(-4))/M101</f>
        <v>0.46427950000000001</v>
      </c>
      <c r="N109" s="2891">
        <f>(-0.214*(N108^2)-21.991*N108+4665)*(10^(-4))/N101</f>
        <v>0.46427950000000001</v>
      </c>
    </row>
    <row r="110" spans="1:14">
      <c r="A110" s="3252" t="s">
        <v>2971</v>
      </c>
      <c r="B110" s="3252"/>
      <c r="C110" s="3252"/>
      <c r="D110" s="3252"/>
      <c r="E110" s="3252"/>
      <c r="F110" s="3252"/>
      <c r="G110" s="3252"/>
      <c r="H110" s="3252"/>
      <c r="I110" s="3252"/>
      <c r="J110" s="3252"/>
      <c r="K110" s="2894"/>
      <c r="L110" s="2894"/>
      <c r="M110" s="2894"/>
      <c r="N110" s="2894"/>
    </row>
    <row r="112" spans="1:14" ht="13.5" thickBot="1"/>
    <row r="113" spans="1:13" ht="25.5" thickBot="1">
      <c r="A113" s="903" t="s">
        <v>2972</v>
      </c>
      <c r="B113" s="1287">
        <f>G3</f>
        <v>1</v>
      </c>
      <c r="C113" s="904" t="s">
        <v>2973</v>
      </c>
      <c r="D113" s="905">
        <f>SUMPRODUCT((A115:A118=F113)*(B114:M114=H113)*B115:M118)</f>
        <v>0.82220000000000004</v>
      </c>
      <c r="E113" s="2725" t="s">
        <v>2806</v>
      </c>
      <c r="F113" s="2896" t="str">
        <f>E2</f>
        <v>商业</v>
      </c>
      <c r="G113" s="2725" t="s">
        <v>2807</v>
      </c>
      <c r="H113" s="2896" t="str">
        <f>G2</f>
        <v>五级</v>
      </c>
      <c r="I113" s="2725"/>
      <c r="J113" s="2897"/>
      <c r="K113" s="2897"/>
      <c r="L113" s="2897"/>
      <c r="M113" s="2897"/>
    </row>
    <row r="114" spans="1:13">
      <c r="A114" s="908"/>
      <c r="B114" s="2898" t="s">
        <v>2974</v>
      </c>
      <c r="C114" s="2898" t="s">
        <v>2975</v>
      </c>
      <c r="D114" s="2898" t="s">
        <v>2976</v>
      </c>
      <c r="E114" s="2899" t="s">
        <v>2977</v>
      </c>
      <c r="F114" s="2899" t="s">
        <v>2978</v>
      </c>
      <c r="G114" s="2899" t="s">
        <v>2979</v>
      </c>
      <c r="H114" s="2900" t="s">
        <v>2980</v>
      </c>
      <c r="I114" s="2900" t="s">
        <v>2981</v>
      </c>
      <c r="J114" s="2901" t="s">
        <v>2982</v>
      </c>
      <c r="K114" s="2901" t="s">
        <v>2983</v>
      </c>
      <c r="L114" s="2901" t="s">
        <v>2984</v>
      </c>
      <c r="M114" s="2902" t="s">
        <v>2985</v>
      </c>
    </row>
    <row r="115" spans="1:13">
      <c r="A115" s="909" t="s">
        <v>2870</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2871</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2872</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2873</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北京市石景山区玉泉西里二区1号楼-1至2层商业05号出让国有建设用地使用权及在建建筑物房地产抵押价值预评估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1" t="str">
        <f>项目基本情况!B5</f>
        <v>朱元忠</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42" sqref="J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7</v>
      </c>
    </row>
    <row r="2" spans="1:9" s="244" customFormat="1" ht="18" customHeight="1">
      <c r="A2" s="245" t="s">
        <v>2319</v>
      </c>
      <c r="B2" s="246">
        <f ca="1">IF(D2="——",C52,C52-E2)</f>
        <v>6259</v>
      </c>
      <c r="C2" s="243" t="s">
        <v>2320</v>
      </c>
      <c r="D2" s="2548" t="s">
        <v>70</v>
      </c>
      <c r="E2" s="1440" t="e">
        <f ca="1">SUMIF(INDIRECT("'"&amp;G2&amp;"'"&amp;"!A:A"),"承租人权益价值",INDIRECT("'"&amp;G2&amp;"'"&amp;"!c:c"))</f>
        <v>#REF!</v>
      </c>
      <c r="F2" s="2549" t="s">
        <v>2320</v>
      </c>
      <c r="G2" s="2550"/>
    </row>
    <row r="3" spans="1:9" s="244" customFormat="1" ht="18" customHeight="1" thickBot="1">
      <c r="A3" s="247" t="s">
        <v>2321</v>
      </c>
      <c r="B3" s="248">
        <f ca="1">ROUND(B2*10000/(IF(B1="",'数据-汇总表'!E3,INDIRECT("'数据-取费表'!k"&amp;$G$1))),0)</f>
        <v>33036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4204</v>
      </c>
      <c r="D5" s="255" t="s">
        <v>2326</v>
      </c>
      <c r="E5" s="256" t="s">
        <v>2327</v>
      </c>
      <c r="F5" s="256" t="s">
        <v>2328</v>
      </c>
      <c r="G5" s="257"/>
    </row>
    <row r="6" spans="1:9" s="258" customFormat="1" ht="13.5" customHeight="1">
      <c r="A6" s="949" t="s">
        <v>2329</v>
      </c>
      <c r="B6" s="259" t="s">
        <v>2330</v>
      </c>
      <c r="C6" s="260">
        <f ca="1">基准地价修正!V2+基准地价修正!V3+基准地价修正!E33</f>
        <v>4043</v>
      </c>
      <c r="D6" s="261"/>
      <c r="E6" s="262"/>
      <c r="F6" s="262"/>
      <c r="G6" s="263"/>
    </row>
    <row r="7" spans="1:9" s="258" customFormat="1" ht="13.5" customHeight="1">
      <c r="A7" s="949" t="s">
        <v>2331</v>
      </c>
      <c r="B7" s="259" t="s">
        <v>2332</v>
      </c>
      <c r="C7" s="264">
        <f ca="1">ROUND(C6*F7,0)</f>
        <v>123</v>
      </c>
      <c r="D7" s="264"/>
      <c r="E7" s="262"/>
      <c r="F7" s="265">
        <f>IF(项目基本情况!B8="出让",0,'数据-取费表'!B48+'数据-取费表'!B49)</f>
        <v>3.0499999999999999E-2</v>
      </c>
      <c r="G7" s="263"/>
    </row>
    <row r="8" spans="1:9" s="267" customFormat="1">
      <c r="A8" s="949" t="s">
        <v>2333</v>
      </c>
      <c r="B8" s="259" t="s">
        <v>2334</v>
      </c>
      <c r="C8" s="264">
        <f>IF(G8="已包含在土地购买价格中","0",IF(B1="",'数据-取费表'!B29,IF(G9="全部缴纳",C9+C10,H9)))</f>
        <v>38</v>
      </c>
      <c r="D8" s="266"/>
      <c r="E8" s="264"/>
      <c r="F8" s="265"/>
      <c r="G8" s="2551" t="s">
        <v>3104</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52" t="s">
        <v>3105</v>
      </c>
      <c r="H9" s="1390"/>
      <c r="I9" s="2553" t="s">
        <v>2336</v>
      </c>
    </row>
    <row r="10" spans="1:9" s="258" customFormat="1" ht="13.5" customHeight="1">
      <c r="A10" s="950" t="s">
        <v>801</v>
      </c>
      <c r="B10" s="268" t="s">
        <v>2337</v>
      </c>
      <c r="C10" s="269">
        <f ca="1">ROUND(D10*E10/10000,0)</f>
        <v>38</v>
      </c>
      <c r="D10" s="1032">
        <f ca="1">IF(B1="",'数据-汇总表'!E6,IF(INDIRECT("'数据-取费表'!c"&amp;$G$1)="住宅",INDIRECT("'数据-取费表'!s"&amp;$G$1),INDIRECT("'数据-取费表'!k"&amp;$G$1)+INDIRECT("'数据-取费表'!s"&amp;$G$1)))</f>
        <v>1894.58</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1894.58</v>
      </c>
      <c r="E19" s="255">
        <f>'数据-取费表'!B31</f>
        <v>150</v>
      </c>
      <c r="F19" s="275"/>
      <c r="G19" s="2551" t="s">
        <v>3106</v>
      </c>
    </row>
    <row r="20" spans="1:7" s="258" customFormat="1" ht="13.5" customHeight="1">
      <c r="A20" s="299" t="s">
        <v>2350</v>
      </c>
      <c r="B20" s="254" t="s">
        <v>2351</v>
      </c>
      <c r="C20" s="276">
        <f ca="1">ROUND((C5+C19)*F20,0)</f>
        <v>84</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185</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183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v>
      </c>
      <c r="D25" s="282"/>
      <c r="E25" s="285"/>
      <c r="F25" s="283"/>
      <c r="G25" s="286" t="s">
        <v>2367</v>
      </c>
    </row>
    <row r="26" spans="1:7" s="258" customFormat="1">
      <c r="A26" s="951" t="s">
        <v>795</v>
      </c>
      <c r="B26" s="259" t="s">
        <v>2368</v>
      </c>
      <c r="C26" s="282">
        <f ca="1">ROUND(IF('数据-取费表'!B22&lt;=1,F21*F22*'数据-取费表'!B23/2,F21*(POWER((1+F22),'数据-取费表'!B23/2)-1)),4)</f>
        <v>4.0000000000000002E-4</v>
      </c>
      <c r="D26" s="282"/>
      <c r="E26" s="285"/>
      <c r="F26" s="283"/>
      <c r="G26" s="287"/>
    </row>
    <row r="27" spans="1:7" s="258" customFormat="1" ht="24.75">
      <c r="A27" s="299" t="s">
        <v>2369</v>
      </c>
      <c r="B27" s="288" t="s">
        <v>2370</v>
      </c>
      <c r="C27" s="289">
        <f ca="1">C28</f>
        <v>643</v>
      </c>
      <c r="D27" s="279">
        <f ca="1">C29</f>
        <v>3.0000000000000001E-3</v>
      </c>
      <c r="E27" s="280" t="s">
        <v>2371</v>
      </c>
      <c r="F27" s="290">
        <f ca="1">IF(B1="",'数据-取费表'!Q16,INDIRECT("'数据-取费表'!q"&amp;$G$1))</f>
        <v>0.15</v>
      </c>
      <c r="G27" s="291" t="s">
        <v>2372</v>
      </c>
    </row>
    <row r="28" spans="1:7" s="258" customFormat="1" ht="13.5" customHeight="1">
      <c r="A28" s="951" t="s">
        <v>791</v>
      </c>
      <c r="B28" s="292" t="s">
        <v>2373</v>
      </c>
      <c r="C28" s="293">
        <f ca="1">ROUND((C5+C19+C20)*F27*'数据-取费表'!B21/'数据-取费表'!B20,0)</f>
        <v>643</v>
      </c>
      <c r="D28" s="279"/>
      <c r="E28" s="280"/>
      <c r="F28" s="290"/>
      <c r="G28" s="291"/>
    </row>
    <row r="29" spans="1:7" s="258" customFormat="1" ht="13.5" customHeight="1">
      <c r="A29" s="951"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5541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721</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663</v>
      </c>
      <c r="D34" s="261"/>
      <c r="E34" s="264"/>
      <c r="F34" s="301">
        <f ca="1">IF('数据-取费表'!B24=0,1,IF(B1="",'数据-取费表'!N16,INDIRECT("'数据-取费表'!n"&amp;$G$1)))</f>
        <v>1</v>
      </c>
      <c r="G34" s="263" t="s">
        <v>2383</v>
      </c>
    </row>
    <row r="35" spans="1:7" ht="13.5" customHeight="1">
      <c r="A35" s="951" t="s">
        <v>796</v>
      </c>
      <c r="B35" s="259" t="s">
        <v>2384</v>
      </c>
      <c r="C35" s="264">
        <f ca="1">ROUND(C34*F35,0)</f>
        <v>20</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28</v>
      </c>
      <c r="D37" s="261">
        <f ca="1">D19</f>
        <v>1894.58</v>
      </c>
      <c r="E37" s="293">
        <f>'数据-取费表'!B35</f>
        <v>150</v>
      </c>
      <c r="F37" s="303"/>
      <c r="G37" s="305" t="s">
        <v>2389</v>
      </c>
    </row>
    <row r="38" spans="1:7" ht="13.5" customHeight="1">
      <c r="A38" s="951" t="s">
        <v>799</v>
      </c>
      <c r="B38" s="259" t="s">
        <v>2390</v>
      </c>
      <c r="C38" s="264">
        <f ca="1">ROUND(C34*F38,0)</f>
        <v>10</v>
      </c>
      <c r="D38" s="264"/>
      <c r="E38" s="264"/>
      <c r="F38" s="303">
        <f>'数据-取费表'!B36</f>
        <v>1.4999999999999999E-2</v>
      </c>
      <c r="G38" s="263" t="s">
        <v>2385</v>
      </c>
    </row>
    <row r="39" spans="1:7" s="258" customFormat="1" ht="13.5" customHeight="1">
      <c r="A39" s="299" t="s">
        <v>2391</v>
      </c>
      <c r="B39" s="254" t="s">
        <v>2392</v>
      </c>
      <c r="C39" s="276">
        <f ca="1">ROUND(C33*F20,0)</f>
        <v>14</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16</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16</v>
      </c>
      <c r="D42" s="282"/>
      <c r="E42" s="282"/>
      <c r="F42" s="283"/>
      <c r="G42" s="3139" t="s">
        <v>2401</v>
      </c>
    </row>
    <row r="43" spans="1:7" ht="13.5" customHeight="1">
      <c r="A43" s="951" t="s">
        <v>792</v>
      </c>
      <c r="B43" s="259" t="s">
        <v>2402</v>
      </c>
      <c r="C43" s="282">
        <f ca="1">ROUND(IF('数据-取费表'!B22&lt;=1,C39*F22*'数据-取费表'!B21/2,C39*(POWER((1+F22),'数据-取费表'!B21/2)-1)),0)</f>
        <v>0</v>
      </c>
      <c r="D43" s="282"/>
      <c r="E43" s="282"/>
      <c r="F43" s="283"/>
      <c r="G43" s="3140"/>
    </row>
    <row r="44" spans="1:7" ht="13.5" customHeight="1">
      <c r="A44" s="951" t="s">
        <v>793</v>
      </c>
      <c r="B44" s="259" t="s">
        <v>2403</v>
      </c>
      <c r="C44" s="282">
        <f ca="1">ROUND(IF('数据-取费表'!B22&lt;=1,C40*F22*'数据-取费表'!B21/2,C40*(POWER((1+F22),'数据-取费表'!B21/2)-1)),4)</f>
        <v>4.0000000000000002E-4</v>
      </c>
      <c r="D44" s="282"/>
      <c r="E44" s="282"/>
      <c r="F44" s="283"/>
      <c r="G44" s="3141"/>
    </row>
    <row r="45" spans="1:7" s="258" customFormat="1" ht="13.5" customHeight="1">
      <c r="A45" s="299" t="s">
        <v>2404</v>
      </c>
      <c r="B45" s="288" t="s">
        <v>2370</v>
      </c>
      <c r="C45" s="289">
        <f ca="1">C46</f>
        <v>110</v>
      </c>
      <c r="D45" s="279">
        <f ca="1">C47</f>
        <v>3.0000000000000001E-3</v>
      </c>
      <c r="E45" s="280" t="s">
        <v>2396</v>
      </c>
      <c r="F45" s="290"/>
      <c r="G45" s="291" t="s">
        <v>2405</v>
      </c>
    </row>
    <row r="46" spans="1:7" s="258" customFormat="1" ht="13.5" customHeight="1">
      <c r="A46" s="951" t="s">
        <v>791</v>
      </c>
      <c r="B46" s="292" t="s">
        <v>2406</v>
      </c>
      <c r="C46" s="293">
        <f ca="1">ROUND((C33+C39)*F27,0)</f>
        <v>110</v>
      </c>
      <c r="D46" s="307"/>
      <c r="E46" s="280"/>
      <c r="F46" s="290"/>
      <c r="G46" s="291"/>
    </row>
    <row r="47" spans="1:7" s="258" customFormat="1" ht="13.5" customHeight="1">
      <c r="A47" s="951" t="s">
        <v>792</v>
      </c>
      <c r="B47" s="292" t="s">
        <v>2407</v>
      </c>
      <c r="C47" s="282">
        <f ca="1">ROUND(C40*F27,4)</f>
        <v>3.0000000000000001E-3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933</v>
      </c>
      <c r="D49" s="276"/>
      <c r="E49" s="276"/>
      <c r="F49" s="308"/>
      <c r="G49" s="278" t="s">
        <v>2411</v>
      </c>
    </row>
    <row r="50" spans="1:7" s="302" customFormat="1" ht="24">
      <c r="A50" s="299" t="s">
        <v>2412</v>
      </c>
      <c r="B50" s="254" t="s">
        <v>2413</v>
      </c>
      <c r="C50" s="276"/>
      <c r="D50" s="276"/>
      <c r="E50" s="276"/>
      <c r="F50" s="308">
        <f>IF('数据-取费表'!B24=0,'数据-取费表'!N16,1)</f>
        <v>0.77</v>
      </c>
      <c r="G50" s="291" t="s">
        <v>2414</v>
      </c>
    </row>
    <row r="51" spans="1:7" ht="16.5" customHeight="1">
      <c r="A51" s="299" t="s">
        <v>2415</v>
      </c>
      <c r="B51" s="254" t="s">
        <v>2416</v>
      </c>
      <c r="C51" s="276">
        <f ca="1">ROUND(C49*F50,0)</f>
        <v>718</v>
      </c>
      <c r="D51" s="276"/>
      <c r="E51" s="276"/>
      <c r="F51" s="308"/>
      <c r="G51" s="278" t="s">
        <v>2417</v>
      </c>
    </row>
    <row r="52" spans="1:7" s="252" customFormat="1" ht="16.5" thickBot="1">
      <c r="A52" s="309" t="s">
        <v>2418</v>
      </c>
      <c r="B52" s="310"/>
      <c r="C52" s="311">
        <f ca="1">C31+C51</f>
        <v>6259</v>
      </c>
      <c r="D52" s="310"/>
      <c r="E52" s="310"/>
      <c r="F52" s="310"/>
      <c r="G52" s="312"/>
    </row>
    <row r="55" spans="1:7" ht="15">
      <c r="B55" s="314" t="s">
        <v>2419</v>
      </c>
      <c r="C55" s="315"/>
    </row>
    <row r="56" spans="1:7">
      <c r="B56" s="317" t="s">
        <v>1507</v>
      </c>
      <c r="C56" s="319">
        <f ca="1">1-C57</f>
        <v>0.88500000000000001</v>
      </c>
    </row>
    <row r="57" spans="1:7">
      <c r="B57" s="317" t="s">
        <v>1508</v>
      </c>
      <c r="C57" s="318">
        <f ca="1">ROUND(C51/C52,3)</f>
        <v>0.115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4"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806</v>
      </c>
      <c r="C2" s="243" t="s">
        <v>2320</v>
      </c>
      <c r="D2" s="2548" t="s">
        <v>70</v>
      </c>
      <c r="E2" s="1440"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4254</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378916</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378916</v>
      </c>
      <c r="D8" s="266"/>
      <c r="E8" s="264"/>
      <c r="F8" s="265"/>
      <c r="G8" s="2551"/>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378916</v>
      </c>
      <c r="D10" s="1032">
        <f ca="1">IF(B1="",'数据-汇总表'!E6,IF(INDIRECT("'数据-取费表'!c"&amp;$G$1)="住宅",INDIRECT("'数据-取费表'!s"&amp;$G$1),INDIRECT("'数据-取费表'!k"&amp;$G$1)+INDIRECT("'数据-取费表'!s"&amp;$G$1)))</f>
        <v>1894.58</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284187</v>
      </c>
      <c r="D19" s="1036">
        <f ca="1">D9+D10</f>
        <v>1894.58</v>
      </c>
      <c r="E19" s="255">
        <f>'数据-取费表'!B31</f>
        <v>150</v>
      </c>
      <c r="F19" s="275"/>
      <c r="G19" s="2551"/>
    </row>
    <row r="20" spans="1:7" s="258" customFormat="1" ht="13.5" customHeight="1">
      <c r="A20" s="299" t="s">
        <v>2431</v>
      </c>
      <c r="B20" s="254" t="s">
        <v>2432</v>
      </c>
      <c r="C20" s="276">
        <f ca="1">ROUND((C5+C19)*F20,0)</f>
        <v>13262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29133</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16483</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12362</v>
      </c>
      <c r="D24" s="282"/>
      <c r="E24" s="282"/>
      <c r="F24" s="283"/>
      <c r="G24" s="284" t="s">
        <v>2443</v>
      </c>
    </row>
    <row r="25" spans="1:7" s="258" customFormat="1" ht="24">
      <c r="A25" s="951" t="s">
        <v>2333</v>
      </c>
      <c r="B25" s="259" t="s">
        <v>2444</v>
      </c>
      <c r="C25" s="1381">
        <f ca="1">ROUND(IF('数据-取费表'!B22&lt;=1,C20*F22*'数据-取费表'!B22/2,C20*(POWER((1+F22),'数据-取费表'!B22/2)-1)),0)</f>
        <v>288</v>
      </c>
      <c r="D25" s="282"/>
      <c r="E25" s="285"/>
      <c r="F25" s="283"/>
      <c r="G25" s="286" t="s">
        <v>2445</v>
      </c>
    </row>
    <row r="26" spans="1:7" s="258" customFormat="1">
      <c r="A26" s="951" t="s">
        <v>795</v>
      </c>
      <c r="B26" s="259" t="s">
        <v>2368</v>
      </c>
      <c r="C26" s="282">
        <f ca="1">ROUND(IF('数据-取费表'!B22&lt;=1,F21*F22*'数据-取费表'!B22/2,F21*(POWER((1+F22),'数据-取费表'!B22/2)-1)),4)</f>
        <v>4.0000000000000002E-4</v>
      </c>
      <c r="D26" s="282"/>
      <c r="E26" s="285"/>
      <c r="F26" s="283"/>
      <c r="G26" s="287"/>
    </row>
    <row r="27" spans="1:7" s="258" customFormat="1" ht="24.75">
      <c r="A27" s="299" t="s">
        <v>2369</v>
      </c>
      <c r="B27" s="288" t="s">
        <v>2370</v>
      </c>
      <c r="C27" s="289">
        <f ca="1">C28</f>
        <v>101455</v>
      </c>
      <c r="D27" s="279">
        <f ca="1">C29</f>
        <v>3.0000000000000001E-3</v>
      </c>
      <c r="E27" s="280" t="s">
        <v>2371</v>
      </c>
      <c r="F27" s="290">
        <f ca="1">IF(B1="",'数据-取费表'!Q16,INDIRECT("'数据-取费表'!q"&amp;$G$1))</f>
        <v>0.15</v>
      </c>
      <c r="G27" s="291" t="s">
        <v>2372</v>
      </c>
    </row>
    <row r="28" spans="1:7" s="258" customFormat="1" ht="13.5" customHeight="1">
      <c r="A28" s="951" t="s">
        <v>791</v>
      </c>
      <c r="B28" s="292" t="s">
        <v>2373</v>
      </c>
      <c r="C28" s="293">
        <f ca="1">ROUND((C5+C19+C20)*F27,0)</f>
        <v>101455</v>
      </c>
      <c r="D28" s="279"/>
      <c r="E28" s="280"/>
      <c r="F28" s="290"/>
      <c r="G28" s="291"/>
    </row>
    <row r="29" spans="1:7" s="258" customFormat="1" ht="13.5" customHeight="1">
      <c r="A29" s="951"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873988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7213613</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6631030</v>
      </c>
      <c r="D34" s="261"/>
      <c r="E34" s="264"/>
      <c r="F34" s="301"/>
      <c r="G34" s="263"/>
    </row>
    <row r="35" spans="1:7" ht="13.5" customHeight="1">
      <c r="A35" s="951" t="s">
        <v>796</v>
      </c>
      <c r="B35" s="259" t="s">
        <v>2384</v>
      </c>
      <c r="C35" s="264">
        <f ca="1">ROUND(C34*F35,0)</f>
        <v>198931</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284187</v>
      </c>
      <c r="D37" s="261">
        <f ca="1">D19</f>
        <v>1894.58</v>
      </c>
      <c r="E37" s="293">
        <f>'数据-取费表'!B35</f>
        <v>150</v>
      </c>
      <c r="F37" s="303"/>
      <c r="G37" s="305"/>
    </row>
    <row r="38" spans="1:7" ht="13.5" customHeight="1">
      <c r="A38" s="951" t="s">
        <v>799</v>
      </c>
      <c r="B38" s="259" t="s">
        <v>2390</v>
      </c>
      <c r="C38" s="264">
        <f ca="1">ROUND(C34*F38,0)</f>
        <v>99465</v>
      </c>
      <c r="D38" s="264"/>
      <c r="E38" s="264"/>
      <c r="F38" s="303">
        <f>'数据-取费表'!B36</f>
        <v>1.4999999999999999E-2</v>
      </c>
      <c r="G38" s="263" t="s">
        <v>2385</v>
      </c>
    </row>
    <row r="39" spans="1:7" s="258" customFormat="1" ht="13.5" customHeight="1">
      <c r="A39" s="299" t="s">
        <v>2391</v>
      </c>
      <c r="B39" s="254" t="s">
        <v>2392</v>
      </c>
      <c r="C39" s="276">
        <f ca="1">ROUND(C33*F20,0)</f>
        <v>144272</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160034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156896</v>
      </c>
      <c r="D42" s="282"/>
      <c r="E42" s="282"/>
      <c r="F42" s="283"/>
      <c r="G42" s="3139" t="s">
        <v>2448</v>
      </c>
    </row>
    <row r="43" spans="1:7" ht="13.5" customHeight="1">
      <c r="A43" s="951" t="s">
        <v>792</v>
      </c>
      <c r="B43" s="259" t="s">
        <v>2402</v>
      </c>
      <c r="C43" s="282">
        <f ca="1">ROUND(IF('数据-取费表'!B22&lt;=1,C39*F22*'数据-取费表'!B20/2,C39*(POWER((1+F22),'数据-取费表'!B20/2)-1)),0)</f>
        <v>3138</v>
      </c>
      <c r="D43" s="282"/>
      <c r="E43" s="282"/>
      <c r="F43" s="283"/>
      <c r="G43" s="3140"/>
    </row>
    <row r="44" spans="1:7" ht="13.5" customHeight="1">
      <c r="A44" s="951" t="s">
        <v>793</v>
      </c>
      <c r="B44" s="259" t="s">
        <v>2403</v>
      </c>
      <c r="C44" s="282">
        <f ca="1">ROUND(IF('数据-取费表'!B22&lt;=1,C40*F22*'数据-取费表'!B20/2,C40*(POWER((1+F22),'数据-取费表'!B20/2)-1)),4)</f>
        <v>4.0000000000000002E-4</v>
      </c>
      <c r="D44" s="282"/>
      <c r="E44" s="282"/>
      <c r="F44" s="283"/>
      <c r="G44" s="3141"/>
    </row>
    <row r="45" spans="1:7" s="258" customFormat="1" ht="13.5" customHeight="1">
      <c r="A45" s="299" t="s">
        <v>2404</v>
      </c>
      <c r="B45" s="288" t="s">
        <v>2370</v>
      </c>
      <c r="C45" s="289">
        <f ca="1">C46</f>
        <v>1103683</v>
      </c>
      <c r="D45" s="279">
        <f ca="1">C47</f>
        <v>3.0000000000000001E-3</v>
      </c>
      <c r="E45" s="280" t="s">
        <v>2396</v>
      </c>
      <c r="F45" s="290"/>
      <c r="G45" s="291" t="s">
        <v>2405</v>
      </c>
    </row>
    <row r="46" spans="1:7" s="258" customFormat="1" ht="13.5" customHeight="1">
      <c r="A46" s="951" t="s">
        <v>791</v>
      </c>
      <c r="B46" s="292" t="s">
        <v>2406</v>
      </c>
      <c r="C46" s="293">
        <f ca="1">ROUND((C33+C39)*F27,0)</f>
        <v>1103683</v>
      </c>
      <c r="D46" s="307"/>
      <c r="E46" s="280"/>
      <c r="F46" s="290"/>
      <c r="G46" s="291"/>
    </row>
    <row r="47" spans="1:7" s="258" customFormat="1" ht="13.5" customHeight="1">
      <c r="A47" s="951"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9337812</v>
      </c>
      <c r="D49" s="276"/>
      <c r="E49" s="276"/>
      <c r="F49" s="308"/>
      <c r="G49" s="278" t="s">
        <v>2411</v>
      </c>
    </row>
    <row r="50" spans="1:7" s="302" customFormat="1">
      <c r="A50" s="299" t="s">
        <v>2412</v>
      </c>
      <c r="B50" s="254" t="s">
        <v>2413</v>
      </c>
      <c r="C50" s="276"/>
      <c r="D50" s="276"/>
      <c r="E50" s="276"/>
      <c r="F50" s="308">
        <f>IF('数据-取费表'!B24=0,'数据-取费表'!N16,1)</f>
        <v>0.77</v>
      </c>
      <c r="G50" s="291"/>
    </row>
    <row r="51" spans="1:7" ht="16.5" customHeight="1">
      <c r="A51" s="299" t="s">
        <v>2415</v>
      </c>
      <c r="B51" s="254" t="s">
        <v>2450</v>
      </c>
      <c r="C51" s="276">
        <f ca="1">ROUND(C49*F50,0)</f>
        <v>7190115</v>
      </c>
      <c r="D51" s="276"/>
      <c r="E51" s="276"/>
      <c r="F51" s="308"/>
      <c r="G51" s="278" t="s">
        <v>2417</v>
      </c>
    </row>
    <row r="52" spans="1:7" s="252" customFormat="1" ht="16.5" thickBot="1">
      <c r="A52" s="309" t="s">
        <v>2418</v>
      </c>
      <c r="B52" s="310"/>
      <c r="C52" s="311">
        <f ca="1">C31+C51</f>
        <v>8064103</v>
      </c>
      <c r="D52" s="310"/>
      <c r="E52" s="310"/>
      <c r="F52" s="310"/>
      <c r="G52" s="312"/>
    </row>
    <row r="55" spans="1:7" ht="15">
      <c r="B55" s="314" t="s">
        <v>2419</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5" t="s">
        <v>2457</v>
      </c>
      <c r="D5" s="2555" t="s">
        <v>2458</v>
      </c>
      <c r="E5" s="2555" t="s">
        <v>2459</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1894.58</v>
      </c>
      <c r="E14" s="24">
        <f>'数据-取费表'!B35</f>
        <v>150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1894.58</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57"/>
      <c r="H18" s="1577"/>
      <c r="I18" s="2558"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2487</v>
      </c>
      <c r="C20" s="24">
        <f ca="1">ROUND(D20*E20/10000,0)</f>
        <v>38</v>
      </c>
      <c r="D20" s="1033">
        <f ca="1">IF(C1="",'数据-汇总表'!E6,IF(INDIRECT("'数据-取费表'!c"&amp;$K$1)="住宅",INDIRECT("'数据-取费表'!s"&amp;$K$1),INDIRECT("'数据-取费表'!k"&amp;$K$1)+INDIRECT("'数据-取费表'!s"&amp;$K$1)))</f>
        <v>1894.58</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79"/>
      <c r="I27" s="979"/>
      <c r="J27" s="979"/>
      <c r="K27" s="980"/>
    </row>
    <row r="28" spans="1:33" s="333" customFormat="1" ht="13.5" customHeight="1">
      <c r="A28" s="961" t="s">
        <v>2501</v>
      </c>
      <c r="B28" s="2560" t="s">
        <v>2502</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61"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47" sqref="I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3" t="s">
        <v>2634</v>
      </c>
      <c r="C1" s="1634" t="s">
        <v>2522</v>
      </c>
      <c r="D1" s="1621" t="s">
        <v>1372</v>
      </c>
      <c r="E1" s="2658"/>
      <c r="F1" s="2585" t="s">
        <v>3114</v>
      </c>
      <c r="G1" s="1631" t="s">
        <v>2635</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2319</v>
      </c>
      <c r="B2" s="1418">
        <f>IF(C2="——",ROUND(C49*D3/10000,0),ROUND(C49*D3/10000,0)-D2)</f>
        <v>10420</v>
      </c>
      <c r="C2" s="2587" t="s">
        <v>70</v>
      </c>
      <c r="D2" s="1365" t="e">
        <f ca="1">SUMIF(INDIRECT("'"&amp;F2&amp;"'"&amp;"!A:A"),"承租人权益价值",INDIRECT("'"&amp;F2&amp;"'"&amp;"!c:c"))</f>
        <v>#REF!</v>
      </c>
      <c r="E2" s="2588" t="s">
        <v>2320</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2321</v>
      </c>
      <c r="B3" s="609">
        <f>IF(C2="——",C49,ROUND(B2*10000/D3,0))</f>
        <v>55000</v>
      </c>
      <c r="C3" s="400" t="s">
        <v>2636</v>
      </c>
      <c r="D3" s="399">
        <f>IF(D1="",'数据-汇总表'!E3,SUMIF('数据-汇总表'!$C19:$C33,D1,'数据-汇总表'!$E19:$E33))</f>
        <v>1894.58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203" t="s">
        <v>2640</v>
      </c>
      <c r="AC4" s="3184" t="s">
        <v>2641</v>
      </c>
    </row>
    <row r="5" spans="1:29"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203"/>
      <c r="AC5" s="3185"/>
    </row>
    <row r="6" spans="1:29" ht="15.75" thickBot="1">
      <c r="A6" s="406"/>
      <c r="B6" s="407"/>
      <c r="C6" s="3204" t="s">
        <v>2538</v>
      </c>
      <c r="D6" s="3205"/>
      <c r="E6" s="3211" t="s">
        <v>2538</v>
      </c>
      <c r="F6" s="3212"/>
      <c r="G6" s="3204" t="s">
        <v>2538</v>
      </c>
      <c r="H6" s="3205"/>
      <c r="I6" s="3204" t="s">
        <v>2538</v>
      </c>
      <c r="J6" s="3205"/>
      <c r="K6" s="610" t="s">
        <v>2539</v>
      </c>
      <c r="L6" s="1130"/>
      <c r="M6" s="1131"/>
      <c r="N6" s="1131"/>
      <c r="O6" s="1131"/>
      <c r="P6" s="3195"/>
      <c r="Q6" s="3196"/>
      <c r="R6" s="3199"/>
      <c r="S6" s="3200"/>
      <c r="T6" s="3201"/>
      <c r="U6" s="3202"/>
      <c r="V6" s="3203"/>
      <c r="W6" s="3203"/>
      <c r="X6" s="1813"/>
      <c r="Y6" s="3201"/>
      <c r="Z6" s="3202"/>
      <c r="AA6" s="3186"/>
      <c r="AB6" s="3203"/>
      <c r="AC6" s="3186"/>
    </row>
    <row r="7" spans="1:29" s="117" customFormat="1" ht="15.75" thickBot="1">
      <c r="A7" s="408" t="s">
        <v>2540</v>
      </c>
      <c r="B7" s="409"/>
      <c r="C7" s="410">
        <f>'数据-取费表'!B2</f>
        <v>43851</v>
      </c>
      <c r="D7" s="411">
        <v>100</v>
      </c>
      <c r="E7" s="412">
        <v>43851</v>
      </c>
      <c r="F7" s="413">
        <f>SUMIF(58:58,YEAR(E7)&amp;"-"&amp;MONTH(E7),59:59)</f>
        <v>100</v>
      </c>
      <c r="G7" s="412">
        <v>43851</v>
      </c>
      <c r="H7" s="411">
        <f>SUMIF(58:58,YEAR(G7)&amp;"-"&amp;MONTH(G7),59:59)</f>
        <v>100</v>
      </c>
      <c r="I7" s="412">
        <v>43851</v>
      </c>
      <c r="J7" s="411">
        <f>SUMIF(58:58,YEAR(I7)&amp;"-"&amp;MONTH(I7),59:59)</f>
        <v>100</v>
      </c>
      <c r="K7" s="611"/>
      <c r="L7" s="1132"/>
      <c r="M7" s="1133"/>
      <c r="N7" s="1133"/>
      <c r="O7" s="1133"/>
      <c r="P7" s="3208" t="s">
        <v>2541</v>
      </c>
      <c r="Q7" s="3210"/>
      <c r="R7" s="770" t="s">
        <v>17</v>
      </c>
      <c r="S7" s="771">
        <f t="shared" ref="S7:S15" si="0">F7</f>
        <v>100</v>
      </c>
      <c r="T7" s="770" t="s">
        <v>17</v>
      </c>
      <c r="U7" s="771">
        <f t="shared" ref="U7:U15" si="1">H7</f>
        <v>100</v>
      </c>
      <c r="V7" s="770" t="s">
        <v>17</v>
      </c>
      <c r="W7" s="771">
        <f t="shared" ref="W7:W15" si="2">J7</f>
        <v>100</v>
      </c>
      <c r="X7" s="772"/>
      <c r="Y7" s="3208" t="s">
        <v>2541</v>
      </c>
      <c r="Z7" s="3209"/>
      <c r="AA7" s="773">
        <f>D7/F7</f>
        <v>1</v>
      </c>
      <c r="AB7" s="773">
        <f>D7/H7</f>
        <v>1</v>
      </c>
      <c r="AC7" s="773">
        <f>D7/J7</f>
        <v>1</v>
      </c>
    </row>
    <row r="8" spans="1:29" s="117" customFormat="1" ht="15.75" thickBot="1">
      <c r="A8" s="408" t="s">
        <v>2542</v>
      </c>
      <c r="B8" s="409"/>
      <c r="C8" s="414" t="s">
        <v>2644</v>
      </c>
      <c r="D8" s="411">
        <v>100</v>
      </c>
      <c r="E8" s="414" t="s">
        <v>2579</v>
      </c>
      <c r="F8" s="413">
        <f>SUMIF(61:61,E8,62:62)-SUMIF(61:61,C8,62:62)+100</f>
        <v>100</v>
      </c>
      <c r="G8" s="414" t="s">
        <v>2579</v>
      </c>
      <c r="H8" s="411">
        <f>SUMIF(61:61,G8,62:62)-SUMIF(61:61,C8,62:62)+100</f>
        <v>100</v>
      </c>
      <c r="I8" s="414" t="s">
        <v>2579</v>
      </c>
      <c r="J8" s="411">
        <f>SUMIF(61:61,I8,62:62)-SUMIF(61:61,C8,62:62)+100</f>
        <v>100</v>
      </c>
      <c r="K8" s="611"/>
      <c r="L8" s="1132"/>
      <c r="M8" s="1133"/>
      <c r="N8" s="1133"/>
      <c r="O8" s="1133"/>
      <c r="P8" s="3208" t="s">
        <v>2544</v>
      </c>
      <c r="Q8" s="3209"/>
      <c r="R8" s="770" t="s">
        <v>17</v>
      </c>
      <c r="S8" s="771">
        <f t="shared" si="0"/>
        <v>100</v>
      </c>
      <c r="T8" s="770" t="s">
        <v>17</v>
      </c>
      <c r="U8" s="771">
        <f t="shared" si="1"/>
        <v>100</v>
      </c>
      <c r="V8" s="770" t="s">
        <v>17</v>
      </c>
      <c r="W8" s="771">
        <f t="shared" si="2"/>
        <v>100</v>
      </c>
      <c r="X8" s="772"/>
      <c r="Y8" s="3208" t="s">
        <v>2544</v>
      </c>
      <c r="Z8" s="3209"/>
      <c r="AA8" s="773">
        <f t="shared" ref="AA8:AA46" si="3">D8/F8</f>
        <v>1</v>
      </c>
      <c r="AB8" s="773">
        <f t="shared" ref="AB8:AB46" si="4">D8/H8</f>
        <v>1</v>
      </c>
      <c r="AC8" s="773">
        <f t="shared" ref="AC8:AC46" si="5">D8/J8</f>
        <v>1</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2550</v>
      </c>
      <c r="C11" s="429">
        <v>1</v>
      </c>
      <c r="D11" s="136">
        <v>100</v>
      </c>
      <c r="E11" s="429">
        <v>1</v>
      </c>
      <c r="F11" s="425">
        <f>LOOKUP(E11,68:68,69:69)-LOOKUP(C11,68:68,69:69)+100</f>
        <v>100</v>
      </c>
      <c r="G11" s="429">
        <v>1</v>
      </c>
      <c r="H11" s="136">
        <f>LOOKUP(G11,68:68,69:69)-LOOKUP(C11,68:68,69:69)+100</f>
        <v>100</v>
      </c>
      <c r="I11" s="429">
        <v>1</v>
      </c>
      <c r="J11" s="136">
        <f>LOOKUP(I11,68:68,69:69)-LOOKUP(C11,68:68,69:69)+100</f>
        <v>100</v>
      </c>
      <c r="K11" s="612"/>
      <c r="L11" s="1138"/>
      <c r="M11" s="1131"/>
      <c r="N11" s="1131"/>
      <c r="O11" s="1131"/>
      <c r="P11" s="3183"/>
      <c r="Q11" s="1795" t="str">
        <f t="shared" si="6"/>
        <v>容积率</v>
      </c>
      <c r="R11" s="770" t="s">
        <v>17</v>
      </c>
      <c r="S11" s="771">
        <f t="shared" si="0"/>
        <v>100</v>
      </c>
      <c r="T11" s="770" t="s">
        <v>17</v>
      </c>
      <c r="U11" s="771">
        <f t="shared" si="1"/>
        <v>100</v>
      </c>
      <c r="V11" s="770" t="s">
        <v>17</v>
      </c>
      <c r="W11" s="771">
        <f t="shared" si="2"/>
        <v>100</v>
      </c>
      <c r="X11" s="772"/>
      <c r="Y11" s="2998"/>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2551</v>
      </c>
      <c r="B15" s="69" t="s">
        <v>2645</v>
      </c>
      <c r="C15" s="2604"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2552</v>
      </c>
      <c r="Q15" s="1810" t="str">
        <f t="shared" si="6"/>
        <v>商业繁华度</v>
      </c>
      <c r="R15" s="774" t="s">
        <v>17</v>
      </c>
      <c r="S15" s="775">
        <f t="shared" si="0"/>
        <v>100</v>
      </c>
      <c r="T15" s="774" t="s">
        <v>17</v>
      </c>
      <c r="U15" s="775">
        <f t="shared" si="1"/>
        <v>100</v>
      </c>
      <c r="V15" s="774" t="s">
        <v>17</v>
      </c>
      <c r="W15" s="775">
        <f t="shared" si="2"/>
        <v>100</v>
      </c>
      <c r="X15" s="1813"/>
      <c r="Y15" s="3174"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2088</v>
      </c>
      <c r="C17" s="2608"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2646</v>
      </c>
      <c r="C19" s="2608"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2647</v>
      </c>
      <c r="C21" s="260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2093</v>
      </c>
      <c r="C23" s="2665"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75"/>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75"/>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75"/>
      <c r="Z26" s="1814" t="str">
        <f>Q26</f>
        <v>平面位置/可视性</v>
      </c>
      <c r="AA26" s="1811">
        <f t="shared" si="3"/>
        <v>1</v>
      </c>
      <c r="AB26" s="1811">
        <f t="shared" si="4"/>
        <v>1</v>
      </c>
      <c r="AC26" s="1811">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75"/>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7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1811">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76" t="s">
        <v>2557</v>
      </c>
      <c r="Q32" s="1810" t="str">
        <f t="shared" si="11"/>
        <v>商业类型</v>
      </c>
      <c r="R32" s="774" t="s">
        <v>17</v>
      </c>
      <c r="S32" s="775">
        <f t="shared" si="12"/>
        <v>100</v>
      </c>
      <c r="T32" s="774" t="s">
        <v>17</v>
      </c>
      <c r="U32" s="775">
        <f t="shared" si="13"/>
        <v>100</v>
      </c>
      <c r="V32" s="774" t="s">
        <v>17</v>
      </c>
      <c r="W32" s="775">
        <f t="shared" si="14"/>
        <v>100</v>
      </c>
      <c r="X32" s="1813"/>
      <c r="Y32" s="3179"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177"/>
      <c r="Q33" s="776" t="str">
        <f t="shared" si="11"/>
        <v>项目建筑规模</v>
      </c>
      <c r="R33" s="777" t="s">
        <v>17</v>
      </c>
      <c r="S33" s="778">
        <f t="shared" si="12"/>
        <v>100</v>
      </c>
      <c r="T33" s="777" t="s">
        <v>17</v>
      </c>
      <c r="U33" s="778">
        <f t="shared" si="13"/>
        <v>100</v>
      </c>
      <c r="V33" s="777" t="s">
        <v>17</v>
      </c>
      <c r="W33" s="778">
        <f t="shared" si="14"/>
        <v>100</v>
      </c>
      <c r="X33" s="779"/>
      <c r="Y33" s="3179"/>
      <c r="Z33" s="780" t="str">
        <f t="shared" si="15"/>
        <v>项目建筑规模</v>
      </c>
      <c r="AA33" s="1811">
        <f t="shared" si="3"/>
        <v>1</v>
      </c>
      <c r="AB33" s="1811">
        <f t="shared" si="4"/>
        <v>1</v>
      </c>
      <c r="AC33" s="1811">
        <f t="shared" si="5"/>
        <v>1</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177"/>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77"/>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177"/>
      <c r="Q36" s="1810" t="str">
        <f t="shared" si="11"/>
        <v>成新度</v>
      </c>
      <c r="R36" s="774" t="s">
        <v>17</v>
      </c>
      <c r="S36" s="775">
        <f t="shared" si="12"/>
        <v>100</v>
      </c>
      <c r="T36" s="774" t="s">
        <v>17</v>
      </c>
      <c r="U36" s="775">
        <f t="shared" si="13"/>
        <v>100</v>
      </c>
      <c r="V36" s="774" t="s">
        <v>17</v>
      </c>
      <c r="W36" s="775">
        <f t="shared" si="14"/>
        <v>100</v>
      </c>
      <c r="X36" s="1813"/>
      <c r="Y36" s="3179"/>
      <c r="Z36" s="1814" t="str">
        <f t="shared" si="15"/>
        <v>成新度</v>
      </c>
      <c r="AA36" s="1811">
        <f t="shared" si="3"/>
        <v>1</v>
      </c>
      <c r="AB36" s="1811">
        <f t="shared" si="4"/>
        <v>1</v>
      </c>
      <c r="AC36" s="1811">
        <f t="shared" si="5"/>
        <v>1</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7"/>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7" t="s">
        <v>2557</v>
      </c>
      <c r="Q38" s="1810" t="str">
        <f t="shared" si="11"/>
        <v>业态</v>
      </c>
      <c r="R38" s="774" t="s">
        <v>17</v>
      </c>
      <c r="S38" s="775">
        <f t="shared" si="12"/>
        <v>100</v>
      </c>
      <c r="T38" s="774" t="s">
        <v>17</v>
      </c>
      <c r="U38" s="775">
        <f t="shared" si="13"/>
        <v>100</v>
      </c>
      <c r="V38" s="774" t="s">
        <v>17</v>
      </c>
      <c r="W38" s="775">
        <f t="shared" si="14"/>
        <v>100</v>
      </c>
      <c r="X38" s="1813"/>
      <c r="Y38" s="3179" t="s">
        <v>2557</v>
      </c>
      <c r="Z38" s="1814" t="str">
        <f t="shared" si="15"/>
        <v>业态</v>
      </c>
      <c r="AA38" s="1811">
        <f t="shared" si="3"/>
        <v>1</v>
      </c>
      <c r="AB38" s="1811">
        <f t="shared" si="4"/>
        <v>1</v>
      </c>
      <c r="AC38" s="1811">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77"/>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77"/>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77"/>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1811">
        <f t="shared" si="5"/>
        <v>1</v>
      </c>
    </row>
    <row r="47" spans="1:29" ht="15">
      <c r="A47" s="479" t="s">
        <v>2569</v>
      </c>
      <c r="B47" s="480"/>
      <c r="C47" s="1407" t="s">
        <v>1</v>
      </c>
      <c r="D47" s="1408"/>
      <c r="E47" s="1409">
        <v>55000</v>
      </c>
      <c r="F47" s="1410"/>
      <c r="G47" s="1409">
        <v>55000</v>
      </c>
      <c r="H47" s="1412"/>
      <c r="I47" s="1409">
        <v>55000</v>
      </c>
      <c r="J47" s="1412"/>
      <c r="K47" s="783"/>
      <c r="L47" s="1143"/>
      <c r="M47" s="1144"/>
      <c r="N47" s="1131"/>
      <c r="O47" s="1144"/>
      <c r="P47" s="3172" t="str">
        <f>A47</f>
        <v>成交单价（元/平方米）</v>
      </c>
      <c r="Q47" s="3172"/>
      <c r="R47" s="3203">
        <f>E47</f>
        <v>55000</v>
      </c>
      <c r="S47" s="3203"/>
      <c r="T47" s="3203">
        <f>G47</f>
        <v>55000</v>
      </c>
      <c r="U47" s="3203"/>
      <c r="V47" s="3203">
        <f>I47</f>
        <v>55000</v>
      </c>
      <c r="W47" s="3203"/>
      <c r="X47" s="759"/>
      <c r="Y47" s="781"/>
      <c r="Z47" s="759"/>
      <c r="AA47" s="759"/>
      <c r="AB47" s="759"/>
      <c r="AC47" s="759"/>
    </row>
    <row r="48" spans="1:29" ht="15.75" thickBot="1">
      <c r="A48" s="486" t="s">
        <v>2661</v>
      </c>
      <c r="B48" s="487"/>
      <c r="C48" s="1413">
        <f>R49</f>
        <v>55000</v>
      </c>
      <c r="D48" s="1414"/>
      <c r="E48" s="1415">
        <f>R48</f>
        <v>55000</v>
      </c>
      <c r="F48" s="1415"/>
      <c r="G48" s="1413">
        <f>T48</f>
        <v>55000</v>
      </c>
      <c r="H48" s="1414"/>
      <c r="I48" s="1415">
        <f>V48</f>
        <v>55000</v>
      </c>
      <c r="J48" s="1414"/>
      <c r="K48" s="784"/>
      <c r="L48" s="1143"/>
      <c r="M48" s="1144"/>
      <c r="N48" s="1131"/>
      <c r="O48" s="1144"/>
      <c r="P48" s="3172" t="str">
        <f>A48</f>
        <v>比较价值（元/平方米）</v>
      </c>
      <c r="Q48" s="3172"/>
      <c r="R48" s="3173">
        <f>IF(F1="售价",ROUND(PRODUCT(R47,AA7:AA46),0),ROUND(PRODUCT(R47,AA7:AA46),1))</f>
        <v>55000</v>
      </c>
      <c r="S48" s="3173"/>
      <c r="T48" s="3173">
        <f>IF(F1="售价",ROUND(PRODUCT(T47,AB7:AB46),0),ROUND(PRODUCT(T47,AB7:AB46),1))</f>
        <v>55000</v>
      </c>
      <c r="U48" s="3173"/>
      <c r="V48" s="3173">
        <f>IF(F1="售价",ROUND(PRODUCT(V47,AC7:AC46),0),ROUND(PRODUCT(V47,AC7:AC46),1))</f>
        <v>55000</v>
      </c>
      <c r="W48" s="3173"/>
      <c r="X48" s="759"/>
      <c r="Y48" s="759"/>
      <c r="Z48" s="759"/>
      <c r="AA48" s="759"/>
      <c r="AB48" s="759"/>
      <c r="AC48" s="759"/>
    </row>
    <row r="49" spans="1:29" ht="15.75" thickBot="1">
      <c r="A49" s="492" t="s">
        <v>2662</v>
      </c>
      <c r="B49" s="493"/>
      <c r="C49" s="1417">
        <f>R49</f>
        <v>55000</v>
      </c>
      <c r="D49" s="1417"/>
      <c r="E49" s="1417"/>
      <c r="F49" s="1417"/>
      <c r="G49" s="1417"/>
      <c r="H49" s="1417"/>
      <c r="I49" s="1417"/>
      <c r="J49" s="1417"/>
      <c r="K49" s="785"/>
      <c r="L49" s="1143"/>
      <c r="M49" s="1144"/>
      <c r="N49" s="1131"/>
      <c r="O49" s="1144"/>
      <c r="P49" s="3169" t="str">
        <f>A49</f>
        <v>估价对象XX用房的比较价值（楼面单价，元/平方米）</v>
      </c>
      <c r="Q49" s="3170"/>
      <c r="R49" s="3171">
        <f>IF(F1="售价",ROUND(AVERAGE(R48:V48),0),ROUND(AVERAGE(R48:V48),1))</f>
        <v>55000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2540</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2542</v>
      </c>
      <c r="B61" s="510"/>
      <c r="C61" s="522" t="s">
        <v>2644</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2580</v>
      </c>
      <c r="B63" s="528" t="s">
        <v>2546</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2550</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1</v>
      </c>
      <c r="D68" s="549">
        <v>2</v>
      </c>
      <c r="E68" s="549">
        <v>3</v>
      </c>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2672</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2555</v>
      </c>
      <c r="B100" s="528" t="s">
        <v>2673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2605</v>
      </c>
      <c r="C102" s="578" t="str">
        <f>C103&amp;"(含)"&amp;"-"&amp;D103</f>
        <v>0(含)-100000000000</v>
      </c>
      <c r="D102" s="578" t="str">
        <f t="shared" ref="D102:L102" si="23">D103&amp;"(含)"&amp;"-"&amp;E103</f>
        <v>100000000000(含)-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100000000000</v>
      </c>
      <c r="E103" s="595"/>
      <c r="F103" s="595"/>
      <c r="G103" s="595"/>
      <c r="H103" s="595"/>
      <c r="I103" s="595"/>
      <c r="J103" s="596"/>
      <c r="K103" s="596"/>
      <c r="L103" s="597"/>
      <c r="M103" s="598"/>
      <c r="N103" s="1154"/>
      <c r="O103" s="1154"/>
      <c r="P103" s="2632"/>
      <c r="Q103" s="559"/>
    </row>
    <row r="104" spans="1:17" s="471" customFormat="1" ht="15.75" thickBot="1">
      <c r="A104" s="553"/>
      <c r="B104" s="543"/>
      <c r="C104" s="560">
        <v>100</v>
      </c>
      <c r="D104" s="536"/>
      <c r="E104" s="536"/>
      <c r="F104" s="536"/>
      <c r="G104" s="536"/>
      <c r="H104" s="536"/>
      <c r="I104" s="536"/>
      <c r="J104" s="536"/>
      <c r="K104" s="536"/>
      <c r="L104" s="536"/>
      <c r="M104" s="537"/>
      <c r="N104" s="1153"/>
      <c r="O104" s="1153"/>
      <c r="P104" s="2632"/>
      <c r="Q104" s="559"/>
    </row>
    <row r="105" spans="1:17" ht="15" thickTop="1">
      <c r="A105" s="599"/>
      <c r="B105" s="538" t="s">
        <v>2606</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2608</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2674</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2675</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2676</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2612</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1" sqref="K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25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7125</v>
      </c>
      <c r="C2" s="1845" t="s">
        <v>1510</v>
      </c>
      <c r="D2" s="1845"/>
      <c r="E2" s="1846"/>
      <c r="F2" s="1847"/>
      <c r="G2" s="1848"/>
      <c r="H2" s="1840"/>
      <c r="I2" s="1840"/>
      <c r="J2" s="1840"/>
      <c r="K2" s="1841"/>
      <c r="L2" s="1840"/>
      <c r="M2" s="1840"/>
    </row>
    <row r="3" spans="1:37" ht="18" customHeight="1" thickBot="1">
      <c r="A3" s="1849" t="s">
        <v>1511</v>
      </c>
      <c r="B3" s="1850">
        <f ca="1">IF(ISERROR(B2*10000/F43),0,ROUND(B2*10000/F43,0))</f>
        <v>37607</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468</v>
      </c>
      <c r="D5" s="1822" t="s">
        <v>1396</v>
      </c>
      <c r="E5" s="1293"/>
      <c r="F5" s="1294"/>
      <c r="G5" s="1851"/>
      <c r="H5" s="344">
        <v>1</v>
      </c>
      <c r="I5" s="345" t="s">
        <v>1395</v>
      </c>
      <c r="J5" s="1292">
        <f ca="1">J6+J10+J12</f>
        <v>0</v>
      </c>
      <c r="K5" s="1822" t="s">
        <v>1396</v>
      </c>
      <c r="L5" s="1293"/>
      <c r="M5" s="1294"/>
    </row>
    <row r="6" spans="1:37" ht="18" customHeight="1">
      <c r="A6" s="1291" t="s">
        <v>1031</v>
      </c>
      <c r="B6" s="3144" t="s">
        <v>1397</v>
      </c>
      <c r="C6" s="1296">
        <f ca="1">ROUND(F6*F8*F7*(1-F9)/10000,0)</f>
        <v>467</v>
      </c>
      <c r="D6" s="164" t="s">
        <v>3023</v>
      </c>
      <c r="E6" s="347" t="s">
        <v>1399</v>
      </c>
      <c r="F6" s="348">
        <f ca="1">INDIRECT("'数据-取费表'!u"&amp;$G$1)</f>
        <v>7.5</v>
      </c>
      <c r="G6" s="1851"/>
      <c r="H6" s="1291" t="s">
        <v>1031</v>
      </c>
      <c r="I6" s="3144" t="s">
        <v>1397</v>
      </c>
      <c r="J6" s="346">
        <f ca="1">ROUND(M6*M8*M7*(1-M9)/10000,0)</f>
        <v>0</v>
      </c>
      <c r="K6" s="164" t="s">
        <v>3022</v>
      </c>
      <c r="L6" s="347" t="s">
        <v>1399</v>
      </c>
      <c r="M6" s="348">
        <f ca="1">INDIRECT("'数据-取费表'!z"&amp;$G$1)</f>
        <v>0</v>
      </c>
    </row>
    <row r="7" spans="1:37" ht="18" customHeight="1">
      <c r="A7" s="1295"/>
      <c r="B7" s="3145"/>
      <c r="C7" s="1297"/>
      <c r="D7" s="352"/>
      <c r="E7" s="1298" t="s">
        <v>1400</v>
      </c>
      <c r="F7" s="348">
        <f ca="1">IF(INDIRECT("'数据-取费表'!ah"&amp;$G$1)="",INDIRECT("'数据-取费表'!k"&amp;$G$1),INDIRECT("'数据-取费表'!ah"&amp;$G$1))</f>
        <v>1894.58</v>
      </c>
      <c r="G7" s="1851"/>
      <c r="H7" s="349"/>
      <c r="I7" s="3145"/>
      <c r="J7" s="351"/>
      <c r="K7" s="352"/>
      <c r="L7" s="347" t="s">
        <v>1400</v>
      </c>
      <c r="M7" s="348">
        <f ca="1">F7</f>
        <v>1894.58</v>
      </c>
    </row>
    <row r="8" spans="1:37" ht="18" customHeight="1">
      <c r="A8" s="349"/>
      <c r="B8" s="3145"/>
      <c r="C8" s="351"/>
      <c r="D8" s="352"/>
      <c r="E8" s="347" t="s">
        <v>1401</v>
      </c>
      <c r="F8" s="348">
        <f ca="1">INDIRECT("'数据-取费表'!ai"&amp;$G$1)</f>
        <v>365</v>
      </c>
      <c r="G8" s="1851"/>
      <c r="H8" s="349"/>
      <c r="I8" s="3145"/>
      <c r="J8" s="351"/>
      <c r="K8" s="352"/>
      <c r="L8" s="347" t="s">
        <v>1401</v>
      </c>
      <c r="M8" s="348">
        <f ca="1">INDIRECT("'数据-取费表'!ai"&amp;$G$1)</f>
        <v>365</v>
      </c>
    </row>
    <row r="9" spans="1:37" ht="18" customHeight="1">
      <c r="A9" s="349"/>
      <c r="B9" s="3146"/>
      <c r="C9" s="351"/>
      <c r="D9" s="352"/>
      <c r="E9" s="347" t="s">
        <v>1402</v>
      </c>
      <c r="F9" s="357">
        <f ca="1">INDIRECT("'数据-取费表'!w"&amp;$G$1)</f>
        <v>0.1</v>
      </c>
      <c r="G9" s="1851"/>
      <c r="H9" s="349"/>
      <c r="I9" s="31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3032</v>
      </c>
      <c r="E10" s="358" t="s">
        <v>1404</v>
      </c>
      <c r="F10" s="1366" t="s">
        <v>3107</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718</v>
      </c>
      <c r="D13" s="1331" t="s">
        <v>1409</v>
      </c>
      <c r="E13" s="1331" t="s">
        <v>1410</v>
      </c>
      <c r="F13" s="1332">
        <f ca="1">INDIRECT("'数据-取费表'!y"&amp;$G$1)</f>
        <v>0.77</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663</v>
      </c>
      <c r="D14" s="1800" t="s">
        <v>1412</v>
      </c>
      <c r="E14" s="1794"/>
      <c r="F14" s="364"/>
      <c r="G14" s="1851"/>
      <c r="H14" s="1201" t="s">
        <v>1031</v>
      </c>
      <c r="I14" s="347" t="s">
        <v>1413</v>
      </c>
      <c r="J14" s="24">
        <f ca="1">C29</f>
        <v>933</v>
      </c>
      <c r="K14" s="15"/>
      <c r="L14" s="979"/>
      <c r="M14" s="980"/>
    </row>
    <row r="15" spans="1:37" s="1858" customFormat="1" ht="18" customHeight="1" thickBot="1">
      <c r="A15" s="1201" t="s">
        <v>1032</v>
      </c>
      <c r="B15" s="347" t="s">
        <v>1414</v>
      </c>
      <c r="C15" s="24">
        <f ca="1">ROUND(C14*F15,0)</f>
        <v>20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14</v>
      </c>
      <c r="K16" s="1337" t="s">
        <v>1419</v>
      </c>
      <c r="L16" s="1338"/>
      <c r="M16" s="1294"/>
    </row>
    <row r="17" spans="1:37" s="1858" customFormat="1" ht="18" customHeight="1">
      <c r="A17" s="1201" t="s">
        <v>1384</v>
      </c>
      <c r="B17" s="347" t="s">
        <v>1420</v>
      </c>
      <c r="C17" s="24">
        <f ca="1">ROUND(F17*(F43+INDIRECT("'数据-取费表'!S"&amp;$G$1))/10000,0)</f>
        <v>28</v>
      </c>
      <c r="D17" s="347" t="s">
        <v>1421</v>
      </c>
      <c r="E17" s="347" t="s">
        <v>1422</v>
      </c>
      <c r="F17" s="26">
        <f>'数据-取费表'!B35</f>
        <v>150</v>
      </c>
      <c r="G17" s="1854"/>
      <c r="H17" s="1201" t="s">
        <v>1031</v>
      </c>
      <c r="I17" s="347" t="s">
        <v>1423</v>
      </c>
      <c r="J17" s="24">
        <f ca="1">ROUND(IF(项目基本情况!B11="自然人",J6*M17/(1+'数据-取费表'!C42),J18+J19+J20),1)</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721</v>
      </c>
      <c r="D19" s="140" t="s">
        <v>1430</v>
      </c>
      <c r="E19" s="1818"/>
      <c r="F19" s="26"/>
      <c r="G19" s="1851"/>
      <c r="H19" s="1201" t="s">
        <v>1032</v>
      </c>
      <c r="I19" s="347" t="s">
        <v>1431</v>
      </c>
      <c r="J19" s="24">
        <f ca="1">IF(K19="按租金收入计税",ROUND(J6*M19/(1+'数据-取费表'!C42),2),ROUND(C29*M19*0.7,2))</f>
        <v>7.84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14</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14</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-14</v>
      </c>
      <c r="K25" s="1345" t="s">
        <v>1458</v>
      </c>
      <c r="L25" s="1346"/>
      <c r="M25" s="1347"/>
    </row>
    <row r="26" spans="1:37">
      <c r="A26" s="1201" t="s">
        <v>1030</v>
      </c>
      <c r="B26" s="347" t="s">
        <v>1459</v>
      </c>
      <c r="C26" s="24">
        <f ca="1">ROUND((C19+C20)*F26,0)</f>
        <v>110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933</v>
      </c>
      <c r="D29" s="1342"/>
      <c r="E29" s="1340"/>
      <c r="F29" s="1343"/>
      <c r="G29" s="1854"/>
      <c r="H29" s="380" t="s">
        <v>1029</v>
      </c>
      <c r="I29" s="381" t="s">
        <v>1473</v>
      </c>
      <c r="J29" s="382">
        <f ca="1">ROUND(J26/(1+F40)^F41,0)</f>
        <v>0</v>
      </c>
      <c r="K29" s="383" t="s">
        <v>1474</v>
      </c>
      <c r="L29" s="384"/>
      <c r="M29" s="385">
        <f ca="1">INDIRECT("'数据-取费表'!k"&amp;$G$1)</f>
        <v>1894.58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73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53.4</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t="str">
        <f>IF(项目基本情况!B11="自然人","——",ROUND(C6*F32/(1+'数据-取费表'!C42),2))</f>
        <v>——</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8" t="s">
        <v>3108</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t="str">
        <f>IF(项目基本情况!B11="自然人","——",ROUND(F34*F35/10000,2))</f>
        <v>——</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14</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1.1000000000000001</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4.7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395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7125</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25</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37607</v>
      </c>
      <c r="D43" s="383" t="s">
        <v>1482</v>
      </c>
      <c r="E43" s="384" t="s">
        <v>1483</v>
      </c>
      <c r="F43" s="385">
        <f ca="1">INDIRECT("'数据-取费表'!k"&amp;$G$1)</f>
        <v>1894.58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-7326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3109</v>
      </c>
      <c r="K47" s="1882" t="s">
        <v>1521</v>
      </c>
      <c r="L47" s="1883">
        <f ca="1">INDIRECT("'数据-取费表'!d"&amp;$G$1)</f>
        <v>40</v>
      </c>
      <c r="M47" s="1838" t="str">
        <f>IF(ISNUMBER(FIND("住宅",C1)),"住宅","非住宅")</f>
        <v>非住宅</v>
      </c>
      <c r="O47" s="1884" t="s">
        <v>1036</v>
      </c>
      <c r="P47" s="1885" t="s">
        <v>1522</v>
      </c>
      <c r="Q47" s="1886">
        <f ca="1">C40+J29</f>
        <v>7125</v>
      </c>
      <c r="R47" s="1886" t="s">
        <v>1523</v>
      </c>
    </row>
    <row r="48" spans="1:18" s="1842" customFormat="1" ht="28.5" thickBot="1">
      <c r="A48" s="1360" t="s">
        <v>1131</v>
      </c>
      <c r="B48" s="345" t="s">
        <v>1395</v>
      </c>
      <c r="C48" s="1817">
        <f ca="1">C49+C53+C55</f>
        <v>0</v>
      </c>
      <c r="D48" s="1362"/>
      <c r="E48" s="1363"/>
      <c r="F48" s="1181"/>
      <c r="G48" s="792"/>
      <c r="H48" s="793"/>
      <c r="I48" s="1887" t="s">
        <v>1524</v>
      </c>
      <c r="J48" s="1888" t="s">
        <v>3110</v>
      </c>
      <c r="K48" s="1889" t="s">
        <v>1525</v>
      </c>
      <c r="L48" s="1890">
        <f ca="1">INDIRECT("'数据-取费表'!f"&amp;$G$1)</f>
        <v>25</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3024</v>
      </c>
      <c r="E49" s="1830" t="s">
        <v>1485</v>
      </c>
      <c r="F49" s="1281"/>
      <c r="G49" s="1891"/>
      <c r="H49" s="793"/>
      <c r="I49" s="1887" t="s">
        <v>1528</v>
      </c>
      <c r="J49" s="1892">
        <f>'数据-取费表'!N18</f>
        <v>2006</v>
      </c>
      <c r="K49" s="1889" t="s">
        <v>1529</v>
      </c>
      <c r="L49" s="1893"/>
      <c r="O49" s="1894" t="s">
        <v>1038</v>
      </c>
      <c r="P49" s="1885" t="s">
        <v>1530</v>
      </c>
      <c r="Q49" s="1886">
        <f ca="1">C29</f>
        <v>933</v>
      </c>
      <c r="R49" s="1886" t="s">
        <v>1523</v>
      </c>
    </row>
    <row r="50" spans="1:18" s="1842" customFormat="1" ht="13.5" thickBot="1">
      <c r="A50" s="1195"/>
      <c r="B50" s="1198"/>
      <c r="C50" s="1368"/>
      <c r="D50" s="1172"/>
      <c r="E50" s="1277" t="s">
        <v>1400</v>
      </c>
      <c r="F50" s="1278">
        <f ca="1">F7</f>
        <v>1894.58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46</v>
      </c>
      <c r="K51" s="1900" t="s">
        <v>1535</v>
      </c>
      <c r="L51" s="1901">
        <f ca="1">ROUND(-PV(INDIRECT("'数据-取费表'!h"&amp;$G$1),L48,(C39-C13*C76),0),0)</f>
        <v>4707</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25</v>
      </c>
      <c r="R52" s="1886" t="s">
        <v>1540</v>
      </c>
    </row>
    <row r="53" spans="1:18" s="1842" customFormat="1" ht="24.75" thickBot="1">
      <c r="A53" s="1405" t="s">
        <v>1133</v>
      </c>
      <c r="B53" s="1831" t="s">
        <v>1403</v>
      </c>
      <c r="C53" s="361">
        <f ca="1">ROUND(IF(F53="押一",C49/12*F11,IF(F53="押二",C49/12*2*F11,IF(F53="押三",C49/12*3*F11,C54*F11))),0)</f>
        <v>0</v>
      </c>
      <c r="D53" s="1824" t="s">
        <v>3031</v>
      </c>
      <c r="E53" s="358" t="s">
        <v>1404</v>
      </c>
      <c r="F53" s="1366"/>
      <c r="I53" s="1905" t="s">
        <v>1541</v>
      </c>
      <c r="J53" s="2951">
        <f ca="1">IF(M47="住宅",IF(D1="——",MAX(J51,L48),MAX(J51,L48-'数据-取费表'!B24)),IF(D1="——",MIN(J51,L48),MIN(J51,L48-'数据-取费表'!B24)))</f>
        <v>25</v>
      </c>
      <c r="K53" s="3142" t="s">
        <v>1542</v>
      </c>
      <c r="L53" s="3143"/>
      <c r="O53" s="1884" t="s">
        <v>1042</v>
      </c>
      <c r="P53" s="1885" t="s">
        <v>1543</v>
      </c>
      <c r="Q53" s="1886">
        <f ca="1">Q47+Q48</f>
        <v>7125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718</v>
      </c>
      <c r="D56" s="1913"/>
      <c r="E56" s="1914"/>
      <c r="F56" s="1906"/>
      <c r="I56" s="1915" t="s">
        <v>1548</v>
      </c>
      <c r="J56" s="1916" t="s">
        <v>3071</v>
      </c>
      <c r="K56" s="1887" t="s">
        <v>1549</v>
      </c>
      <c r="L56" s="1890" t="str">
        <f ca="1">IF(L48&lt;J51,"——",L48-J53)</f>
        <v>——</v>
      </c>
      <c r="O56" s="1884" t="s">
        <v>1036</v>
      </c>
      <c r="P56" s="1885" t="s">
        <v>1522</v>
      </c>
      <c r="Q56" s="1886">
        <f ca="1">C40+J29</f>
        <v>7125</v>
      </c>
      <c r="R56" s="1886" t="s">
        <v>1523</v>
      </c>
    </row>
    <row r="57" spans="1:18" s="1842" customFormat="1" ht="24.75" thickBot="1">
      <c r="A57" s="1917"/>
      <c r="B57" s="1169" t="s">
        <v>1472</v>
      </c>
      <c r="C57" s="282">
        <f ca="1">C29</f>
        <v>933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t="str">
        <f ca="1">IF(项目基本情况!B11="自然人","——",IF(D61="按租金收入计税",ROUND(C48*F61,2),IF(D61="按房产原值计税",ROUND(C57*F61*0.7,2),INDIRECT("'数据-取费表'!Aj"&amp;$G$1))))</f>
        <v>——</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t="str">
        <f>IF(项目基本情况!B11="自然人","——",ROUND(F62*F63/10000,2))</f>
        <v>——</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7125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14</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1.1000000000000001</v>
      </c>
      <c r="D65" s="1183" t="s">
        <v>1448</v>
      </c>
      <c r="E65" s="1169" t="s">
        <v>1449</v>
      </c>
      <c r="F65" s="376">
        <f t="shared" ca="1" si="0"/>
        <v>1.5E-3</v>
      </c>
      <c r="I65" s="1928" t="s">
        <v>1573</v>
      </c>
      <c r="J65" s="1929">
        <v>40</v>
      </c>
      <c r="K65" s="1929">
        <v>30</v>
      </c>
      <c r="L65" s="1929">
        <v>50</v>
      </c>
      <c r="M65" s="1931">
        <v>0.02</v>
      </c>
      <c r="O65" s="1884" t="s">
        <v>1036</v>
      </c>
      <c r="P65" s="1885" t="s">
        <v>1574</v>
      </c>
      <c r="Q65" s="1886">
        <f ca="1">C40+J29</f>
        <v>7125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-15</v>
      </c>
      <c r="D67" s="1182" t="s">
        <v>1458</v>
      </c>
      <c r="E67" s="1187"/>
      <c r="F67" s="1188"/>
      <c r="O67" s="1894" t="s">
        <v>1038</v>
      </c>
      <c r="P67" s="1885" t="s">
        <v>1556</v>
      </c>
      <c r="Q67" s="1932">
        <f ca="1">L51</f>
        <v>4707</v>
      </c>
      <c r="R67" s="1886" t="s">
        <v>1576</v>
      </c>
    </row>
    <row r="68" spans="1:18" s="1842" customFormat="1" ht="16.5" thickBot="1">
      <c r="A68" s="1166" t="s">
        <v>1028</v>
      </c>
      <c r="B68" s="1167" t="s">
        <v>1479</v>
      </c>
      <c r="C68" s="346">
        <f ca="1">ROUND(C67*(1-((1+F70)/(1+F68))^F69)/(F68-F70),0)</f>
        <v>-201</v>
      </c>
      <c r="D68" s="1184" t="s">
        <v>1463</v>
      </c>
      <c r="E68" s="1169" t="s">
        <v>1464</v>
      </c>
      <c r="F68" s="357">
        <f ca="1">F40</f>
        <v>5.5E-2</v>
      </c>
      <c r="O68" s="1894" t="s">
        <v>1039</v>
      </c>
      <c r="P68" s="1933" t="s">
        <v>1577</v>
      </c>
      <c r="Q68" s="1886">
        <f ca="1">ROUND(Q69-Q70*Q71,0)</f>
        <v>334</v>
      </c>
      <c r="R68" s="1886" t="s">
        <v>1047</v>
      </c>
    </row>
    <row r="69" spans="1:18" s="1842" customFormat="1" ht="13.5" thickBot="1">
      <c r="A69" s="1170"/>
      <c r="B69" s="1171"/>
      <c r="C69" s="351"/>
      <c r="D69" s="1189" t="s">
        <v>1467</v>
      </c>
      <c r="E69" s="1169" t="s">
        <v>1468</v>
      </c>
      <c r="F69" s="379">
        <f ca="1">F41</f>
        <v>25</v>
      </c>
      <c r="O69" s="1894" t="s">
        <v>1044</v>
      </c>
      <c r="P69" s="1933" t="s">
        <v>1578</v>
      </c>
      <c r="Q69" s="1886">
        <f ca="1">C39</f>
        <v>395</v>
      </c>
      <c r="R69" s="1886" t="s">
        <v>1523</v>
      </c>
    </row>
    <row r="70" spans="1:18" s="1842" customFormat="1" ht="13.5" thickBot="1">
      <c r="A70" s="1173"/>
      <c r="B70" s="1174"/>
      <c r="C70" s="355"/>
      <c r="D70" s="1185"/>
      <c r="E70" s="1169" t="s">
        <v>1471</v>
      </c>
      <c r="F70" s="1275"/>
      <c r="O70" s="1894" t="s">
        <v>1045</v>
      </c>
      <c r="P70" s="1933" t="s">
        <v>1579</v>
      </c>
      <c r="Q70" s="1886">
        <f ca="1">C13</f>
        <v>718</v>
      </c>
      <c r="R70" s="1886" t="s">
        <v>1523</v>
      </c>
    </row>
    <row r="71" spans="1:18" s="1842" customFormat="1" ht="13.5" thickBot="1">
      <c r="A71" s="1190" t="s">
        <v>1029</v>
      </c>
      <c r="B71" s="1191" t="s">
        <v>1481</v>
      </c>
      <c r="C71" s="382">
        <f ca="1">ROUND(C68*10000/F71,0)</f>
        <v>-1061</v>
      </c>
      <c r="D71" s="1192" t="s">
        <v>1482</v>
      </c>
      <c r="E71" s="1193" t="s">
        <v>1483</v>
      </c>
      <c r="F71" s="385">
        <f ca="1">F43</f>
        <v>1894.58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61</v>
      </c>
      <c r="D75" s="1842"/>
      <c r="E75" s="1842"/>
      <c r="F75" s="1842"/>
      <c r="K75" s="1868"/>
      <c r="L75" s="1842"/>
      <c r="O75" s="1884" t="s">
        <v>1042</v>
      </c>
      <c r="P75" s="1885" t="s">
        <v>1543</v>
      </c>
      <c r="Q75" s="1886">
        <f ca="1">Q65+Q66</f>
        <v>7125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0.84599999999999997</v>
      </c>
    </row>
    <row r="80" spans="1:18">
      <c r="B80" s="386" t="s">
        <v>1505</v>
      </c>
      <c r="C80" s="318">
        <f ca="1">ROUND(C75/C39,3)</f>
        <v>0.154</v>
      </c>
    </row>
    <row r="81" spans="2:3">
      <c r="B81" s="314" t="s">
        <v>1506</v>
      </c>
      <c r="C81" s="282"/>
    </row>
    <row r="82" spans="2:3">
      <c r="B82" s="317" t="s">
        <v>1507</v>
      </c>
      <c r="C82" s="319">
        <f ca="1">1-C83</f>
        <v>0.89900000000000002</v>
      </c>
    </row>
    <row r="83" spans="2:3">
      <c r="B83" s="317" t="s">
        <v>1508</v>
      </c>
      <c r="C83" s="318">
        <f ca="1">ROUND(C13/C40,3)</f>
        <v>0.10100000000000001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4" t="s">
        <v>1397</v>
      </c>
      <c r="C6" s="1296">
        <f ca="1">ROUND(F6*F8*F7*(1-F9),0)</f>
        <v>0</v>
      </c>
      <c r="D6" s="164" t="s">
        <v>3020</v>
      </c>
      <c r="E6" s="347" t="s">
        <v>1399</v>
      </c>
      <c r="F6" s="348">
        <f ca="1">INDIRECT("'数据-取费表'!u"&amp;$G$1)</f>
        <v>0</v>
      </c>
      <c r="G6" s="1851"/>
      <c r="H6" s="1291" t="s">
        <v>1031</v>
      </c>
      <c r="I6" s="3144" t="s">
        <v>1397</v>
      </c>
      <c r="J6" s="346">
        <f ca="1">ROUND(M6*M8*M7*(1-M9),0)</f>
        <v>0</v>
      </c>
      <c r="K6" s="1834" t="s">
        <v>3021</v>
      </c>
      <c r="L6" s="347" t="s">
        <v>1399</v>
      </c>
      <c r="M6" s="348">
        <f ca="1">INDIRECT("'数据-取费表'!z"&amp;$G$1)</f>
        <v>0</v>
      </c>
    </row>
    <row r="7" spans="1:37" ht="18" customHeight="1">
      <c r="A7" s="1295"/>
      <c r="B7" s="3145"/>
      <c r="C7" s="1297"/>
      <c r="D7" s="352"/>
      <c r="E7" s="1298" t="s">
        <v>1400</v>
      </c>
      <c r="F7" s="348">
        <f ca="1">IF(INDIRECT("'数据-取费表'!ah"&amp;$G$1)="",INDIRECT("'数据-取费表'!k"&amp;$G$1),INDIRECT("'数据-取费表'!ah"&amp;$G$1))</f>
        <v>0</v>
      </c>
      <c r="G7" s="1851"/>
      <c r="H7" s="349"/>
      <c r="I7" s="3145"/>
      <c r="J7" s="351"/>
      <c r="K7" s="352"/>
      <c r="L7" s="347" t="s">
        <v>1400</v>
      </c>
      <c r="M7" s="348">
        <f ca="1">F7</f>
        <v>0</v>
      </c>
    </row>
    <row r="8" spans="1:37" ht="18" customHeight="1">
      <c r="A8" s="349"/>
      <c r="B8" s="3145"/>
      <c r="C8" s="351"/>
      <c r="D8" s="352"/>
      <c r="E8" s="347" t="s">
        <v>1401</v>
      </c>
      <c r="F8" s="348">
        <f ca="1">INDIRECT("'数据-取费表'!ai"&amp;$G$1)</f>
        <v>0</v>
      </c>
      <c r="G8" s="1851"/>
      <c r="H8" s="349"/>
      <c r="I8" s="3145"/>
      <c r="J8" s="351"/>
      <c r="K8" s="352"/>
      <c r="L8" s="347" t="s">
        <v>1401</v>
      </c>
      <c r="M8" s="348">
        <f ca="1">INDIRECT("'数据-取费表'!ai"&amp;$G$1)</f>
        <v>0</v>
      </c>
    </row>
    <row r="9" spans="1:37" ht="18" customHeight="1">
      <c r="A9" s="349"/>
      <c r="B9" s="3146"/>
      <c r="C9" s="351"/>
      <c r="D9" s="352"/>
      <c r="E9" s="347" t="s">
        <v>1402</v>
      </c>
      <c r="F9" s="357">
        <f ca="1">INDIRECT("'数据-取费表'!w"&amp;$G$1)</f>
        <v>0</v>
      </c>
      <c r="G9" s="1851"/>
      <c r="H9" s="349"/>
      <c r="I9" s="31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3031</v>
      </c>
      <c r="E10" s="358" t="s">
        <v>1404</v>
      </c>
      <c r="F10" s="1366"/>
      <c r="G10" s="1851"/>
      <c r="H10" s="1291" t="s">
        <v>1035</v>
      </c>
      <c r="I10" s="1823" t="s">
        <v>1403</v>
      </c>
      <c r="J10" s="346">
        <f ca="1">ROUND(IF(M10="押一",J6/12*M11,IF(M10="押二",J6/12*2*M11,IF(M10="押三",J6/12*3*M11,J11*M11))),0)</f>
        <v>0</v>
      </c>
      <c r="K10" s="1835" t="s">
        <v>3033</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150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t="str">
        <f>IF(项目基本情况!B11="自然人","——",ROUND(C6*F32/(1+'数据-取费表'!C42),0))</f>
        <v>——</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str">
        <f>IF(项目基本情况!B11="自然人","——",ROUND(F34*F35,))</f>
        <v>——</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3034</v>
      </c>
      <c r="E53" s="358" t="s">
        <v>1404</v>
      </c>
      <c r="F53" s="1366"/>
      <c r="I53" s="1905" t="s">
        <v>1541</v>
      </c>
      <c r="J53" s="2951">
        <f ca="1">IF(M47="住宅",IF(D1="——",MAX(J51,L48),MAX(J51,L48-'数据-取费表'!B24)),IF(D1="——",MIN(J51,L48),MIN(J51,L48-'数据-取费表'!B24)))</f>
        <v>0</v>
      </c>
      <c r="K53" s="3142" t="s">
        <v>1542</v>
      </c>
      <c r="L53" s="3143"/>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t="str">
        <f ca="1">IF(项目基本情况!B11="自然人","——",IF(D61="按租金收入计税",ROUND(C48*F61,0),IF(D61="按房产原值计税",ROUND(C57*F61*0.7,0),INDIRECT("'数据-取费表'!Aj"&amp;$G$1))))</f>
        <v>——</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t="str">
        <f>IF(项目基本情况!B11="自然人","——",ROUND(F62*F63,0))</f>
        <v>——</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2518</v>
      </c>
      <c r="B1" s="2563"/>
      <c r="C1" s="2563"/>
      <c r="D1" s="2563"/>
      <c r="E1" s="2564"/>
    </row>
    <row r="2" spans="1:6" ht="15.75">
      <c r="A2" s="2565" t="s">
        <v>2319</v>
      </c>
      <c r="B2" s="2566">
        <f ca="1">SUMIF(B6:B13,"&lt;&gt;#ref!",B6:B13)</f>
        <v>7125</v>
      </c>
      <c r="C2" s="2567" t="s">
        <v>2511</v>
      </c>
      <c r="D2" s="2568" t="s">
        <v>2512</v>
      </c>
      <c r="E2" s="2569">
        <f>SUM(E6:E13)</f>
        <v>1894.58</v>
      </c>
    </row>
    <row r="3" spans="1:6" ht="15.75">
      <c r="A3" s="2565" t="s">
        <v>1389</v>
      </c>
      <c r="B3" s="2566">
        <f ca="1">ROUND(B2*10000/E2,0)</f>
        <v>37607</v>
      </c>
      <c r="C3" s="2567" t="s">
        <v>2519</v>
      </c>
      <c r="D3" s="2570"/>
      <c r="E3" s="2571"/>
    </row>
    <row r="4" spans="1:6" ht="15.75">
      <c r="A4" s="2572"/>
      <c r="B4" s="2570"/>
      <c r="C4" s="2570"/>
      <c r="D4" s="2570"/>
      <c r="E4" s="2571"/>
    </row>
    <row r="5" spans="1:6" ht="15">
      <c r="A5" s="2573" t="s">
        <v>2513</v>
      </c>
      <c r="B5" s="3147" t="s">
        <v>2514</v>
      </c>
      <c r="C5" s="3147"/>
      <c r="D5" s="2574"/>
      <c r="E5" s="2575" t="s">
        <v>2515</v>
      </c>
      <c r="F5" s="2576" t="s">
        <v>2516</v>
      </c>
    </row>
    <row r="6" spans="1:6">
      <c r="A6" s="2577" t="str">
        <f>'数据-取费表'!AN6</f>
        <v>收益法</v>
      </c>
      <c r="B6" s="2576">
        <f ca="1">IF(F6="是",'数据-取费表'!AO6,0)</f>
        <v>7125</v>
      </c>
      <c r="C6" s="2567" t="s">
        <v>2511</v>
      </c>
      <c r="D6" s="2570"/>
      <c r="E6" s="2578">
        <f>IF(OR(A6=0,F6="否"),0,'数据-取费表'!K6+'数据-取费表'!S6)</f>
        <v>1894.58</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54" t="s">
        <v>1073</v>
      </c>
      <c r="B2" s="3155" t="s">
        <v>1074</v>
      </c>
      <c r="C2" s="3155"/>
      <c r="D2" s="1301" t="s">
        <v>1075</v>
      </c>
      <c r="E2" s="1301" t="s">
        <v>1076</v>
      </c>
      <c r="F2" s="1301" t="s">
        <v>1077</v>
      </c>
      <c r="G2" s="1301" t="s">
        <v>1078</v>
      </c>
      <c r="H2" s="1301" t="s">
        <v>1079</v>
      </c>
      <c r="I2" s="1302" t="s">
        <v>1080</v>
      </c>
    </row>
    <row r="3" spans="1:9">
      <c r="A3" s="3154"/>
      <c r="B3" s="3155" t="s">
        <v>1081</v>
      </c>
      <c r="C3" s="3155"/>
      <c r="D3" s="1303"/>
      <c r="E3" s="1301"/>
      <c r="F3" s="1304"/>
      <c r="G3" s="1304"/>
      <c r="H3" s="1305"/>
      <c r="I3" s="1306">
        <f>ROUND(D3*E3*F3*G3*H3/10000,0)</f>
        <v>0</v>
      </c>
    </row>
    <row r="4" spans="1:9">
      <c r="A4" s="3154"/>
      <c r="B4" s="3155" t="s">
        <v>1082</v>
      </c>
      <c r="C4" s="3155"/>
      <c r="D4" s="1303"/>
      <c r="E4" s="1301"/>
      <c r="F4" s="1304"/>
      <c r="G4" s="1304"/>
      <c r="H4" s="1305"/>
      <c r="I4" s="1306">
        <f t="shared" ref="I4:I9" si="0">ROUND(D4*E4*F4*G4*H4/10000,0)</f>
        <v>0</v>
      </c>
    </row>
    <row r="5" spans="1:9">
      <c r="A5" s="3154"/>
      <c r="B5" s="3155" t="s">
        <v>1083</v>
      </c>
      <c r="C5" s="3155"/>
      <c r="D5" s="1303"/>
      <c r="E5" s="1301"/>
      <c r="F5" s="1304"/>
      <c r="G5" s="1304"/>
      <c r="H5" s="1305"/>
      <c r="I5" s="1306">
        <f t="shared" si="0"/>
        <v>0</v>
      </c>
    </row>
    <row r="6" spans="1:9">
      <c r="A6" s="3154"/>
      <c r="B6" s="3155" t="s">
        <v>1084</v>
      </c>
      <c r="C6" s="3155"/>
      <c r="D6" s="1303"/>
      <c r="E6" s="1301"/>
      <c r="F6" s="1304"/>
      <c r="G6" s="1304"/>
      <c r="H6" s="1305"/>
      <c r="I6" s="1306">
        <f t="shared" si="0"/>
        <v>0</v>
      </c>
    </row>
    <row r="7" spans="1:9">
      <c r="A7" s="3154"/>
      <c r="B7" s="3155" t="s">
        <v>1085</v>
      </c>
      <c r="C7" s="3155"/>
      <c r="D7" s="1303"/>
      <c r="E7" s="1301"/>
      <c r="F7" s="1304"/>
      <c r="G7" s="1304"/>
      <c r="H7" s="1305"/>
      <c r="I7" s="1306">
        <f t="shared" si="0"/>
        <v>0</v>
      </c>
    </row>
    <row r="8" spans="1:9">
      <c r="A8" s="3154"/>
      <c r="B8" s="3155" t="s">
        <v>1086</v>
      </c>
      <c r="C8" s="3155"/>
      <c r="D8" s="1303"/>
      <c r="E8" s="1301"/>
      <c r="F8" s="1304"/>
      <c r="G8" s="1304"/>
      <c r="H8" s="1305"/>
      <c r="I8" s="1306">
        <f t="shared" si="0"/>
        <v>0</v>
      </c>
    </row>
    <row r="9" spans="1:9">
      <c r="A9" s="3154"/>
      <c r="B9" s="3155" t="s">
        <v>1087</v>
      </c>
      <c r="C9" s="3155"/>
      <c r="D9" s="1303"/>
      <c r="E9" s="1301"/>
      <c r="F9" s="1304"/>
      <c r="G9" s="1304"/>
      <c r="H9" s="1305"/>
      <c r="I9" s="1306">
        <f t="shared" si="0"/>
        <v>0</v>
      </c>
    </row>
    <row r="10" spans="1:9">
      <c r="A10" s="3154"/>
      <c r="B10" s="3156" t="s">
        <v>1088</v>
      </c>
      <c r="C10" s="3156"/>
      <c r="D10" s="1307"/>
      <c r="E10" s="1307" t="e">
        <f>ROUND(D1*10000/D10/H9,0)</f>
        <v>#DIV/0!</v>
      </c>
      <c r="F10" s="1308"/>
      <c r="G10" s="1308"/>
      <c r="H10" s="1309"/>
      <c r="I10" s="1310">
        <f>SUM(I3:I9)</f>
        <v>0</v>
      </c>
    </row>
    <row r="11" spans="1:9" ht="14.25">
      <c r="A11" s="3154" t="s">
        <v>1089</v>
      </c>
      <c r="B11" s="3155" t="s">
        <v>1090</v>
      </c>
      <c r="C11" s="3155"/>
      <c r="D11" s="1303" t="s">
        <v>1091</v>
      </c>
      <c r="E11" s="1303" t="s">
        <v>1092</v>
      </c>
      <c r="F11" s="1304" t="s">
        <v>1093</v>
      </c>
      <c r="G11" s="1304" t="s">
        <v>1079</v>
      </c>
      <c r="H11" s="1311" t="s">
        <v>1094</v>
      </c>
      <c r="I11" s="1302" t="s">
        <v>1080</v>
      </c>
    </row>
    <row r="12" spans="1:9">
      <c r="A12" s="3154"/>
      <c r="B12" s="3155" t="s">
        <v>1095</v>
      </c>
      <c r="C12" s="3155"/>
      <c r="D12" s="1303"/>
      <c r="E12" s="1303"/>
      <c r="F12" s="1304"/>
      <c r="G12" s="1305"/>
      <c r="H12" s="1312"/>
      <c r="I12" s="1302">
        <f>ROUND(D12*E12*F12*G12/10000,0)</f>
        <v>0</v>
      </c>
    </row>
    <row r="13" spans="1:9">
      <c r="A13" s="3154"/>
      <c r="B13" s="3155" t="s">
        <v>1096</v>
      </c>
      <c r="C13" s="3155"/>
      <c r="D13" s="1303"/>
      <c r="E13" s="1303"/>
      <c r="F13" s="1304"/>
      <c r="G13" s="1305"/>
      <c r="H13" s="1312"/>
      <c r="I13" s="1302">
        <f>ROUND(D13*E13*F13*G13/10000,0)</f>
        <v>0</v>
      </c>
    </row>
    <row r="14" spans="1:9">
      <c r="A14" s="3154"/>
      <c r="B14" s="3155" t="s">
        <v>1097</v>
      </c>
      <c r="C14" s="3155"/>
      <c r="D14" s="1303"/>
      <c r="E14" s="1303"/>
      <c r="F14" s="1304"/>
      <c r="G14" s="1305"/>
      <c r="H14" s="1312"/>
      <c r="I14" s="1302">
        <f>ROUND(D14*E14*F14*G14/10000,0)</f>
        <v>0</v>
      </c>
    </row>
    <row r="15" spans="1:9">
      <c r="A15" s="3154"/>
      <c r="B15" s="3156" t="s">
        <v>1088</v>
      </c>
      <c r="C15" s="3156"/>
      <c r="D15" s="1307"/>
      <c r="E15" s="1307">
        <f>SUM(E12:E14)</f>
        <v>0</v>
      </c>
      <c r="F15" s="1308"/>
      <c r="G15" s="1305"/>
      <c r="H15" s="1312"/>
      <c r="I15" s="1313">
        <f>SUM(I12:I14)</f>
        <v>0</v>
      </c>
    </row>
    <row r="16" spans="1:9" ht="24">
      <c r="A16" s="3154" t="s">
        <v>1098</v>
      </c>
      <c r="B16" s="3155" t="s">
        <v>1099</v>
      </c>
      <c r="C16" s="3155"/>
      <c r="D16" s="1303" t="s">
        <v>1075</v>
      </c>
      <c r="E16" s="1314" t="s">
        <v>1100</v>
      </c>
      <c r="F16" s="1304" t="s">
        <v>1101</v>
      </c>
      <c r="G16" s="1305" t="s">
        <v>1079</v>
      </c>
      <c r="H16" s="1311" t="s">
        <v>1094</v>
      </c>
      <c r="I16" s="1302" t="s">
        <v>1080</v>
      </c>
    </row>
    <row r="17" spans="1:9" ht="14.25">
      <c r="A17" s="3154"/>
      <c r="B17" s="3155" t="s">
        <v>1102</v>
      </c>
      <c r="C17" s="3155"/>
      <c r="D17" s="1303"/>
      <c r="E17" s="1303"/>
      <c r="F17" s="1304"/>
      <c r="G17" s="1305"/>
      <c r="H17" s="1315"/>
      <c r="I17" s="1316">
        <f>ROUND(D17*E17*F17*G17/10000,0)</f>
        <v>0</v>
      </c>
    </row>
    <row r="18" spans="1:9" ht="14.25">
      <c r="A18" s="3154"/>
      <c r="B18" s="3155" t="s">
        <v>1103</v>
      </c>
      <c r="C18" s="3155"/>
      <c r="D18" s="1303"/>
      <c r="E18" s="1303"/>
      <c r="F18" s="1304"/>
      <c r="G18" s="1305"/>
      <c r="H18" s="1315"/>
      <c r="I18" s="1316">
        <f>ROUND(D18*E18*F18*G18/10000,0)</f>
        <v>0</v>
      </c>
    </row>
    <row r="19" spans="1:9" ht="14.25">
      <c r="A19" s="3154"/>
      <c r="B19" s="3155" t="s">
        <v>1104</v>
      </c>
      <c r="C19" s="3155"/>
      <c r="D19" s="1303"/>
      <c r="E19" s="1303"/>
      <c r="F19" s="1304"/>
      <c r="G19" s="1305"/>
      <c r="H19" s="1315"/>
      <c r="I19" s="1316">
        <f>ROUND(D19*E19*F19*G19/10000,0)</f>
        <v>0</v>
      </c>
    </row>
    <row r="20" spans="1:9">
      <c r="A20" s="3154"/>
      <c r="B20" s="3156" t="s">
        <v>1088</v>
      </c>
      <c r="C20" s="3156"/>
      <c r="D20" s="1307">
        <f>SUM(D17:D19)</f>
        <v>0</v>
      </c>
      <c r="E20" s="1307"/>
      <c r="F20" s="1308"/>
      <c r="G20" s="1305"/>
      <c r="H20" s="1312"/>
      <c r="I20" s="1313">
        <f>SUM(I17:I19)</f>
        <v>0</v>
      </c>
    </row>
    <row r="21" spans="1:9">
      <c r="A21" s="3154" t="s">
        <v>1105</v>
      </c>
      <c r="B21" s="3157"/>
      <c r="C21" s="3157"/>
      <c r="D21" s="3157"/>
      <c r="E21" s="3157"/>
      <c r="F21" s="3157"/>
      <c r="G21" s="3157"/>
      <c r="H21" s="1765">
        <v>0.1</v>
      </c>
      <c r="I21" s="1310">
        <f>ROUND(I10*H21,0)</f>
        <v>0</v>
      </c>
    </row>
    <row r="22" spans="1:9" ht="14.25">
      <c r="A22" s="3158" t="s">
        <v>1106</v>
      </c>
      <c r="B22" s="3159"/>
      <c r="C22" s="3160"/>
      <c r="D22" s="1317" t="s">
        <v>1107</v>
      </c>
      <c r="E22" s="1317" t="s">
        <v>1108</v>
      </c>
      <c r="F22" s="1318" t="s">
        <v>1109</v>
      </c>
      <c r="G22" s="1318" t="s">
        <v>1110</v>
      </c>
      <c r="H22" s="1311" t="s">
        <v>1111</v>
      </c>
      <c r="I22" s="1302" t="s">
        <v>1112</v>
      </c>
    </row>
    <row r="23" spans="1:9" ht="14.25" thickBot="1">
      <c r="A23" s="3161"/>
      <c r="B23" s="3162"/>
      <c r="C23" s="3163"/>
      <c r="D23" s="1319"/>
      <c r="E23" s="1319"/>
      <c r="F23" s="1319"/>
      <c r="G23" s="1320"/>
      <c r="H23" s="1321"/>
      <c r="I23" s="1322">
        <f>ROUND(E23*D23*F23*(1-G23)/10000,0)</f>
        <v>0</v>
      </c>
    </row>
    <row r="26" spans="1:9">
      <c r="A26" s="1323" t="s">
        <v>1113</v>
      </c>
      <c r="B26" s="1323"/>
      <c r="C26" s="1323"/>
      <c r="D26" s="1323"/>
      <c r="E26" s="3151">
        <f>C27-C30-C31-C32</f>
        <v>0</v>
      </c>
      <c r="F26" s="3151"/>
      <c r="G26" s="3151"/>
      <c r="H26" s="1737" t="s">
        <v>1335</v>
      </c>
    </row>
    <row r="27" spans="1:9">
      <c r="A27" s="1324">
        <v>1</v>
      </c>
      <c r="B27" s="1325" t="s">
        <v>1114</v>
      </c>
      <c r="C27" s="1325">
        <f>C28+C29</f>
        <v>0</v>
      </c>
      <c r="D27" s="1325"/>
      <c r="E27" s="3152"/>
      <c r="F27" s="3152"/>
      <c r="G27" s="3152"/>
    </row>
    <row r="28" spans="1:9">
      <c r="A28" s="1326" t="s">
        <v>1115</v>
      </c>
      <c r="B28" s="1325" t="s">
        <v>1116</v>
      </c>
      <c r="C28" s="1325"/>
      <c r="D28" s="1325"/>
      <c r="E28" s="3152"/>
      <c r="F28" s="3152"/>
      <c r="G28" s="315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3"/>
      <c r="F32" s="3153"/>
      <c r="G32" s="3153"/>
    </row>
    <row r="33" spans="1:7" hidden="1">
      <c r="A33" s="3148" t="s">
        <v>1125</v>
      </c>
      <c r="B33" s="3149"/>
      <c r="C33" s="3149"/>
      <c r="D33" s="3150"/>
      <c r="E33" s="3151"/>
      <c r="F33" s="3151"/>
      <c r="G33" s="3151"/>
    </row>
    <row r="34" spans="1:7" hidden="1">
      <c r="A34" s="1328">
        <v>1</v>
      </c>
      <c r="B34" s="1325" t="s">
        <v>1126</v>
      </c>
      <c r="C34" s="1325"/>
      <c r="D34" s="1325"/>
      <c r="E34" s="3152"/>
      <c r="F34" s="3152"/>
      <c r="G34" s="3152"/>
    </row>
    <row r="35" spans="1:7" hidden="1">
      <c r="A35" s="1328">
        <v>2</v>
      </c>
      <c r="B35" s="1325" t="s">
        <v>1127</v>
      </c>
      <c r="C35" s="1325"/>
      <c r="D35" s="1325"/>
      <c r="E35" s="3152"/>
      <c r="F35" s="3152"/>
      <c r="G35" s="3152"/>
    </row>
    <row r="36" spans="1:7" hidden="1">
      <c r="A36" s="1328">
        <v>3</v>
      </c>
      <c r="B36" s="1325" t="s">
        <v>1128</v>
      </c>
      <c r="C36" s="1325"/>
      <c r="D36" s="1325"/>
      <c r="E36" s="3152"/>
      <c r="F36" s="3152"/>
      <c r="G36" s="3152"/>
    </row>
    <row r="37" spans="1:7" hidden="1">
      <c r="A37" s="1328">
        <v>4</v>
      </c>
      <c r="B37" s="1325" t="s">
        <v>1129</v>
      </c>
      <c r="C37" s="1325"/>
      <c r="D37" s="1325"/>
      <c r="E37" s="3152"/>
      <c r="F37" s="3152"/>
      <c r="G37" s="3152"/>
    </row>
    <row r="38" spans="1:7" hidden="1">
      <c r="A38" s="3148" t="s">
        <v>1130</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3" t="s">
        <v>2521</v>
      </c>
      <c r="C1" s="1634" t="s">
        <v>2522</v>
      </c>
      <c r="D1" s="1621"/>
      <c r="E1" s="2584"/>
      <c r="F1" s="2585" t="s">
        <v>2523</v>
      </c>
      <c r="G1" s="1631" t="s">
        <v>2524</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2525</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2526</v>
      </c>
      <c r="D3" s="399">
        <f>IF(D1="",'数据-汇总表'!E3,SUMIF('数据-汇总表'!$C19:$C33,D1,'数据-汇总表'!$E19:$E33))</f>
        <v>1894.58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2527</v>
      </c>
      <c r="B4" s="402"/>
      <c r="C4" s="3187" t="s">
        <v>2528</v>
      </c>
      <c r="D4" s="3188"/>
      <c r="E4" s="3189" t="s">
        <v>2529</v>
      </c>
      <c r="F4" s="3190"/>
      <c r="G4" s="3187" t="s">
        <v>2530</v>
      </c>
      <c r="H4" s="3188"/>
      <c r="I4" s="3187" t="s">
        <v>2531</v>
      </c>
      <c r="J4" s="3188"/>
      <c r="K4" s="2597" t="s">
        <v>2532</v>
      </c>
      <c r="L4" s="1130"/>
      <c r="M4" s="1131"/>
      <c r="N4" s="1131"/>
      <c r="O4" s="1131"/>
      <c r="P4" s="3191" t="s">
        <v>2533</v>
      </c>
      <c r="Q4" s="3192"/>
      <c r="R4" s="3197" t="s">
        <v>2529</v>
      </c>
      <c r="S4" s="3198"/>
      <c r="T4" s="3197" t="s">
        <v>2530</v>
      </c>
      <c r="U4" s="3198"/>
      <c r="V4" s="3203" t="s">
        <v>2531</v>
      </c>
      <c r="W4" s="3203"/>
      <c r="X4" s="1813"/>
      <c r="Y4" s="3197" t="s">
        <v>2533</v>
      </c>
      <c r="Z4" s="3198"/>
      <c r="AA4" s="3184" t="s">
        <v>2529</v>
      </c>
      <c r="AB4" s="3184" t="s">
        <v>2530</v>
      </c>
      <c r="AC4" s="3184" t="s">
        <v>2531</v>
      </c>
    </row>
    <row r="5" spans="1:29" ht="15">
      <c r="A5" s="404"/>
      <c r="B5" s="405"/>
      <c r="C5" s="3206" t="s">
        <v>2534</v>
      </c>
      <c r="D5" s="3207"/>
      <c r="E5" s="3213" t="s">
        <v>2535</v>
      </c>
      <c r="F5" s="3214"/>
      <c r="G5" s="3206" t="s">
        <v>2536</v>
      </c>
      <c r="H5" s="3207"/>
      <c r="I5" s="3206" t="s">
        <v>2537</v>
      </c>
      <c r="J5" s="3207"/>
      <c r="K5" s="2598"/>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2538</v>
      </c>
      <c r="D6" s="3205"/>
      <c r="E6" s="3211" t="s">
        <v>2538</v>
      </c>
      <c r="F6" s="3212"/>
      <c r="G6" s="3204" t="s">
        <v>2538</v>
      </c>
      <c r="H6" s="3205"/>
      <c r="I6" s="3204" t="s">
        <v>2538</v>
      </c>
      <c r="J6" s="3205"/>
      <c r="K6" s="2598" t="s">
        <v>2539</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2540</v>
      </c>
      <c r="B7" s="409"/>
      <c r="C7" s="410">
        <f>'数据-取费表'!B2</f>
        <v>43851</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8" t="s">
        <v>2541</v>
      </c>
      <c r="Q7" s="3210"/>
      <c r="R7" s="770" t="s">
        <v>23</v>
      </c>
      <c r="S7" s="771">
        <f t="shared" ref="S7:S15" si="0">F7</f>
        <v>0</v>
      </c>
      <c r="T7" s="770" t="s">
        <v>23</v>
      </c>
      <c r="U7" s="771">
        <f t="shared" ref="U7:U15" si="1">H7</f>
        <v>0</v>
      </c>
      <c r="V7" s="770" t="s">
        <v>23</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8" t="s">
        <v>2544</v>
      </c>
      <c r="Q8" s="3209"/>
      <c r="R8" s="770" t="s">
        <v>23</v>
      </c>
      <c r="S8" s="771">
        <f t="shared" si="0"/>
        <v>0</v>
      </c>
      <c r="T8" s="770" t="s">
        <v>23</v>
      </c>
      <c r="U8" s="771">
        <f t="shared" si="1"/>
        <v>0</v>
      </c>
      <c r="V8" s="770" t="s">
        <v>23</v>
      </c>
      <c r="W8" s="771">
        <f t="shared" si="2"/>
        <v>0</v>
      </c>
      <c r="X8" s="772"/>
      <c r="Y8" s="3208" t="s">
        <v>2544</v>
      </c>
      <c r="Z8" s="3209"/>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3"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3"/>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3"/>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3"/>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3"/>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2551</v>
      </c>
      <c r="B15" s="69" t="s">
        <v>2079</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2552</v>
      </c>
      <c r="Q15" s="1810" t="str">
        <f t="shared" si="6"/>
        <v>居住社区成熟度</v>
      </c>
      <c r="R15" s="774" t="s">
        <v>21</v>
      </c>
      <c r="S15" s="775">
        <f t="shared" si="0"/>
        <v>100</v>
      </c>
      <c r="T15" s="774" t="s">
        <v>21</v>
      </c>
      <c r="U15" s="775">
        <f t="shared" si="1"/>
        <v>100</v>
      </c>
      <c r="V15" s="774" t="s">
        <v>21</v>
      </c>
      <c r="W15" s="775">
        <f t="shared" si="2"/>
        <v>100</v>
      </c>
      <c r="X15" s="1813"/>
      <c r="Y15" s="3174" t="s">
        <v>2552</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2088</v>
      </c>
      <c r="C17" s="2608"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75"/>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2086</v>
      </c>
      <c r="C19" s="2608"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2089</v>
      </c>
      <c r="C21" s="260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2093</v>
      </c>
      <c r="C23" s="2608"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75"/>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7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7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7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7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7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75"/>
      <c r="Z31" s="1814">
        <f t="shared" si="18"/>
        <v>111</v>
      </c>
      <c r="AA31" s="1811">
        <f t="shared" si="15"/>
        <v>1</v>
      </c>
      <c r="AB31" s="1811">
        <f t="shared" si="16"/>
        <v>1</v>
      </c>
      <c r="AC31" s="1811">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76" t="s">
        <v>2557</v>
      </c>
      <c r="Q32" s="1810" t="str">
        <f t="shared" si="11"/>
        <v>建筑类型</v>
      </c>
      <c r="R32" s="774" t="s">
        <v>21</v>
      </c>
      <c r="S32" s="775">
        <f t="shared" si="12"/>
        <v>100</v>
      </c>
      <c r="T32" s="774" t="s">
        <v>21</v>
      </c>
      <c r="U32" s="775">
        <f t="shared" si="13"/>
        <v>100</v>
      </c>
      <c r="V32" s="774" t="s">
        <v>21</v>
      </c>
      <c r="W32" s="775">
        <f t="shared" si="14"/>
        <v>100</v>
      </c>
      <c r="X32" s="1813"/>
      <c r="Y32" s="3179"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77"/>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77"/>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77"/>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77"/>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7"/>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77" t="s">
        <v>2557</v>
      </c>
      <c r="Q38" s="1810" t="str">
        <f t="shared" si="11"/>
        <v>物业管理</v>
      </c>
      <c r="R38" s="774" t="s">
        <v>21</v>
      </c>
      <c r="S38" s="775">
        <f t="shared" si="12"/>
        <v>100</v>
      </c>
      <c r="T38" s="774" t="s">
        <v>21</v>
      </c>
      <c r="U38" s="775">
        <f t="shared" si="13"/>
        <v>100</v>
      </c>
      <c r="V38" s="774" t="s">
        <v>21</v>
      </c>
      <c r="W38" s="775">
        <f t="shared" si="14"/>
        <v>100</v>
      </c>
      <c r="X38" s="1813"/>
      <c r="Y38" s="3179" t="s">
        <v>2557</v>
      </c>
      <c r="Z38" s="1814" t="str">
        <f t="shared" si="18"/>
        <v>物业管理</v>
      </c>
      <c r="AA38" s="1811">
        <f t="shared" si="15"/>
        <v>1</v>
      </c>
      <c r="AB38" s="1811">
        <f t="shared" si="16"/>
        <v>1</v>
      </c>
      <c r="AC38" s="1811">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77"/>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77"/>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77"/>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77"/>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77"/>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77"/>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78"/>
      <c r="Q46" s="1810">
        <f t="shared" si="11"/>
        <v>111</v>
      </c>
      <c r="R46" s="774" t="s">
        <v>20</v>
      </c>
      <c r="S46" s="775">
        <f t="shared" si="12"/>
        <v>100</v>
      </c>
      <c r="T46" s="774" t="s">
        <v>20</v>
      </c>
      <c r="U46" s="775">
        <f t="shared" si="13"/>
        <v>100</v>
      </c>
      <c r="V46" s="774" t="s">
        <v>20</v>
      </c>
      <c r="W46" s="775">
        <f t="shared" si="14"/>
        <v>100</v>
      </c>
      <c r="X46" s="1813"/>
      <c r="Y46" s="3180"/>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2"/>
      <c r="L47" s="1143"/>
      <c r="M47" s="1144"/>
      <c r="N47" s="1131"/>
      <c r="O47" s="1144"/>
      <c r="P47" s="3172" t="str">
        <f>A47</f>
        <v>成交单价（元/平方米）</v>
      </c>
      <c r="Q47" s="3172"/>
      <c r="R47" s="3173">
        <f>E47</f>
        <v>0</v>
      </c>
      <c r="S47" s="3173"/>
      <c r="T47" s="3173">
        <f>G47</f>
        <v>0</v>
      </c>
      <c r="U47" s="3173"/>
      <c r="V47" s="3173">
        <f>I47</f>
        <v>0</v>
      </c>
      <c r="W47" s="3173"/>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3"/>
      <c r="L48" s="1143"/>
      <c r="M48" s="1144"/>
      <c r="N48" s="1144"/>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4"/>
      <c r="L49" s="1143"/>
      <c r="M49" s="1144"/>
      <c r="N49" s="1144"/>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7"/>
      <c r="Q57" s="504"/>
    </row>
    <row r="58" spans="1:29" s="508" customFormat="1" ht="15">
      <c r="A58" s="505" t="s">
        <v>2576</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2578</v>
      </c>
      <c r="B61" s="510"/>
      <c r="C61" s="522" t="s">
        <v>2579</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2580</v>
      </c>
      <c r="B63" s="528" t="s">
        <v>2546</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2089</v>
      </c>
      <c r="C82" s="539" t="s">
        <v>2596</v>
      </c>
      <c r="D82" s="539" t="s">
        <v>2597</v>
      </c>
      <c r="E82" s="539" t="s">
        <v>2598</v>
      </c>
      <c r="F82" s="539" t="s">
        <v>2599</v>
      </c>
      <c r="G82" s="539" t="s">
        <v>2600</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2602</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2603</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2555</v>
      </c>
      <c r="B100" s="528" t="s">
        <v>2604</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2606</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2607</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2608</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2609</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2610</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2611</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2612</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4">
        <v>6</v>
      </c>
      <c r="C139" s="1085">
        <v>96</v>
      </c>
      <c r="D139" s="2649" t="s">
        <v>2623</v>
      </c>
      <c r="E139" s="1086">
        <v>100</v>
      </c>
      <c r="F139" s="1087">
        <v>102.5</v>
      </c>
      <c r="G139" s="2649" t="s">
        <v>2623</v>
      </c>
      <c r="H139" s="1088">
        <v>105</v>
      </c>
      <c r="I139" s="2650" t="s">
        <v>2624</v>
      </c>
      <c r="J139" s="1085">
        <v>20</v>
      </c>
      <c r="K139" s="1089">
        <f>C145/(J139-2)</f>
        <v>4.0555555555555553E-3</v>
      </c>
    </row>
    <row r="140" spans="1:17" ht="15">
      <c r="B140" s="1090">
        <v>5</v>
      </c>
      <c r="C140" s="1091">
        <v>100</v>
      </c>
      <c r="D140" s="1091"/>
      <c r="E140" s="1092"/>
      <c r="F140" s="1093">
        <v>102</v>
      </c>
      <c r="G140" s="1091"/>
      <c r="H140" s="1094"/>
      <c r="I140" s="2651" t="s">
        <v>2625</v>
      </c>
      <c r="J140" s="315">
        <f>ROUNDUP((J139-1)/2,0)</f>
        <v>10</v>
      </c>
      <c r="K140" s="1095">
        <v>100</v>
      </c>
    </row>
    <row r="141" spans="1:17" ht="15">
      <c r="B141" s="1090">
        <v>4</v>
      </c>
      <c r="C141" s="1091">
        <v>102</v>
      </c>
      <c r="D141" s="1091"/>
      <c r="E141" s="1092"/>
      <c r="F141" s="1093">
        <v>101.5</v>
      </c>
      <c r="G141" s="1091"/>
      <c r="H141" s="1094"/>
      <c r="I141" s="2651" t="s">
        <v>2626</v>
      </c>
      <c r="J141" s="315">
        <v>1</v>
      </c>
      <c r="K141" s="1096">
        <f>ROUND(100+(J141-J140)*K139*100,1)</f>
        <v>96.4</v>
      </c>
    </row>
    <row r="142" spans="1:17" ht="15">
      <c r="B142" s="1090">
        <v>3</v>
      </c>
      <c r="C142" s="1091">
        <v>103</v>
      </c>
      <c r="D142" s="1091"/>
      <c r="E142" s="1092"/>
      <c r="F142" s="1093">
        <v>101</v>
      </c>
      <c r="G142" s="1091"/>
      <c r="H142" s="1094"/>
      <c r="I142" s="2651" t="s">
        <v>2627</v>
      </c>
      <c r="J142" s="315">
        <f>J139</f>
        <v>20</v>
      </c>
      <c r="K142" s="1097">
        <v>95</v>
      </c>
    </row>
    <row r="143" spans="1:17" ht="15">
      <c r="B143" s="1090">
        <v>2</v>
      </c>
      <c r="C143" s="1091">
        <v>100</v>
      </c>
      <c r="D143" s="1091"/>
      <c r="E143" s="1092"/>
      <c r="F143" s="1093">
        <v>100.5</v>
      </c>
      <c r="G143" s="1091"/>
      <c r="H143" s="1094"/>
      <c r="I143" s="2651" t="s">
        <v>2628</v>
      </c>
      <c r="J143" s="1091">
        <v>15</v>
      </c>
      <c r="K143" s="1096">
        <f>ROUND(100+(J143-J140)*K139*100,1)</f>
        <v>102</v>
      </c>
    </row>
    <row r="144" spans="1:17" ht="15">
      <c r="B144" s="1090">
        <v>1</v>
      </c>
      <c r="C144" s="1091">
        <v>98</v>
      </c>
      <c r="D144" s="2652" t="s">
        <v>2629</v>
      </c>
      <c r="E144" s="1092">
        <v>102</v>
      </c>
      <c r="F144" s="1098">
        <v>100</v>
      </c>
      <c r="G144" s="2652" t="s">
        <v>2629</v>
      </c>
      <c r="H144" s="1094">
        <v>105</v>
      </c>
      <c r="I144" s="2651" t="s">
        <v>2628</v>
      </c>
      <c r="J144" s="1091">
        <v>18</v>
      </c>
      <c r="K144" s="1096">
        <f>ROUND(100+(J144-J140)*K139*100,1)</f>
        <v>103.2</v>
      </c>
    </row>
    <row r="145" spans="2:11" ht="15.75" thickBot="1">
      <c r="B145" s="2653" t="s">
        <v>2630</v>
      </c>
      <c r="C145" s="1099">
        <f>ROUND(MAX(C139:C144)/MIN(C139:C144)-1,3)</f>
        <v>7.2999999999999995E-2</v>
      </c>
      <c r="D145" s="1100"/>
      <c r="E145" s="1100"/>
      <c r="F145" s="2654" t="s">
        <v>2631</v>
      </c>
      <c r="G145" s="2655"/>
      <c r="H145" s="2656"/>
      <c r="I145" s="2657" t="s">
        <v>2628</v>
      </c>
      <c r="J145" s="1101">
        <v>8</v>
      </c>
      <c r="K145" s="1102">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0" t="s">
        <v>2678</v>
      </c>
      <c r="C1" s="1620" t="s">
        <v>2522</v>
      </c>
      <c r="D1" s="1621"/>
      <c r="E1" s="1630"/>
      <c r="F1" s="2585"/>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7"/>
      <c r="D2" s="1365" t="e">
        <f ca="1">SUMIF(INDIRECT("'"&amp;F2&amp;"'"&amp;"!A:A"),"承租人权益价值",INDIRECT("'"&amp;F2&amp;"'"&amp;"!c:c"))</f>
        <v>#REF!</v>
      </c>
      <c r="E2" s="2588" t="s">
        <v>2320</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1894.58</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221" t="s">
        <v>2643</v>
      </c>
      <c r="Q4" s="3222"/>
      <c r="R4" s="3225" t="s">
        <v>2639</v>
      </c>
      <c r="S4" s="3226"/>
      <c r="T4" s="3225" t="s">
        <v>2640</v>
      </c>
      <c r="U4" s="3226"/>
      <c r="V4" s="3227" t="s">
        <v>2641</v>
      </c>
      <c r="W4" s="3227"/>
      <c r="X4" s="2671"/>
      <c r="Y4" s="3225" t="s">
        <v>2643</v>
      </c>
      <c r="Z4" s="3226"/>
      <c r="AA4" s="3229" t="s">
        <v>2639</v>
      </c>
      <c r="AB4" s="3229" t="s">
        <v>2640</v>
      </c>
      <c r="AC4" s="3218" t="s">
        <v>2641</v>
      </c>
    </row>
    <row r="5" spans="1:29" ht="15">
      <c r="A5" s="404"/>
      <c r="B5" s="405"/>
      <c r="C5" s="3206" t="s">
        <v>2534</v>
      </c>
      <c r="D5" s="3207"/>
      <c r="E5" s="3213" t="s">
        <v>2535</v>
      </c>
      <c r="F5" s="3214"/>
      <c r="G5" s="3206" t="s">
        <v>2536</v>
      </c>
      <c r="H5" s="3207"/>
      <c r="I5" s="3206" t="s">
        <v>2537</v>
      </c>
      <c r="J5" s="3207"/>
      <c r="K5" s="610"/>
      <c r="L5" s="1130"/>
      <c r="M5" s="1131"/>
      <c r="N5" s="1131"/>
      <c r="O5" s="1131"/>
      <c r="P5" s="3223"/>
      <c r="Q5" s="3194"/>
      <c r="R5" s="3199"/>
      <c r="S5" s="3200"/>
      <c r="T5" s="3199"/>
      <c r="U5" s="3200"/>
      <c r="V5" s="3203"/>
      <c r="W5" s="3203"/>
      <c r="X5" s="1813"/>
      <c r="Y5" s="3199"/>
      <c r="Z5" s="3200"/>
      <c r="AA5" s="3185"/>
      <c r="AB5" s="3185"/>
      <c r="AC5" s="3219"/>
    </row>
    <row r="6" spans="1:29" ht="15.75" thickBot="1">
      <c r="A6" s="406"/>
      <c r="B6" s="407"/>
      <c r="C6" s="3204" t="s">
        <v>2538</v>
      </c>
      <c r="D6" s="3205"/>
      <c r="E6" s="3211" t="s">
        <v>2538</v>
      </c>
      <c r="F6" s="3212"/>
      <c r="G6" s="3204" t="s">
        <v>2538</v>
      </c>
      <c r="H6" s="3205"/>
      <c r="I6" s="3204" t="s">
        <v>2538</v>
      </c>
      <c r="J6" s="3205"/>
      <c r="K6" s="610" t="s">
        <v>2539</v>
      </c>
      <c r="L6" s="1130"/>
      <c r="M6" s="1131"/>
      <c r="N6" s="1131"/>
      <c r="O6" s="1131"/>
      <c r="P6" s="3224"/>
      <c r="Q6" s="3196"/>
      <c r="R6" s="3199"/>
      <c r="S6" s="3200"/>
      <c r="T6" s="3201"/>
      <c r="U6" s="3202"/>
      <c r="V6" s="3203"/>
      <c r="W6" s="3203"/>
      <c r="X6" s="1813"/>
      <c r="Y6" s="3201"/>
      <c r="Z6" s="3202"/>
      <c r="AA6" s="3186"/>
      <c r="AB6" s="3186"/>
      <c r="AC6" s="3220"/>
    </row>
    <row r="7" spans="1:29" s="117" customFormat="1" ht="15.75" thickBot="1">
      <c r="A7" s="408" t="s">
        <v>2540</v>
      </c>
      <c r="B7" s="409"/>
      <c r="C7" s="410">
        <f>'数据-取费表'!B2</f>
        <v>43851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2541</v>
      </c>
      <c r="Q7" s="3210"/>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2672"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2544</v>
      </c>
      <c r="Q8" s="3209"/>
      <c r="R8" s="770" t="s">
        <v>17</v>
      </c>
      <c r="S8" s="771">
        <f t="shared" si="0"/>
        <v>0</v>
      </c>
      <c r="T8" s="770" t="s">
        <v>17</v>
      </c>
      <c r="U8" s="771">
        <f t="shared" si="1"/>
        <v>0</v>
      </c>
      <c r="V8" s="770" t="s">
        <v>17</v>
      </c>
      <c r="W8" s="771">
        <f t="shared" si="2"/>
        <v>0</v>
      </c>
      <c r="X8" s="772"/>
      <c r="Y8" s="3208" t="s">
        <v>2544</v>
      </c>
      <c r="Z8" s="3209"/>
      <c r="AA8" s="773" t="e">
        <f t="shared" ref="AA8:AA47" si="3">D8/F8</f>
        <v>#DIV/0!</v>
      </c>
      <c r="AB8" s="773" t="e">
        <f t="shared" ref="AB8:AB47" si="4">D8/H8</f>
        <v>#DIV/0!</v>
      </c>
      <c r="AC8" s="2672"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2672">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2">
        <f t="shared" si="5"/>
        <v>1</v>
      </c>
    </row>
    <row r="15" spans="1:29" ht="71.25">
      <c r="A15" s="440" t="s">
        <v>2551</v>
      </c>
      <c r="B15" s="629" t="s">
        <v>2679</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2552</v>
      </c>
      <c r="Q15" s="1810" t="str">
        <f t="shared" si="6"/>
        <v>办公集聚程度</v>
      </c>
      <c r="R15" s="774" t="s">
        <v>17</v>
      </c>
      <c r="S15" s="775">
        <f t="shared" si="0"/>
        <v>100</v>
      </c>
      <c r="T15" s="774" t="s">
        <v>17</v>
      </c>
      <c r="U15" s="775">
        <f t="shared" si="1"/>
        <v>100</v>
      </c>
      <c r="V15" s="774" t="s">
        <v>17</v>
      </c>
      <c r="W15" s="775">
        <f t="shared" si="2"/>
        <v>100</v>
      </c>
      <c r="X15" s="1813"/>
      <c r="Y15" s="3174" t="s">
        <v>2552</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2675">
        <v>1</v>
      </c>
    </row>
    <row r="17" spans="1:29" ht="71.25">
      <c r="A17" s="428"/>
      <c r="B17" s="631" t="s">
        <v>2088</v>
      </c>
      <c r="C17" s="2676"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182"/>
      <c r="Q18" s="1810"/>
      <c r="R18" s="774"/>
      <c r="S18" s="775"/>
      <c r="T18" s="774"/>
      <c r="U18" s="775"/>
      <c r="V18" s="774"/>
      <c r="W18" s="775"/>
      <c r="X18" s="1813"/>
      <c r="Y18" s="3175"/>
      <c r="Z18" s="1814"/>
      <c r="AA18" s="1811">
        <v>1</v>
      </c>
      <c r="AB18" s="1811">
        <v>1</v>
      </c>
      <c r="AC18" s="2675">
        <v>1</v>
      </c>
    </row>
    <row r="19" spans="1:29" ht="42.75">
      <c r="A19" s="428"/>
      <c r="B19" s="631" t="s">
        <v>2680</v>
      </c>
      <c r="C19" s="2676"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182"/>
      <c r="Q20" s="1810"/>
      <c r="R20" s="774"/>
      <c r="S20" s="775"/>
      <c r="T20" s="774"/>
      <c r="U20" s="775"/>
      <c r="V20" s="774"/>
      <c r="W20" s="775"/>
      <c r="X20" s="1813"/>
      <c r="Y20" s="3175"/>
      <c r="Z20" s="1814"/>
      <c r="AA20" s="1811">
        <v>1</v>
      </c>
      <c r="AB20" s="1811">
        <v>1</v>
      </c>
      <c r="AC20" s="2675">
        <v>1</v>
      </c>
    </row>
    <row r="21" spans="1:29" ht="28.5">
      <c r="A21" s="428"/>
      <c r="B21" s="633" t="s">
        <v>2681</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182"/>
      <c r="Q22" s="1810"/>
      <c r="R22" s="774"/>
      <c r="S22" s="775"/>
      <c r="T22" s="774"/>
      <c r="U22" s="775"/>
      <c r="V22" s="774"/>
      <c r="W22" s="775"/>
      <c r="X22" s="1813"/>
      <c r="Y22" s="3175"/>
      <c r="Z22" s="1814"/>
      <c r="AA22" s="1811">
        <v>1</v>
      </c>
      <c r="AB22" s="1811">
        <v>1</v>
      </c>
      <c r="AC22" s="2675">
        <v>1</v>
      </c>
    </row>
    <row r="23" spans="1:29" ht="42.75">
      <c r="A23" s="428"/>
      <c r="B23" s="631" t="s">
        <v>2682</v>
      </c>
      <c r="C23" s="2676"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182"/>
      <c r="Q24" s="1810"/>
      <c r="R24" s="774"/>
      <c r="S24" s="775"/>
      <c r="T24" s="774"/>
      <c r="U24" s="775"/>
      <c r="V24" s="774"/>
      <c r="W24" s="775"/>
      <c r="X24" s="1813"/>
      <c r="Y24" s="3175"/>
      <c r="Z24" s="1814"/>
      <c r="AA24" s="1811">
        <v>1</v>
      </c>
      <c r="AB24" s="1811">
        <v>1</v>
      </c>
      <c r="AC24" s="2675">
        <v>1</v>
      </c>
    </row>
    <row r="25" spans="1:29" ht="27">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75"/>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182"/>
      <c r="Q26" s="1810"/>
      <c r="R26" s="774"/>
      <c r="S26" s="775"/>
      <c r="T26" s="774"/>
      <c r="U26" s="775"/>
      <c r="V26" s="774"/>
      <c r="W26" s="775"/>
      <c r="X26" s="1813"/>
      <c r="Y26" s="3175"/>
      <c r="Z26" s="1814"/>
      <c r="AA26" s="1811">
        <v>1</v>
      </c>
      <c r="AB26" s="1811">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75"/>
      <c r="Z27" s="1814" t="str">
        <f>Q27</f>
        <v>楼层</v>
      </c>
      <c r="AA27" s="1811">
        <f t="shared" si="3"/>
        <v>1</v>
      </c>
      <c r="AB27" s="1811">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182"/>
      <c r="Q28" s="1795" t="str">
        <f t="shared" si="11"/>
        <v>朝向</v>
      </c>
      <c r="R28" s="770" t="s">
        <v>17</v>
      </c>
      <c r="S28" s="771">
        <f>F28</f>
        <v>100</v>
      </c>
      <c r="T28" s="770" t="s">
        <v>17</v>
      </c>
      <c r="U28" s="771">
        <f>H28</f>
        <v>100</v>
      </c>
      <c r="V28" s="770" t="s">
        <v>17</v>
      </c>
      <c r="W28" s="771">
        <f>J28</f>
        <v>100</v>
      </c>
      <c r="X28" s="772"/>
      <c r="Y28" s="3175"/>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82"/>
      <c r="Q29" s="1810">
        <f t="shared" si="11"/>
        <v>111</v>
      </c>
      <c r="R29" s="774" t="s">
        <v>17</v>
      </c>
      <c r="S29" s="775">
        <f t="shared" ref="S29:S47" si="12">F29</f>
        <v>100</v>
      </c>
      <c r="T29" s="774" t="s">
        <v>17</v>
      </c>
      <c r="U29" s="775">
        <f t="shared" ref="U29:U47" si="13">H29</f>
        <v>100</v>
      </c>
      <c r="V29" s="774" t="s">
        <v>17</v>
      </c>
      <c r="W29" s="775">
        <f t="shared" ref="W29:W47" si="14">J29</f>
        <v>100</v>
      </c>
      <c r="X29" s="1813"/>
      <c r="Y29" s="3175"/>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82"/>
      <c r="Q32" s="1810">
        <f t="shared" si="11"/>
        <v>111</v>
      </c>
      <c r="R32" s="774" t="s">
        <v>17</v>
      </c>
      <c r="S32" s="775">
        <f t="shared" si="12"/>
        <v>100</v>
      </c>
      <c r="T32" s="774" t="s">
        <v>17</v>
      </c>
      <c r="U32" s="775">
        <f t="shared" si="13"/>
        <v>100</v>
      </c>
      <c r="V32" s="774" t="s">
        <v>17</v>
      </c>
      <c r="W32" s="775">
        <f t="shared" si="14"/>
        <v>100</v>
      </c>
      <c r="X32" s="1813"/>
      <c r="Y32" s="3175"/>
      <c r="Z32" s="1814">
        <f t="shared" si="15"/>
        <v>111</v>
      </c>
      <c r="AA32" s="1811">
        <f t="shared" si="3"/>
        <v>1</v>
      </c>
      <c r="AB32" s="1811">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176" t="s">
        <v>2557</v>
      </c>
      <c r="Q33" s="1810" t="str">
        <f t="shared" si="11"/>
        <v>建筑类型</v>
      </c>
      <c r="R33" s="774" t="s">
        <v>17</v>
      </c>
      <c r="S33" s="775">
        <f t="shared" si="12"/>
        <v>100</v>
      </c>
      <c r="T33" s="774" t="s">
        <v>17</v>
      </c>
      <c r="U33" s="775">
        <f t="shared" si="13"/>
        <v>100</v>
      </c>
      <c r="V33" s="774" t="s">
        <v>17</v>
      </c>
      <c r="W33" s="775">
        <f t="shared" si="14"/>
        <v>100</v>
      </c>
      <c r="X33" s="1813"/>
      <c r="Y33" s="3179" t="s">
        <v>2557</v>
      </c>
      <c r="Z33" s="1814" t="str">
        <f t="shared" si="15"/>
        <v>建筑类型</v>
      </c>
      <c r="AA33" s="1811">
        <f t="shared" si="3"/>
        <v>1</v>
      </c>
      <c r="AB33" s="1811">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2557</v>
      </c>
      <c r="Q39" s="1810" t="str">
        <f t="shared" si="11"/>
        <v>物业管理</v>
      </c>
      <c r="R39" s="774" t="s">
        <v>17</v>
      </c>
      <c r="S39" s="775">
        <f t="shared" si="12"/>
        <v>100</v>
      </c>
      <c r="T39" s="774" t="s">
        <v>17</v>
      </c>
      <c r="U39" s="775">
        <f t="shared" si="13"/>
        <v>100</v>
      </c>
      <c r="V39" s="774" t="s">
        <v>17</v>
      </c>
      <c r="W39" s="775">
        <f t="shared" si="14"/>
        <v>100</v>
      </c>
      <c r="X39" s="1813"/>
      <c r="Y39" s="3179" t="s">
        <v>2557</v>
      </c>
      <c r="Z39" s="1814" t="str">
        <f t="shared" si="15"/>
        <v>物业管理</v>
      </c>
      <c r="AA39" s="1811">
        <f t="shared" si="3"/>
        <v>1</v>
      </c>
      <c r="AB39" s="1811">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5">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5">
        <f t="shared" si="5"/>
        <v>1</v>
      </c>
    </row>
    <row r="44" spans="1:29" ht="15">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77"/>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10">
        <f t="shared" si="11"/>
        <v>111</v>
      </c>
      <c r="R47" s="774" t="s">
        <v>17</v>
      </c>
      <c r="S47" s="775">
        <f t="shared" si="12"/>
        <v>100</v>
      </c>
      <c r="T47" s="774" t="s">
        <v>17</v>
      </c>
      <c r="U47" s="775">
        <f t="shared" si="13"/>
        <v>100</v>
      </c>
      <c r="V47" s="774" t="s">
        <v>17</v>
      </c>
      <c r="W47" s="775">
        <f t="shared" si="14"/>
        <v>100</v>
      </c>
      <c r="X47" s="1813"/>
      <c r="Y47" s="3180"/>
      <c r="Z47" s="1814">
        <f t="shared" si="15"/>
        <v>111</v>
      </c>
      <c r="AA47" s="1811">
        <f t="shared" si="3"/>
        <v>1</v>
      </c>
      <c r="AB47" s="1811">
        <f t="shared" si="4"/>
        <v>1</v>
      </c>
      <c r="AC47" s="2675">
        <f t="shared" si="5"/>
        <v>1</v>
      </c>
    </row>
    <row r="48" spans="1:29" ht="15">
      <c r="A48" s="479" t="s">
        <v>2569</v>
      </c>
      <c r="B48" s="480"/>
      <c r="C48" s="1407" t="s">
        <v>1</v>
      </c>
      <c r="D48" s="1408"/>
      <c r="E48" s="1409"/>
      <c r="F48" s="1410"/>
      <c r="G48" s="1411"/>
      <c r="H48" s="1412"/>
      <c r="I48" s="1409"/>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2"/>
      <c r="Q58" s="504"/>
    </row>
    <row r="59" spans="1:29" s="508" customFormat="1" ht="15">
      <c r="A59" s="505" t="s">
        <v>2540</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2577</v>
      </c>
      <c r="B61" s="516"/>
      <c r="C61" s="517"/>
      <c r="D61" s="518"/>
      <c r="E61" s="518"/>
      <c r="F61" s="518"/>
      <c r="G61" s="518"/>
      <c r="H61" s="518"/>
      <c r="I61" s="518"/>
      <c r="J61" s="518"/>
      <c r="K61" s="518"/>
      <c r="L61" s="518"/>
      <c r="M61" s="519"/>
      <c r="N61" s="518"/>
      <c r="O61" s="519"/>
      <c r="P61" s="2683"/>
      <c r="Q61" s="504"/>
    </row>
    <row r="62" spans="1:29" s="117" customFormat="1" ht="15">
      <c r="A62" s="521" t="s">
        <v>2542</v>
      </c>
      <c r="B62" s="510"/>
      <c r="C62" s="522" t="s">
        <v>2644</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2580</v>
      </c>
      <c r="B64" s="528" t="s">
        <v>2546</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2691</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2555</v>
      </c>
      <c r="B101" s="528" t="s">
        <v>2604</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2606</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2608</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2609</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2610</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2693</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2612</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朱元忠：</v>
      </c>
    </row>
    <row r="4" spans="1:1" ht="36">
      <c r="A4" s="1947" t="str">
        <f>"受贵公司委托，我公司对"&amp;项目基本情况!S1&amp;"进行了预评估。"</f>
        <v>受贵公司委托，我公司对北京市石景山区玉泉西里二区1号楼-1至2层商业05号出让国有建设用地使用权及在建建筑物房地产抵押价值进行了预评估。</v>
      </c>
    </row>
    <row r="5" spans="1:1" ht="18.75">
      <c r="A5" s="1948" t="s">
        <v>1606</v>
      </c>
    </row>
    <row r="6" spans="1:1" ht="18.75">
      <c r="A6" s="1949" t="s">
        <v>1607</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二区1号楼-1至2层商业05号出让国有建设用地使用权及在建建筑物房地产，为朱元忠所有。根据《国有土地使用证》[]，估价对象（分摊）出让国有建设用地使用权面积为0平方米。根据《房屋所有权证》[]，估价对象建筑面积为1894.58平方米。</v>
      </c>
    </row>
    <row r="8" spans="1:1" ht="57.75">
      <c r="A8" s="1950" t="s">
        <v>1608</v>
      </c>
    </row>
    <row r="9" spans="1:1" ht="18.75">
      <c r="A9" s="1949" t="s">
        <v>1609</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二区1号楼-1至2层商业05号出让国有建设用地使用权及在建建筑物房地产,属朱元忠开发建设的商业项目，该项目尚在开发建设中。根据《国有土地使用证》[]，估价对象（分摊）出让国有建设用地使用权面积为0平方米。根据《房屋所有权证》[]，估价对象规划建筑面积为1894.58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2020年1月21日（评估专业人员实地查勘之日）</v>
      </c>
    </row>
    <row r="16" spans="1:1" ht="18.75">
      <c r="A16" s="1952" t="s">
        <v>1613</v>
      </c>
    </row>
    <row r="17" spans="1:1" ht="75">
      <c r="A17" s="1947" t="s">
        <v>1614</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21日，估价对象规划用途为商业，土地取得方式为出让，出让国有建设用地使用权剩余土地使用年限为25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25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0" t="s">
        <v>2694</v>
      </c>
      <c r="C1" s="1620" t="s">
        <v>2522</v>
      </c>
      <c r="D1" s="1621"/>
      <c r="E1" s="1630"/>
      <c r="F1" s="2585"/>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7"/>
      <c r="D2" s="1124" t="e">
        <f ca="1">SUMIF(INDIRECT("'"&amp;F2&amp;"'"&amp;"!A:A"),"承租人权益价值",INDIRECT("'"&amp;F2&amp;"'"&amp;"!c:c"))</f>
        <v>#REF!</v>
      </c>
      <c r="E2" s="2588" t="s">
        <v>2320</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1894.58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2538</v>
      </c>
      <c r="D6" s="3205"/>
      <c r="E6" s="3211" t="s">
        <v>2538</v>
      </c>
      <c r="F6" s="3212"/>
      <c r="G6" s="3204" t="s">
        <v>2538</v>
      </c>
      <c r="H6" s="3205"/>
      <c r="I6" s="3204" t="s">
        <v>2538</v>
      </c>
      <c r="J6" s="3205"/>
      <c r="K6" s="610" t="s">
        <v>2539</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2540</v>
      </c>
      <c r="B7" s="409"/>
      <c r="C7" s="410">
        <f>'数据-取费表'!B2</f>
        <v>43851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2541</v>
      </c>
      <c r="Q7" s="3210"/>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2552</v>
      </c>
      <c r="Q15" s="1810" t="str">
        <f t="shared" si="6"/>
        <v>产业集聚程度</v>
      </c>
      <c r="R15" s="774" t="s">
        <v>17</v>
      </c>
      <c r="S15" s="775">
        <f t="shared" si="0"/>
        <v>100</v>
      </c>
      <c r="T15" s="774" t="s">
        <v>17</v>
      </c>
      <c r="U15" s="775">
        <f t="shared" si="1"/>
        <v>100</v>
      </c>
      <c r="V15" s="774" t="s">
        <v>17</v>
      </c>
      <c r="W15" s="775">
        <f t="shared" si="2"/>
        <v>100</v>
      </c>
      <c r="X15" s="1813"/>
      <c r="Y15" s="3174"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451" t="s">
        <v>2088</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75"/>
      <c r="Q18" s="1810"/>
      <c r="R18" s="774"/>
      <c r="S18" s="775"/>
      <c r="T18" s="774"/>
      <c r="U18" s="775"/>
      <c r="V18" s="774"/>
      <c r="W18" s="775"/>
      <c r="X18" s="1813"/>
      <c r="Y18" s="3175"/>
      <c r="Z18" s="1814"/>
      <c r="AA18" s="1811">
        <v>1</v>
      </c>
      <c r="AB18" s="1811">
        <v>1</v>
      </c>
      <c r="AC18" s="1811">
        <v>1</v>
      </c>
    </row>
    <row r="19" spans="1:29" ht="42.75">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75"/>
      <c r="Q20" s="1810"/>
      <c r="R20" s="774"/>
      <c r="S20" s="775"/>
      <c r="T20" s="774"/>
      <c r="U20" s="775"/>
      <c r="V20" s="774"/>
      <c r="W20" s="775"/>
      <c r="X20" s="1813"/>
      <c r="Y20" s="3175"/>
      <c r="Z20" s="1814"/>
      <c r="AA20" s="1811">
        <v>1</v>
      </c>
      <c r="AB20" s="1811">
        <v>1</v>
      </c>
      <c r="AC20" s="1811">
        <v>1</v>
      </c>
    </row>
    <row r="21" spans="1:29" ht="28.5">
      <c r="A21" s="428"/>
      <c r="B21" s="1384"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75"/>
      <c r="Q22" s="1810"/>
      <c r="R22" s="774"/>
      <c r="S22" s="775"/>
      <c r="T22" s="774"/>
      <c r="U22" s="775"/>
      <c r="V22" s="774"/>
      <c r="W22" s="775"/>
      <c r="X22" s="1813"/>
      <c r="Y22" s="3175"/>
      <c r="Z22" s="1814"/>
      <c r="AA22" s="1811">
        <v>1</v>
      </c>
      <c r="AB22" s="1811">
        <v>1</v>
      </c>
      <c r="AC22" s="1811">
        <v>1</v>
      </c>
    </row>
    <row r="23" spans="1:29" ht="71.25">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75"/>
      <c r="Q24" s="1810"/>
      <c r="R24" s="774"/>
      <c r="S24" s="775"/>
      <c r="T24" s="774"/>
      <c r="U24" s="775"/>
      <c r="V24" s="774"/>
      <c r="W24" s="775"/>
      <c r="X24" s="1813"/>
      <c r="Y24" s="317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10">
        <f>B25</f>
        <v>111</v>
      </c>
      <c r="R25" s="774" t="s">
        <v>17</v>
      </c>
      <c r="S25" s="775">
        <f>F25</f>
        <v>100</v>
      </c>
      <c r="T25" s="774" t="s">
        <v>17</v>
      </c>
      <c r="U25" s="775">
        <f>H25</f>
        <v>100</v>
      </c>
      <c r="V25" s="774" t="s">
        <v>17</v>
      </c>
      <c r="W25" s="775">
        <f>J25</f>
        <v>100</v>
      </c>
      <c r="X25" s="1813"/>
      <c r="Y25" s="317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10">
        <f t="shared" ref="Q26:Q40" si="11">B26</f>
        <v>111</v>
      </c>
      <c r="R26" s="774" t="s">
        <v>17</v>
      </c>
      <c r="S26" s="775">
        <f>F26</f>
        <v>100</v>
      </c>
      <c r="T26" s="774" t="s">
        <v>17</v>
      </c>
      <c r="U26" s="775">
        <f>H26</f>
        <v>100</v>
      </c>
      <c r="V26" s="774" t="s">
        <v>17</v>
      </c>
      <c r="W26" s="775">
        <f>J26</f>
        <v>100</v>
      </c>
      <c r="X26" s="1813"/>
      <c r="Y26" s="317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5">
        <f t="shared" si="11"/>
        <v>111</v>
      </c>
      <c r="R27" s="770" t="s">
        <v>17</v>
      </c>
      <c r="S27" s="771">
        <f>F27</f>
        <v>100</v>
      </c>
      <c r="T27" s="770" t="s">
        <v>17</v>
      </c>
      <c r="U27" s="771">
        <f>H27</f>
        <v>100</v>
      </c>
      <c r="V27" s="770" t="s">
        <v>17</v>
      </c>
      <c r="W27" s="771">
        <f>J27</f>
        <v>100</v>
      </c>
      <c r="X27" s="772"/>
      <c r="Y27" s="317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10">
        <f t="shared" si="11"/>
        <v>111</v>
      </c>
      <c r="R28" s="774" t="s">
        <v>17</v>
      </c>
      <c r="S28" s="775">
        <f t="shared" ref="S28:S40" si="12">F28</f>
        <v>100</v>
      </c>
      <c r="T28" s="774" t="s">
        <v>17</v>
      </c>
      <c r="U28" s="775">
        <f t="shared" ref="U28:U40" si="13">H28</f>
        <v>100</v>
      </c>
      <c r="V28" s="774" t="s">
        <v>17</v>
      </c>
      <c r="W28" s="775">
        <f t="shared" ref="W28:W40" si="14">J28</f>
        <v>100</v>
      </c>
      <c r="X28" s="1813"/>
      <c r="Y28" s="3175"/>
      <c r="Z28" s="1814">
        <f t="shared" ref="Z28:Z40" si="15">Q28</f>
        <v>111</v>
      </c>
      <c r="AA28" s="1811">
        <f t="shared" si="3"/>
        <v>1</v>
      </c>
      <c r="AB28" s="1811">
        <f t="shared" si="4"/>
        <v>1</v>
      </c>
      <c r="AC28" s="1811">
        <f t="shared" si="5"/>
        <v>1</v>
      </c>
    </row>
    <row r="29" spans="1:29" ht="28.5">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0" t="s">
        <v>2557</v>
      </c>
      <c r="Q29" s="1810" t="str">
        <f t="shared" si="11"/>
        <v>建筑类型</v>
      </c>
      <c r="R29" s="774" t="s">
        <v>17</v>
      </c>
      <c r="S29" s="775">
        <f t="shared" si="12"/>
        <v>100</v>
      </c>
      <c r="T29" s="774" t="s">
        <v>17</v>
      </c>
      <c r="U29" s="775">
        <f t="shared" si="13"/>
        <v>100</v>
      </c>
      <c r="V29" s="774" t="s">
        <v>17</v>
      </c>
      <c r="W29" s="775">
        <f t="shared" si="14"/>
        <v>100</v>
      </c>
      <c r="X29" s="1813"/>
      <c r="Y29" s="3179"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2557</v>
      </c>
      <c r="Q35" s="1810" t="str">
        <f t="shared" si="11"/>
        <v>市政基础设施</v>
      </c>
      <c r="R35" s="774" t="s">
        <v>17</v>
      </c>
      <c r="S35" s="775">
        <f t="shared" si="12"/>
        <v>100</v>
      </c>
      <c r="T35" s="774" t="s">
        <v>17</v>
      </c>
      <c r="U35" s="775">
        <f t="shared" si="13"/>
        <v>100</v>
      </c>
      <c r="V35" s="774" t="s">
        <v>17</v>
      </c>
      <c r="W35" s="775">
        <f t="shared" si="14"/>
        <v>100</v>
      </c>
      <c r="X35" s="1813"/>
      <c r="Y35" s="3179"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10">
        <f t="shared" si="11"/>
        <v>111</v>
      </c>
      <c r="R40" s="774" t="s">
        <v>17</v>
      </c>
      <c r="S40" s="775">
        <f t="shared" si="12"/>
        <v>100</v>
      </c>
      <c r="T40" s="774" t="s">
        <v>17</v>
      </c>
      <c r="U40" s="775">
        <f t="shared" si="13"/>
        <v>100</v>
      </c>
      <c r="V40" s="774" t="s">
        <v>17</v>
      </c>
      <c r="W40" s="775">
        <f t="shared" si="14"/>
        <v>100</v>
      </c>
      <c r="X40" s="1813"/>
      <c r="Y40" s="3180"/>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5"/>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7"/>
      <c r="D2" s="1124" t="e">
        <f ca="1">SUMIF(INDIRECT("'"&amp;F2&amp;"'"&amp;"!A:A"),"承租人权益价值",INDIRECT("'"&amp;F2&amp;"'"&amp;"!c:c"))</f>
        <v>#REF!</v>
      </c>
      <c r="E2" s="2588" t="s">
        <v>2320</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2538</v>
      </c>
      <c r="D6" s="3205"/>
      <c r="E6" s="3211" t="s">
        <v>2538</v>
      </c>
      <c r="F6" s="3212"/>
      <c r="G6" s="3204" t="s">
        <v>2538</v>
      </c>
      <c r="H6" s="3205"/>
      <c r="I6" s="3204" t="s">
        <v>2538</v>
      </c>
      <c r="J6" s="3205"/>
      <c r="K6" s="610" t="s">
        <v>2539</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2540</v>
      </c>
      <c r="B7" s="409"/>
      <c r="C7" s="410">
        <f>'数据-取费表'!B2</f>
        <v>43851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2541</v>
      </c>
      <c r="Q7" s="3210"/>
      <c r="R7" s="770" t="s">
        <v>17</v>
      </c>
      <c r="S7" s="771">
        <f t="shared" ref="S7:S14" si="0">F7</f>
        <v>0</v>
      </c>
      <c r="T7" s="770" t="s">
        <v>17</v>
      </c>
      <c r="U7" s="771">
        <f t="shared" ref="U7:U14" si="1">H7</f>
        <v>0</v>
      </c>
      <c r="V7" s="770" t="s">
        <v>17</v>
      </c>
      <c r="W7" s="771">
        <f t="shared" ref="W7:W14" si="2">J7</f>
        <v>0</v>
      </c>
      <c r="X7" s="772"/>
      <c r="Y7" s="3208" t="s">
        <v>2541</v>
      </c>
      <c r="Z7" s="3209"/>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2547</v>
      </c>
      <c r="Q9" s="1795" t="str">
        <f t="shared" ref="Q9:Q14" si="6">B9</f>
        <v>用途</v>
      </c>
      <c r="R9" s="770" t="s">
        <v>17</v>
      </c>
      <c r="S9" s="771">
        <f t="shared" si="0"/>
        <v>100</v>
      </c>
      <c r="T9" s="770" t="s">
        <v>17</v>
      </c>
      <c r="U9" s="771">
        <f t="shared" si="1"/>
        <v>100</v>
      </c>
      <c r="V9" s="770" t="s">
        <v>17</v>
      </c>
      <c r="W9" s="771">
        <f t="shared" si="2"/>
        <v>100</v>
      </c>
      <c r="X9" s="772"/>
      <c r="Y9" s="2998"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2551</v>
      </c>
      <c r="B14" s="629" t="s">
        <v>2701</v>
      </c>
      <c r="C14" s="2694"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2552</v>
      </c>
      <c r="Q14" s="1810" t="str">
        <f t="shared" si="6"/>
        <v>交通便捷度</v>
      </c>
      <c r="R14" s="774" t="s">
        <v>17</v>
      </c>
      <c r="S14" s="775">
        <f t="shared" si="0"/>
        <v>100</v>
      </c>
      <c r="T14" s="774" t="s">
        <v>17</v>
      </c>
      <c r="U14" s="775">
        <f t="shared" si="1"/>
        <v>100</v>
      </c>
      <c r="V14" s="774" t="s">
        <v>17</v>
      </c>
      <c r="W14" s="775">
        <f t="shared" si="2"/>
        <v>100</v>
      </c>
      <c r="X14" s="1813"/>
      <c r="Y14" s="3174"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5"/>
      <c r="Q15" s="1810"/>
      <c r="R15" s="774"/>
      <c r="S15" s="775"/>
      <c r="T15" s="774"/>
      <c r="U15" s="775"/>
      <c r="V15" s="774"/>
      <c r="W15" s="775"/>
      <c r="X15" s="1813"/>
      <c r="Y15" s="3175"/>
      <c r="Z15" s="1814"/>
      <c r="AA15" s="1811">
        <v>1</v>
      </c>
      <c r="AB15" s="1811">
        <v>1</v>
      </c>
      <c r="AC15" s="1811">
        <v>1</v>
      </c>
    </row>
    <row r="16" spans="1:29" ht="42.75">
      <c r="A16" s="404"/>
      <c r="B16" s="631" t="s">
        <v>2680</v>
      </c>
      <c r="C16" s="2608"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75"/>
      <c r="Q17" s="1810"/>
      <c r="R17" s="774"/>
      <c r="S17" s="775"/>
      <c r="T17" s="774"/>
      <c r="U17" s="775"/>
      <c r="V17" s="774"/>
      <c r="W17" s="775"/>
      <c r="X17" s="1813"/>
      <c r="Y17" s="3175"/>
      <c r="Z17" s="1814"/>
      <c r="AA17" s="1811">
        <v>1</v>
      </c>
      <c r="AB17" s="1811">
        <v>1</v>
      </c>
      <c r="AC17" s="1811">
        <v>1</v>
      </c>
    </row>
    <row r="18" spans="1:29" ht="28.5">
      <c r="A18" s="404"/>
      <c r="B18" s="633" t="s">
        <v>2681</v>
      </c>
      <c r="C18" s="260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75"/>
      <c r="Q19" s="1810"/>
      <c r="R19" s="774"/>
      <c r="S19" s="775"/>
      <c r="T19" s="774"/>
      <c r="U19" s="775"/>
      <c r="V19" s="774"/>
      <c r="W19" s="775"/>
      <c r="X19" s="1813"/>
      <c r="Y19" s="3175"/>
      <c r="Z19" s="1814"/>
      <c r="AA19" s="1811">
        <v>1</v>
      </c>
      <c r="AB19" s="1811">
        <v>1</v>
      </c>
      <c r="AC19" s="1811">
        <v>1</v>
      </c>
    </row>
    <row r="20" spans="1:29" ht="57">
      <c r="A20" s="404"/>
      <c r="B20" s="631" t="s">
        <v>2702</v>
      </c>
      <c r="C20" s="2608"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5"/>
      <c r="Q21" s="1810"/>
      <c r="R21" s="774"/>
      <c r="S21" s="775"/>
      <c r="T21" s="774"/>
      <c r="U21" s="775"/>
      <c r="V21" s="774"/>
      <c r="W21" s="775"/>
      <c r="X21" s="1813"/>
      <c r="Y21" s="3175"/>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10">
        <f t="shared" ref="Q24:Q36"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2557</v>
      </c>
      <c r="Q32" s="1810" t="str">
        <f t="shared" si="11"/>
        <v>车位类型</v>
      </c>
      <c r="R32" s="774" t="s">
        <v>17</v>
      </c>
      <c r="S32" s="775">
        <f t="shared" si="12"/>
        <v>100</v>
      </c>
      <c r="T32" s="774" t="s">
        <v>17</v>
      </c>
      <c r="U32" s="775">
        <f t="shared" si="13"/>
        <v>100</v>
      </c>
      <c r="V32" s="774" t="s">
        <v>17</v>
      </c>
      <c r="W32" s="775">
        <f t="shared" si="14"/>
        <v>100</v>
      </c>
      <c r="X32" s="1813"/>
      <c r="Y32" s="3179"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2712</v>
      </c>
      <c r="B37" s="2696" t="s">
        <v>2713</v>
      </c>
      <c r="C37" s="1407" t="s">
        <v>1</v>
      </c>
      <c r="D37" s="1408"/>
      <c r="E37" s="1409"/>
      <c r="F37" s="1410"/>
      <c r="G37" s="1411"/>
      <c r="H37" s="1412"/>
      <c r="I37" s="1409"/>
      <c r="J37" s="1412"/>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5"/>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7"/>
      <c r="D2" s="1124" t="e">
        <f ca="1">SUMIF(INDIRECT("'"&amp;F2&amp;"'"&amp;"!A:A"),"承租人权益价值",INDIRECT("'"&amp;F2&amp;"'"&amp;"!c:c"))</f>
        <v>#REF!</v>
      </c>
      <c r="E2" s="2588" t="s">
        <v>2320</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2538</v>
      </c>
      <c r="D6" s="3205"/>
      <c r="E6" s="3211" t="s">
        <v>2538</v>
      </c>
      <c r="F6" s="3212"/>
      <c r="G6" s="3204" t="s">
        <v>2538</v>
      </c>
      <c r="H6" s="3205"/>
      <c r="I6" s="3204" t="s">
        <v>2538</v>
      </c>
      <c r="J6" s="3205"/>
      <c r="K6" s="610" t="s">
        <v>2539</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2540</v>
      </c>
      <c r="B7" s="409"/>
      <c r="C7" s="410">
        <f>'数据-取费表'!B2</f>
        <v>43851</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8" t="s">
        <v>2541</v>
      </c>
      <c r="Q7" s="3210"/>
      <c r="R7" s="770" t="s">
        <v>17</v>
      </c>
      <c r="S7" s="771">
        <f t="shared" ref="S7:S14" si="0">F7</f>
        <v>0</v>
      </c>
      <c r="T7" s="770" t="s">
        <v>17</v>
      </c>
      <c r="U7" s="771">
        <f t="shared" ref="U7:U14" si="1">H7</f>
        <v>0</v>
      </c>
      <c r="V7" s="770" t="s">
        <v>17</v>
      </c>
      <c r="W7" s="771">
        <f t="shared" ref="W7:W14" si="2">J7</f>
        <v>0</v>
      </c>
      <c r="X7" s="772"/>
      <c r="Y7" s="3208" t="s">
        <v>2541</v>
      </c>
      <c r="Z7" s="3209"/>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2547</v>
      </c>
      <c r="Q9" s="1795" t="str">
        <f t="shared" ref="Q9:Q14" si="6">B9</f>
        <v>用途</v>
      </c>
      <c r="R9" s="770" t="s">
        <v>17</v>
      </c>
      <c r="S9" s="771">
        <f t="shared" si="0"/>
        <v>100</v>
      </c>
      <c r="T9" s="770" t="s">
        <v>17</v>
      </c>
      <c r="U9" s="771">
        <f t="shared" si="1"/>
        <v>100</v>
      </c>
      <c r="V9" s="770" t="s">
        <v>17</v>
      </c>
      <c r="W9" s="771">
        <f t="shared" si="2"/>
        <v>100</v>
      </c>
      <c r="X9" s="772"/>
      <c r="Y9" s="299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2551</v>
      </c>
      <c r="B14" s="69" t="s">
        <v>2701</v>
      </c>
      <c r="C14" s="2694"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2552</v>
      </c>
      <c r="Q14" s="1810" t="str">
        <f t="shared" si="6"/>
        <v>交通便捷度</v>
      </c>
      <c r="R14" s="774" t="s">
        <v>17</v>
      </c>
      <c r="S14" s="775">
        <f t="shared" si="0"/>
        <v>100</v>
      </c>
      <c r="T14" s="774" t="s">
        <v>17</v>
      </c>
      <c r="U14" s="775">
        <f t="shared" si="1"/>
        <v>100</v>
      </c>
      <c r="V14" s="774" t="s">
        <v>17</v>
      </c>
      <c r="W14" s="775">
        <f t="shared" si="2"/>
        <v>100</v>
      </c>
      <c r="X14" s="1813"/>
      <c r="Y14" s="3174"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5"/>
      <c r="Q15" s="1810"/>
      <c r="R15" s="774"/>
      <c r="S15" s="775"/>
      <c r="T15" s="774"/>
      <c r="U15" s="775"/>
      <c r="V15" s="774"/>
      <c r="W15" s="775"/>
      <c r="X15" s="1813"/>
      <c r="Y15" s="3175"/>
      <c r="Z15" s="1814"/>
      <c r="AA15" s="1811">
        <v>1</v>
      </c>
      <c r="AB15" s="1811">
        <v>1</v>
      </c>
      <c r="AC15" s="1811">
        <v>1</v>
      </c>
    </row>
    <row r="16" spans="1:29" ht="42.75">
      <c r="A16" s="428"/>
      <c r="B16" s="451" t="s">
        <v>2680</v>
      </c>
      <c r="C16" s="2608"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75"/>
      <c r="Q17" s="1810"/>
      <c r="R17" s="774"/>
      <c r="S17" s="775"/>
      <c r="T17" s="774"/>
      <c r="U17" s="775"/>
      <c r="V17" s="774"/>
      <c r="W17" s="775"/>
      <c r="X17" s="1813"/>
      <c r="Y17" s="3175"/>
      <c r="Z17" s="1814"/>
      <c r="AA17" s="1811">
        <v>1</v>
      </c>
      <c r="AB17" s="1811">
        <v>1</v>
      </c>
      <c r="AC17" s="1811">
        <v>1</v>
      </c>
    </row>
    <row r="18" spans="1:29" ht="28.5">
      <c r="A18" s="428"/>
      <c r="B18" s="1384" t="s">
        <v>2681</v>
      </c>
      <c r="C18" s="260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75"/>
      <c r="Q19" s="1810"/>
      <c r="R19" s="774"/>
      <c r="S19" s="775"/>
      <c r="T19" s="774"/>
      <c r="U19" s="775"/>
      <c r="V19" s="774"/>
      <c r="W19" s="775"/>
      <c r="X19" s="1813"/>
      <c r="Y19" s="3175"/>
      <c r="Z19" s="1814"/>
      <c r="AA19" s="1811">
        <v>1</v>
      </c>
      <c r="AB19" s="1811">
        <v>1</v>
      </c>
      <c r="AC19" s="1811">
        <v>1</v>
      </c>
    </row>
    <row r="20" spans="1:29" ht="57">
      <c r="A20" s="428"/>
      <c r="B20" s="451" t="s">
        <v>2702</v>
      </c>
      <c r="C20" s="2608"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5"/>
      <c r="Q21" s="1810"/>
      <c r="R21" s="774"/>
      <c r="S21" s="775"/>
      <c r="T21" s="774"/>
      <c r="U21" s="775"/>
      <c r="V21" s="774"/>
      <c r="W21" s="775"/>
      <c r="X21" s="1813"/>
      <c r="Y21" s="3175"/>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10">
        <f t="shared" ref="Q24:Q34"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0"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2557</v>
      </c>
      <c r="Q32" s="1810">
        <f t="shared" si="11"/>
        <v>111</v>
      </c>
      <c r="R32" s="774" t="s">
        <v>17</v>
      </c>
      <c r="S32" s="775">
        <f t="shared" si="12"/>
        <v>100</v>
      </c>
      <c r="T32" s="774" t="s">
        <v>17</v>
      </c>
      <c r="U32" s="775">
        <f t="shared" si="13"/>
        <v>100</v>
      </c>
      <c r="V32" s="774" t="s">
        <v>17</v>
      </c>
      <c r="W32" s="775">
        <f t="shared" si="14"/>
        <v>100</v>
      </c>
      <c r="X32" s="1813"/>
      <c r="Y32" s="3179" t="s">
        <v>2557</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30"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185"/>
      <c r="AC5" s="3185"/>
    </row>
    <row r="6" spans="1:30" ht="15.75" thickBot="1">
      <c r="A6" s="406"/>
      <c r="B6" s="407"/>
      <c r="C6" s="3204" t="s">
        <v>2538</v>
      </c>
      <c r="D6" s="3205"/>
      <c r="E6" s="3211" t="s">
        <v>2538</v>
      </c>
      <c r="F6" s="3212"/>
      <c r="G6" s="3204" t="s">
        <v>2538</v>
      </c>
      <c r="H6" s="3205"/>
      <c r="I6" s="3204" t="s">
        <v>2538</v>
      </c>
      <c r="J6" s="3205"/>
      <c r="K6" s="610" t="s">
        <v>2539</v>
      </c>
      <c r="L6" s="1130"/>
      <c r="M6" s="1131"/>
      <c r="N6" s="1131"/>
      <c r="O6" s="1131"/>
      <c r="P6" s="3195"/>
      <c r="Q6" s="3196"/>
      <c r="R6" s="3199"/>
      <c r="S6" s="3200"/>
      <c r="T6" s="3201"/>
      <c r="U6" s="3202"/>
      <c r="V6" s="3203"/>
      <c r="W6" s="3203"/>
      <c r="X6" s="1813"/>
      <c r="Y6" s="3201"/>
      <c r="Z6" s="3202"/>
      <c r="AA6" s="3186"/>
      <c r="AB6" s="3186"/>
      <c r="AC6" s="3186"/>
    </row>
    <row r="7" spans="1:30" s="117" customFormat="1" ht="15.75" thickBot="1">
      <c r="A7" s="408" t="s">
        <v>2540</v>
      </c>
      <c r="B7" s="409"/>
      <c r="C7" s="410">
        <f>'数据-取费表'!B2</f>
        <v>43851</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8" t="s">
        <v>2541</v>
      </c>
      <c r="Q7" s="3210"/>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5" si="3">D8/F8</f>
        <v>#DIV/0!</v>
      </c>
      <c r="AB8" s="773" t="e">
        <f t="shared" ref="AB8:AB45" si="4">D8/H8</f>
        <v>#DIV/0!</v>
      </c>
      <c r="AC8" s="773" t="e">
        <f t="shared" ref="AC8:AC45" si="5">D8/J8</f>
        <v>#DIV/0!</v>
      </c>
    </row>
    <row r="9" spans="1:30" s="117" customFormat="1">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72"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172"/>
      <c r="Q10" s="1795" t="str">
        <f t="shared" si="6"/>
        <v>土地使用年限（年）</v>
      </c>
      <c r="R10" s="770" t="s">
        <v>17</v>
      </c>
      <c r="S10" s="771">
        <f t="shared" si="0"/>
        <v>122</v>
      </c>
      <c r="T10" s="770" t="s">
        <v>17</v>
      </c>
      <c r="U10" s="771">
        <f t="shared" si="1"/>
        <v>122</v>
      </c>
      <c r="V10" s="770" t="s">
        <v>17</v>
      </c>
      <c r="W10" s="771">
        <f t="shared" si="2"/>
        <v>122</v>
      </c>
      <c r="X10" s="772"/>
      <c r="Y10" s="2998"/>
      <c r="Z10" s="55" t="str">
        <f t="shared" si="7"/>
        <v>土地使用年限（年）</v>
      </c>
      <c r="AA10" s="773">
        <f t="shared" si="3"/>
        <v>0.81967213114754101</v>
      </c>
      <c r="AB10" s="773">
        <f t="shared" si="4"/>
        <v>0.81967213114754101</v>
      </c>
      <c r="AC10" s="773">
        <f t="shared" si="5"/>
        <v>0.81967213114754101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2551</v>
      </c>
      <c r="B15" s="69" t="s">
        <v>2079</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2552</v>
      </c>
      <c r="Q15" s="1810" t="str">
        <f t="shared" si="6"/>
        <v>居住社区成熟度</v>
      </c>
      <c r="R15" s="774" t="s">
        <v>17</v>
      </c>
      <c r="S15" s="775">
        <f t="shared" si="0"/>
        <v>100</v>
      </c>
      <c r="T15" s="774" t="s">
        <v>17</v>
      </c>
      <c r="U15" s="775">
        <f t="shared" si="1"/>
        <v>100</v>
      </c>
      <c r="V15" s="774" t="s">
        <v>17</v>
      </c>
      <c r="W15" s="775">
        <f t="shared" si="2"/>
        <v>100</v>
      </c>
      <c r="X15" s="1813"/>
      <c r="Y15" s="3174" t="s">
        <v>2552</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71.25">
      <c r="A17" s="428"/>
      <c r="B17" s="451" t="s">
        <v>2645</v>
      </c>
      <c r="C17" s="2665"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10" t="str">
        <f>B17</f>
        <v>商业繁华度</v>
      </c>
      <c r="R17" s="774" t="s">
        <v>17</v>
      </c>
      <c r="S17" s="775">
        <f>F17</f>
        <v>100</v>
      </c>
      <c r="T17" s="774" t="s">
        <v>17</v>
      </c>
      <c r="U17" s="775">
        <f>H17</f>
        <v>100</v>
      </c>
      <c r="V17" s="774" t="s">
        <v>17</v>
      </c>
      <c r="W17" s="775">
        <f>J17</f>
        <v>100</v>
      </c>
      <c r="X17" s="1813"/>
      <c r="Y17" s="3175"/>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71.25">
      <c r="A19" s="428"/>
      <c r="B19" s="451" t="s">
        <v>2679</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10" t="str">
        <f>B19</f>
        <v>办公集聚程度</v>
      </c>
      <c r="R19" s="774" t="s">
        <v>17</v>
      </c>
      <c r="S19" s="775">
        <f>F19</f>
        <v>100</v>
      </c>
      <c r="T19" s="774" t="s">
        <v>17</v>
      </c>
      <c r="U19" s="775">
        <f>H19</f>
        <v>100</v>
      </c>
      <c r="V19" s="774" t="s">
        <v>17</v>
      </c>
      <c r="W19" s="775">
        <f>J19</f>
        <v>100</v>
      </c>
      <c r="X19" s="1813"/>
      <c r="Y19" s="3175"/>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75"/>
      <c r="Q20" s="1810"/>
      <c r="R20" s="774"/>
      <c r="S20" s="775"/>
      <c r="T20" s="774"/>
      <c r="U20" s="775"/>
      <c r="V20" s="774"/>
      <c r="W20" s="775"/>
      <c r="X20" s="1813"/>
      <c r="Y20" s="3175"/>
      <c r="Z20" s="1814"/>
      <c r="AA20" s="1811">
        <v>1</v>
      </c>
      <c r="AB20" s="1811">
        <v>1</v>
      </c>
      <c r="AC20" s="1811">
        <v>1</v>
      </c>
    </row>
    <row r="21" spans="1:29" ht="85.5">
      <c r="A21" s="428"/>
      <c r="B21" s="451" t="s">
        <v>2701</v>
      </c>
      <c r="C21" s="2608"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10" t="str">
        <f>B21</f>
        <v>交通便捷度</v>
      </c>
      <c r="R21" s="774" t="s">
        <v>17</v>
      </c>
      <c r="S21" s="775">
        <f>F21</f>
        <v>100</v>
      </c>
      <c r="T21" s="774" t="s">
        <v>17</v>
      </c>
      <c r="U21" s="775">
        <f>H21</f>
        <v>100</v>
      </c>
      <c r="V21" s="774" t="s">
        <v>17</v>
      </c>
      <c r="W21" s="775">
        <f>J21</f>
        <v>100</v>
      </c>
      <c r="X21" s="1813"/>
      <c r="Y21" s="3175"/>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10" t="str">
        <f t="shared" ref="Q23:Q37" si="8">B23</f>
        <v>区域土地利用方向</v>
      </c>
      <c r="R23" s="774" t="s">
        <v>17</v>
      </c>
      <c r="S23" s="775">
        <f>F23</f>
        <v>100</v>
      </c>
      <c r="T23" s="774" t="s">
        <v>17</v>
      </c>
      <c r="U23" s="775">
        <f>H23</f>
        <v>100</v>
      </c>
      <c r="V23" s="774" t="s">
        <v>17</v>
      </c>
      <c r="W23" s="775">
        <f>J23</f>
        <v>100</v>
      </c>
      <c r="X23" s="1813"/>
      <c r="Y23" s="3175"/>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75"/>
      <c r="Q24" s="1810"/>
      <c r="R24" s="774"/>
      <c r="S24" s="775"/>
      <c r="T24" s="774"/>
      <c r="U24" s="775"/>
      <c r="V24" s="774"/>
      <c r="W24" s="775"/>
      <c r="X24" s="1813"/>
      <c r="Y24" s="3175"/>
      <c r="Z24" s="1814"/>
      <c r="AA24" s="1811"/>
      <c r="AB24" s="1811"/>
      <c r="AC24" s="1811"/>
    </row>
    <row r="25" spans="1:29" ht="57">
      <c r="A25" s="404"/>
      <c r="B25" s="1384" t="s">
        <v>2741</v>
      </c>
      <c r="C25" s="2665"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10" t="str">
        <f t="shared" si="8"/>
        <v>自然及人文环境状况</v>
      </c>
      <c r="R25" s="774" t="s">
        <v>17</v>
      </c>
      <c r="S25" s="775">
        <f>F25</f>
        <v>100</v>
      </c>
      <c r="T25" s="774" t="s">
        <v>17</v>
      </c>
      <c r="U25" s="775">
        <f>H25</f>
        <v>100</v>
      </c>
      <c r="V25" s="774" t="s">
        <v>17</v>
      </c>
      <c r="W25" s="775">
        <f>J25</f>
        <v>100</v>
      </c>
      <c r="X25" s="1813"/>
      <c r="Y25" s="3175"/>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75"/>
      <c r="Q26" s="1810"/>
      <c r="R26" s="774"/>
      <c r="S26" s="775"/>
      <c r="T26" s="774"/>
      <c r="U26" s="775"/>
      <c r="V26" s="774"/>
      <c r="W26" s="775"/>
      <c r="X26" s="1813"/>
      <c r="Y26" s="3175"/>
      <c r="Z26" s="1814"/>
      <c r="AA26" s="1811">
        <v>1</v>
      </c>
      <c r="AB26" s="1811">
        <v>1</v>
      </c>
      <c r="AC26" s="1811">
        <v>1</v>
      </c>
    </row>
    <row r="27" spans="1:29" s="117" customFormat="1" ht="42.75">
      <c r="A27" s="649"/>
      <c r="B27" s="1384" t="s">
        <v>2646</v>
      </c>
      <c r="C27" s="2608"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5" t="str">
        <f t="shared" si="8"/>
        <v>公共配套设施</v>
      </c>
      <c r="R27" s="770" t="s">
        <v>17</v>
      </c>
      <c r="S27" s="771">
        <f>F27</f>
        <v>100</v>
      </c>
      <c r="T27" s="770" t="s">
        <v>17</v>
      </c>
      <c r="U27" s="771">
        <f>H27</f>
        <v>100</v>
      </c>
      <c r="V27" s="770" t="s">
        <v>17</v>
      </c>
      <c r="W27" s="771">
        <f>J27</f>
        <v>100</v>
      </c>
      <c r="X27" s="772"/>
      <c r="Y27" s="3175"/>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75"/>
      <c r="Q28" s="1795"/>
      <c r="R28" s="770"/>
      <c r="S28" s="771"/>
      <c r="T28" s="770"/>
      <c r="U28" s="771"/>
      <c r="V28" s="770"/>
      <c r="W28" s="771"/>
      <c r="X28" s="772"/>
      <c r="Y28" s="3175"/>
      <c r="Z28" s="55"/>
      <c r="AA28" s="1811">
        <v>1</v>
      </c>
      <c r="AB28" s="1811">
        <v>1</v>
      </c>
      <c r="AC28" s="1811">
        <v>1</v>
      </c>
    </row>
    <row r="29" spans="1:29" s="117" customFormat="1" ht="28.5">
      <c r="A29" s="649"/>
      <c r="B29" s="1384" t="s">
        <v>2647</v>
      </c>
      <c r="C29" s="260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5"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75"/>
      <c r="Q30" s="1795"/>
      <c r="R30" s="770"/>
      <c r="S30" s="771"/>
      <c r="T30" s="770"/>
      <c r="U30" s="771"/>
      <c r="V30" s="770"/>
      <c r="W30" s="771"/>
      <c r="X30" s="772"/>
      <c r="Y30" s="3175"/>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5"/>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10" t="str">
        <f t="shared" si="8"/>
        <v>毗邻道路的类型与等级</v>
      </c>
      <c r="R32" s="774" t="s">
        <v>17</v>
      </c>
      <c r="S32" s="775">
        <f t="shared" si="10"/>
        <v>100</v>
      </c>
      <c r="T32" s="774" t="s">
        <v>17</v>
      </c>
      <c r="U32" s="775">
        <f t="shared" si="11"/>
        <v>100</v>
      </c>
      <c r="V32" s="774" t="s">
        <v>17</v>
      </c>
      <c r="W32" s="775">
        <f t="shared" si="12"/>
        <v>100</v>
      </c>
      <c r="X32" s="1813"/>
      <c r="Y32" s="3175"/>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75"/>
      <c r="Q33" s="1810"/>
      <c r="R33" s="774"/>
      <c r="S33" s="775"/>
      <c r="T33" s="774"/>
      <c r="U33" s="775"/>
      <c r="V33" s="774"/>
      <c r="W33" s="775"/>
      <c r="X33" s="1813"/>
      <c r="Y33" s="3175"/>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10" t="str">
        <f t="shared" si="8"/>
        <v>土地级别</v>
      </c>
      <c r="R34" s="774" t="s">
        <v>17</v>
      </c>
      <c r="S34" s="775">
        <f t="shared" si="10"/>
        <v>100</v>
      </c>
      <c r="T34" s="774" t="s">
        <v>17</v>
      </c>
      <c r="U34" s="775">
        <f t="shared" si="11"/>
        <v>100</v>
      </c>
      <c r="V34" s="774" t="s">
        <v>17</v>
      </c>
      <c r="W34" s="775">
        <f t="shared" si="12"/>
        <v>100</v>
      </c>
      <c r="X34" s="1813"/>
      <c r="Y34" s="317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10">
        <f t="shared" si="8"/>
        <v>111</v>
      </c>
      <c r="R35" s="774" t="s">
        <v>17</v>
      </c>
      <c r="S35" s="775">
        <f t="shared" si="10"/>
        <v>100</v>
      </c>
      <c r="T35" s="774" t="s">
        <v>17</v>
      </c>
      <c r="U35" s="775">
        <f t="shared" si="11"/>
        <v>100</v>
      </c>
      <c r="V35" s="774" t="s">
        <v>17</v>
      </c>
      <c r="W35" s="775">
        <f t="shared" si="12"/>
        <v>100</v>
      </c>
      <c r="X35" s="1813"/>
      <c r="Y35" s="317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2557</v>
      </c>
      <c r="Q36" s="1810">
        <f t="shared" si="8"/>
        <v>111</v>
      </c>
      <c r="R36" s="774" t="s">
        <v>17</v>
      </c>
      <c r="S36" s="775">
        <f t="shared" si="10"/>
        <v>100</v>
      </c>
      <c r="T36" s="774" t="s">
        <v>17</v>
      </c>
      <c r="U36" s="775">
        <f t="shared" si="11"/>
        <v>100</v>
      </c>
      <c r="V36" s="774" t="s">
        <v>17</v>
      </c>
      <c r="W36" s="775">
        <f t="shared" si="12"/>
        <v>100</v>
      </c>
      <c r="X36" s="1813"/>
      <c r="Y36" s="3179"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79" t="s">
        <v>2557</v>
      </c>
      <c r="Q42" s="1810" t="str">
        <f t="shared" si="14"/>
        <v>工程地质条件</v>
      </c>
      <c r="R42" s="774" t="s">
        <v>17</v>
      </c>
      <c r="S42" s="775">
        <f t="shared" si="10"/>
        <v>100</v>
      </c>
      <c r="T42" s="774" t="s">
        <v>17</v>
      </c>
      <c r="U42" s="775">
        <f t="shared" si="11"/>
        <v>100</v>
      </c>
      <c r="V42" s="774" t="s">
        <v>17</v>
      </c>
      <c r="W42" s="775">
        <f t="shared" si="12"/>
        <v>100</v>
      </c>
      <c r="X42" s="1813"/>
      <c r="Y42" s="3179"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2712</v>
      </c>
      <c r="B46" s="2705" t="s">
        <v>2748</v>
      </c>
      <c r="C46" s="682" t="s">
        <v>1</v>
      </c>
      <c r="D46" s="481"/>
      <c r="E46" s="482"/>
      <c r="F46" s="483"/>
      <c r="G46" s="484"/>
      <c r="H46" s="485"/>
      <c r="I46" s="482"/>
      <c r="J46" s="485"/>
      <c r="K46" s="783"/>
      <c r="L46" s="1143"/>
      <c r="M46" s="1144"/>
      <c r="N46" s="1131"/>
      <c r="O46" s="1144"/>
      <c r="P46" s="3172" t="str">
        <f>A46</f>
        <v>成交单价</v>
      </c>
      <c r="Q46" s="3172"/>
      <c r="R46" s="3203">
        <f>E46</f>
        <v>0</v>
      </c>
      <c r="S46" s="3203"/>
      <c r="T46" s="3203">
        <f>G46</f>
        <v>0</v>
      </c>
      <c r="U46" s="3203"/>
      <c r="V46" s="3203">
        <f>I46</f>
        <v>0</v>
      </c>
      <c r="W46" s="3203"/>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72" t="str">
        <f>A47</f>
        <v>比较价值（元/平方米）</v>
      </c>
      <c r="Q47" s="3172"/>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169" t="str">
        <f>A48</f>
        <v>估价对象XX用房的比较价值（楼面单价，元/平方米）</v>
      </c>
      <c r="Q48" s="3170"/>
      <c r="R48" s="3232" t="e">
        <f>ROUND(AVERAGE(R47:V47),0)</f>
        <v>#DIV/0!</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6" t="s">
        <v>2752</v>
      </c>
      <c r="D55" s="2707" t="s">
        <v>2753</v>
      </c>
      <c r="E55" s="686" t="s">
        <v>2754</v>
      </c>
      <c r="F55" s="1107" t="s">
        <v>2755</v>
      </c>
      <c r="G55" s="3187" t="s">
        <v>2756</v>
      </c>
      <c r="H55" s="3233"/>
      <c r="I55" s="144" t="s">
        <v>2757</v>
      </c>
      <c r="J55" s="2708">
        <f>项目基本情况!F35</f>
        <v>0</v>
      </c>
      <c r="K55" s="2709" t="s">
        <v>2758</v>
      </c>
      <c r="L55" s="1106"/>
      <c r="M55" s="1144"/>
      <c r="N55" s="1144"/>
      <c r="O55" s="1144"/>
    </row>
    <row r="56" spans="1:15" s="692" customFormat="1">
      <c r="A56" s="688" t="s">
        <v>2759</v>
      </c>
      <c r="B56" s="689" t="e">
        <f>C48</f>
        <v>#DIV/0!</v>
      </c>
      <c r="C56" s="690">
        <v>1</v>
      </c>
      <c r="D56" s="1163">
        <v>1</v>
      </c>
      <c r="E56" s="690">
        <f>'数据-汇总表'!E8+'数据-汇总表'!E9</f>
        <v>1237.4099999999999</v>
      </c>
      <c r="F56" s="1103" t="e">
        <f t="shared" ref="F56:F65" si="15">ROUND(B56*E56/10000,0)</f>
        <v>#DIV/0!</v>
      </c>
      <c r="G56" s="3183"/>
      <c r="H56" s="3172"/>
      <c r="I56" s="1108">
        <v>1</v>
      </c>
      <c r="J56" s="1111">
        <v>1</v>
      </c>
      <c r="K56" s="1145"/>
      <c r="L56" s="941"/>
      <c r="M56" s="941"/>
      <c r="N56" s="941"/>
      <c r="O56" s="941"/>
    </row>
    <row r="57" spans="1:15" s="692" customFormat="1">
      <c r="A57" s="693" t="s">
        <v>2760</v>
      </c>
      <c r="B57" s="262" t="e">
        <f>ROUND($C$48*C57*D57,0)</f>
        <v>#DIV/0!</v>
      </c>
      <c r="C57" s="200">
        <f t="shared" ref="C57:C65" si="16">IF($C$55="北京市系数",I57,J57)</f>
        <v>0.7</v>
      </c>
      <c r="D57" s="1164">
        <v>0.25</v>
      </c>
      <c r="E57" s="694"/>
      <c r="F57" s="1103" t="e">
        <f t="shared" si="15"/>
        <v>#DIV/0!</v>
      </c>
      <c r="G57" s="3234" t="s">
        <v>2761</v>
      </c>
      <c r="H57" s="1104" t="str">
        <f>项目基本情况!B37</f>
        <v>五级</v>
      </c>
      <c r="I57" s="1108">
        <f>SUMIF(修正!A45:A56,H57,修正!B45:B56)</f>
        <v>0.7</v>
      </c>
      <c r="J57" s="1112"/>
      <c r="K57" s="1144"/>
      <c r="L57" s="941"/>
      <c r="M57" s="941"/>
      <c r="N57" s="941"/>
      <c r="O57" s="941"/>
    </row>
    <row r="58" spans="1:15" s="692" customFormat="1">
      <c r="A58" s="693" t="s">
        <v>2762</v>
      </c>
      <c r="B58" s="262" t="e">
        <f t="shared" ref="B58:B65" si="17">ROUND($C$48*C58*D58,0)</f>
        <v>#DIV/0!</v>
      </c>
      <c r="C58" s="200">
        <f t="shared" si="16"/>
        <v>0.4</v>
      </c>
      <c r="D58" s="1164">
        <v>0.25</v>
      </c>
      <c r="E58" s="694"/>
      <c r="F58" s="1103" t="e">
        <f t="shared" si="15"/>
        <v>#DIV/0!</v>
      </c>
      <c r="G58" s="3234"/>
      <c r="H58" s="1104" t="str">
        <f>项目基本情况!B37</f>
        <v>五级</v>
      </c>
      <c r="I58" s="1108">
        <f>SUMIF(修正!A45:A56,H58,修正!C45:C56)</f>
        <v>0.4</v>
      </c>
      <c r="J58" s="1112"/>
      <c r="K58" s="1145"/>
      <c r="L58" s="941"/>
      <c r="M58" s="941"/>
      <c r="N58" s="941"/>
      <c r="O58" s="941"/>
    </row>
    <row r="59" spans="1:15" s="692" customFormat="1">
      <c r="A59" s="693" t="s">
        <v>2763</v>
      </c>
      <c r="B59" s="262" t="e">
        <f t="shared" si="17"/>
        <v>#DIV/0!</v>
      </c>
      <c r="C59" s="200">
        <f t="shared" si="16"/>
        <v>0.28000000000000003</v>
      </c>
      <c r="D59" s="1164">
        <v>0.25</v>
      </c>
      <c r="E59" s="694"/>
      <c r="F59" s="1103" t="e">
        <f t="shared" si="15"/>
        <v>#DIV/0!</v>
      </c>
      <c r="G59" s="3234"/>
      <c r="H59" s="1104" t="str">
        <f>项目基本情况!B37</f>
        <v>五级</v>
      </c>
      <c r="I59" s="1108">
        <f>SUMIF(修正!A45:A56,H59,修正!D45:D56)</f>
        <v>0.28000000000000003</v>
      </c>
      <c r="J59" s="1112"/>
      <c r="K59" s="1144"/>
      <c r="L59" s="941"/>
      <c r="M59" s="941"/>
      <c r="N59" s="941"/>
      <c r="O59" s="941"/>
    </row>
    <row r="60" spans="1:15" s="692" customFormat="1">
      <c r="A60" s="693" t="s">
        <v>2764</v>
      </c>
      <c r="B60" s="262" t="e">
        <f t="shared" si="17"/>
        <v>#DIV/0!</v>
      </c>
      <c r="C60" s="200">
        <f t="shared" si="16"/>
        <v>0.25</v>
      </c>
      <c r="D60" s="1164">
        <v>0.25</v>
      </c>
      <c r="E60" s="694"/>
      <c r="F60" s="1103" t="e">
        <f t="shared" si="15"/>
        <v>#DIV/0!</v>
      </c>
      <c r="G60" s="3234"/>
      <c r="H60" s="1104" t="str">
        <f>项目基本情况!B37</f>
        <v>五级</v>
      </c>
      <c r="I60" s="1108">
        <f>SUMIF(修正!A45:A56,H60,修正!E45:E56)</f>
        <v>0.25</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10"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0.2</v>
      </c>
      <c r="D64" s="1164">
        <v>0.25</v>
      </c>
      <c r="E64" s="261">
        <f>'数据-汇总表'!E14</f>
        <v>0</v>
      </c>
      <c r="F64" s="1103" t="e">
        <f t="shared" si="15"/>
        <v>#DIV/0!</v>
      </c>
      <c r="G64" s="2710" t="s">
        <v>2761</v>
      </c>
      <c r="H64" s="1104" t="str">
        <f>项目基本情况!B37</f>
        <v>五级</v>
      </c>
      <c r="I64" s="1108">
        <f>SUMIF(修正!A45:A56,H64,修正!H45:H56)</f>
        <v>0.2</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11"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1025</v>
      </c>
      <c r="E66" s="696">
        <f>IF(B46="楼面地价",SUM(E56:E65),'数据-汇总表'!D3)</f>
        <v>1237.4099999999999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2" t="s">
        <v>2774</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2775</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87" t="s">
        <v>2638</v>
      </c>
      <c r="D4" s="3188"/>
      <c r="E4" s="3189" t="s">
        <v>2639</v>
      </c>
      <c r="F4" s="3190"/>
      <c r="G4" s="3187" t="s">
        <v>2640</v>
      </c>
      <c r="H4" s="3188"/>
      <c r="I4" s="3187" t="s">
        <v>2641</v>
      </c>
      <c r="J4" s="3188"/>
      <c r="K4" s="610" t="s">
        <v>2642</v>
      </c>
      <c r="L4" s="1130"/>
      <c r="M4" s="1131"/>
      <c r="N4" s="1131"/>
      <c r="O4" s="1131"/>
      <c r="P4" s="3191" t="s">
        <v>2643</v>
      </c>
      <c r="Q4" s="3192"/>
      <c r="R4" s="3197" t="s">
        <v>2639</v>
      </c>
      <c r="S4" s="3198"/>
      <c r="T4" s="3197" t="s">
        <v>2640</v>
      </c>
      <c r="U4" s="3198"/>
      <c r="V4" s="3203" t="s">
        <v>2641</v>
      </c>
      <c r="W4" s="3203"/>
      <c r="X4" s="1813"/>
      <c r="Y4" s="3197" t="s">
        <v>2643</v>
      </c>
      <c r="Z4" s="3198"/>
      <c r="AA4" s="3184" t="s">
        <v>2639</v>
      </c>
      <c r="AB4" s="3185" t="s">
        <v>2640</v>
      </c>
      <c r="AC4" s="3184" t="s">
        <v>2641</v>
      </c>
    </row>
    <row r="5" spans="1:29" ht="15">
      <c r="A5" s="404"/>
      <c r="B5" s="405"/>
      <c r="C5" s="3206" t="s">
        <v>2534</v>
      </c>
      <c r="D5" s="3207"/>
      <c r="E5" s="3213" t="s">
        <v>2535</v>
      </c>
      <c r="F5" s="3214"/>
      <c r="G5" s="3206" t="s">
        <v>2536</v>
      </c>
      <c r="H5" s="3207"/>
      <c r="I5" s="3206" t="s">
        <v>2537</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35" t="s">
        <v>2789</v>
      </c>
      <c r="D6" s="3236"/>
      <c r="E6" s="3237" t="s">
        <v>2789</v>
      </c>
      <c r="F6" s="3238"/>
      <c r="G6" s="3235" t="s">
        <v>2789</v>
      </c>
      <c r="H6" s="3236"/>
      <c r="I6" s="3235" t="s">
        <v>2789</v>
      </c>
      <c r="J6" s="3236"/>
      <c r="K6" s="610" t="s">
        <v>2539</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2540</v>
      </c>
      <c r="B7" s="409"/>
      <c r="C7" s="410">
        <f>'数据-取费表'!B2</f>
        <v>43851</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8" t="s">
        <v>2541</v>
      </c>
      <c r="Q7" s="3210"/>
      <c r="R7" s="770" t="s">
        <v>17</v>
      </c>
      <c r="S7" s="771">
        <f t="shared" ref="S7:S15" si="0">F7</f>
        <v>0</v>
      </c>
      <c r="T7" s="770" t="s">
        <v>17</v>
      </c>
      <c r="U7" s="771">
        <f t="shared" ref="U7:U15" si="1">H7</f>
        <v>0</v>
      </c>
      <c r="V7" s="770" t="s">
        <v>17</v>
      </c>
      <c r="W7" s="771">
        <f t="shared" ref="W7:W15" si="2">J7</f>
        <v>0</v>
      </c>
      <c r="X7" s="772"/>
      <c r="Y7" s="3208" t="s">
        <v>2541</v>
      </c>
      <c r="Z7" s="3209"/>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2544</v>
      </c>
      <c r="Q8" s="3209"/>
      <c r="R8" s="770" t="s">
        <v>17</v>
      </c>
      <c r="S8" s="771">
        <f t="shared" si="0"/>
        <v>0</v>
      </c>
      <c r="T8" s="770" t="s">
        <v>17</v>
      </c>
      <c r="U8" s="771">
        <f t="shared" si="1"/>
        <v>0</v>
      </c>
      <c r="V8" s="770" t="s">
        <v>17</v>
      </c>
      <c r="W8" s="771">
        <f t="shared" si="2"/>
        <v>0</v>
      </c>
      <c r="X8" s="772"/>
      <c r="Y8" s="3208" t="s">
        <v>2544</v>
      </c>
      <c r="Z8" s="3209"/>
      <c r="AA8" s="773" t="e">
        <f t="shared" ref="AA8:AA40" si="3">D8/F8</f>
        <v>#DIV/0!</v>
      </c>
      <c r="AB8" s="773" t="e">
        <f t="shared" ref="AB8:AB40" si="4">D8/H8</f>
        <v>#DIV/0!</v>
      </c>
      <c r="AC8" s="773" t="e">
        <f t="shared" ref="AC8:AC40" si="5">D8/J8</f>
        <v>#DIV/0!</v>
      </c>
    </row>
    <row r="9" spans="1:29" s="117" customFormat="1">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72" t="s">
        <v>2547</v>
      </c>
      <c r="Q9" s="1795" t="str">
        <f t="shared" ref="Q9:Q15" si="6">B9</f>
        <v>用途</v>
      </c>
      <c r="R9" s="770" t="s">
        <v>17</v>
      </c>
      <c r="S9" s="771">
        <f t="shared" si="0"/>
        <v>100</v>
      </c>
      <c r="T9" s="770" t="s">
        <v>17</v>
      </c>
      <c r="U9" s="771">
        <f t="shared" si="1"/>
        <v>100</v>
      </c>
      <c r="V9" s="770" t="s">
        <v>17</v>
      </c>
      <c r="W9" s="771">
        <f t="shared" si="2"/>
        <v>100</v>
      </c>
      <c r="X9" s="772"/>
      <c r="Y9" s="299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172"/>
      <c r="Q10" s="1795" t="str">
        <f t="shared" si="6"/>
        <v>土地使用年限（年）</v>
      </c>
      <c r="R10" s="770" t="s">
        <v>17</v>
      </c>
      <c r="S10" s="771">
        <f t="shared" si="0"/>
        <v>122</v>
      </c>
      <c r="T10" s="770" t="s">
        <v>17</v>
      </c>
      <c r="U10" s="771">
        <f t="shared" si="1"/>
        <v>122</v>
      </c>
      <c r="V10" s="770" t="s">
        <v>17</v>
      </c>
      <c r="W10" s="771">
        <f t="shared" si="2"/>
        <v>122</v>
      </c>
      <c r="X10" s="772"/>
      <c r="Y10" s="2998"/>
      <c r="Z10" s="55" t="str">
        <f t="shared" si="7"/>
        <v>土地使用年限（年）</v>
      </c>
      <c r="AA10" s="773">
        <f t="shared" si="3"/>
        <v>0.81967213114754101</v>
      </c>
      <c r="AB10" s="773">
        <f t="shared" si="4"/>
        <v>0.81967213114754101</v>
      </c>
      <c r="AC10" s="773">
        <f t="shared" si="5"/>
        <v>0.81967213114754101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2552</v>
      </c>
      <c r="Q15" s="1810" t="str">
        <f t="shared" si="6"/>
        <v>产业集聚程度</v>
      </c>
      <c r="R15" s="774" t="s">
        <v>17</v>
      </c>
      <c r="S15" s="775">
        <f t="shared" si="0"/>
        <v>100</v>
      </c>
      <c r="T15" s="774" t="s">
        <v>17</v>
      </c>
      <c r="U15" s="775">
        <f t="shared" si="1"/>
        <v>100</v>
      </c>
      <c r="V15" s="774" t="s">
        <v>17</v>
      </c>
      <c r="W15" s="775">
        <f t="shared" si="2"/>
        <v>100</v>
      </c>
      <c r="X15" s="1813"/>
      <c r="Y15" s="3174" t="s">
        <v>2552</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15">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10" t="str">
        <f t="shared" ref="Q19:Q33" si="8">B19</f>
        <v>区域土地利用方向</v>
      </c>
      <c r="R19" s="774" t="s">
        <v>17</v>
      </c>
      <c r="S19" s="775">
        <f>F19</f>
        <v>100</v>
      </c>
      <c r="T19" s="774" t="s">
        <v>17</v>
      </c>
      <c r="U19" s="775">
        <f>H19</f>
        <v>100</v>
      </c>
      <c r="V19" s="774" t="s">
        <v>17</v>
      </c>
      <c r="W19" s="775">
        <f>J19</f>
        <v>100</v>
      </c>
      <c r="X19" s="1813"/>
      <c r="Y19" s="3175"/>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75"/>
      <c r="Q20" s="1810"/>
      <c r="R20" s="774"/>
      <c r="S20" s="775"/>
      <c r="T20" s="774"/>
      <c r="U20" s="775"/>
      <c r="V20" s="774"/>
      <c r="W20" s="775"/>
      <c r="X20" s="1813"/>
      <c r="Y20" s="3175"/>
      <c r="Z20" s="1814"/>
      <c r="AA20" s="1811"/>
      <c r="AB20" s="1811"/>
      <c r="AC20" s="1811"/>
    </row>
    <row r="21" spans="1:29" ht="71.25">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10" t="str">
        <f t="shared" si="8"/>
        <v>环境状况</v>
      </c>
      <c r="R21" s="774" t="s">
        <v>17</v>
      </c>
      <c r="S21" s="775">
        <f>F21</f>
        <v>100</v>
      </c>
      <c r="T21" s="774" t="s">
        <v>17</v>
      </c>
      <c r="U21" s="775">
        <f>H21</f>
        <v>100</v>
      </c>
      <c r="V21" s="774" t="s">
        <v>17</v>
      </c>
      <c r="W21" s="775">
        <f>J21</f>
        <v>100</v>
      </c>
      <c r="X21" s="1813"/>
      <c r="Y21" s="3175"/>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s="117" customFormat="1" ht="42.75">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5" t="str">
        <f t="shared" si="8"/>
        <v>公共配套设施</v>
      </c>
      <c r="R23" s="770" t="s">
        <v>17</v>
      </c>
      <c r="S23" s="771">
        <f>F23</f>
        <v>100</v>
      </c>
      <c r="T23" s="770" t="s">
        <v>17</v>
      </c>
      <c r="U23" s="771">
        <f>H23</f>
        <v>100</v>
      </c>
      <c r="V23" s="770" t="s">
        <v>17</v>
      </c>
      <c r="W23" s="771">
        <f>J23</f>
        <v>100</v>
      </c>
      <c r="X23" s="772"/>
      <c r="Y23" s="3175"/>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75"/>
      <c r="Q24" s="1795"/>
      <c r="R24" s="770"/>
      <c r="S24" s="771"/>
      <c r="T24" s="770"/>
      <c r="U24" s="771"/>
      <c r="V24" s="770"/>
      <c r="W24" s="771"/>
      <c r="X24" s="772"/>
      <c r="Y24" s="3175"/>
      <c r="Z24" s="55"/>
      <c r="AA24" s="773">
        <v>1</v>
      </c>
      <c r="AB24" s="773">
        <v>1</v>
      </c>
      <c r="AC24" s="773">
        <v>1</v>
      </c>
    </row>
    <row r="25" spans="1:29" s="117" customFormat="1" ht="28.5">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5"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75"/>
      <c r="Q26" s="1795"/>
      <c r="R26" s="770"/>
      <c r="S26" s="771"/>
      <c r="T26" s="770"/>
      <c r="U26" s="771"/>
      <c r="V26" s="770"/>
      <c r="W26" s="771"/>
      <c r="X26" s="772"/>
      <c r="Y26" s="3175"/>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5"/>
      <c r="Z27" s="1814" t="str">
        <f t="shared" ref="Z27:Z40" si="13">Q27</f>
        <v>临街状况</v>
      </c>
      <c r="AA27" s="1811">
        <f t="shared" si="3"/>
        <v>1</v>
      </c>
      <c r="AB27" s="1811">
        <f t="shared" si="4"/>
        <v>1</v>
      </c>
      <c r="AC27" s="1811">
        <f t="shared" si="5"/>
        <v>1</v>
      </c>
    </row>
    <row r="28" spans="1:29" ht="27">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10" t="str">
        <f t="shared" si="8"/>
        <v>毗邻道路的类型与等级</v>
      </c>
      <c r="R28" s="774" t="s">
        <v>17</v>
      </c>
      <c r="S28" s="775">
        <f t="shared" si="10"/>
        <v>100</v>
      </c>
      <c r="T28" s="774" t="s">
        <v>17</v>
      </c>
      <c r="U28" s="775">
        <f t="shared" si="11"/>
        <v>100</v>
      </c>
      <c r="V28" s="774" t="s">
        <v>17</v>
      </c>
      <c r="W28" s="775">
        <f t="shared" si="12"/>
        <v>100</v>
      </c>
      <c r="X28" s="1813"/>
      <c r="Y28" s="3175"/>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75"/>
      <c r="Q29" s="1810"/>
      <c r="R29" s="774"/>
      <c r="S29" s="775"/>
      <c r="T29" s="774"/>
      <c r="U29" s="775"/>
      <c r="V29" s="774"/>
      <c r="W29" s="775"/>
      <c r="X29" s="1813"/>
      <c r="Y29" s="3175"/>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10" t="str">
        <f t="shared" si="8"/>
        <v>土地级别</v>
      </c>
      <c r="R30" s="774" t="s">
        <v>17</v>
      </c>
      <c r="S30" s="775">
        <f t="shared" si="10"/>
        <v>100</v>
      </c>
      <c r="T30" s="774" t="s">
        <v>17</v>
      </c>
      <c r="U30" s="775">
        <f t="shared" si="11"/>
        <v>100</v>
      </c>
      <c r="V30" s="774" t="s">
        <v>17</v>
      </c>
      <c r="W30" s="775">
        <f t="shared" si="12"/>
        <v>100</v>
      </c>
      <c r="X30" s="1813"/>
      <c r="Y30" s="3175"/>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10">
        <f t="shared" si="8"/>
        <v>111</v>
      </c>
      <c r="R31" s="774" t="s">
        <v>17</v>
      </c>
      <c r="S31" s="775">
        <f t="shared" si="10"/>
        <v>100</v>
      </c>
      <c r="T31" s="774" t="s">
        <v>17</v>
      </c>
      <c r="U31" s="775">
        <f t="shared" si="11"/>
        <v>100</v>
      </c>
      <c r="V31" s="774" t="s">
        <v>17</v>
      </c>
      <c r="W31" s="775">
        <f t="shared" si="12"/>
        <v>100</v>
      </c>
      <c r="X31" s="1813"/>
      <c r="Y31" s="3175"/>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2557</v>
      </c>
      <c r="Q32" s="1810">
        <f t="shared" si="8"/>
        <v>111</v>
      </c>
      <c r="R32" s="774" t="s">
        <v>17</v>
      </c>
      <c r="S32" s="775">
        <f t="shared" si="10"/>
        <v>100</v>
      </c>
      <c r="T32" s="774" t="s">
        <v>17</v>
      </c>
      <c r="U32" s="775">
        <f t="shared" si="11"/>
        <v>100</v>
      </c>
      <c r="V32" s="774" t="s">
        <v>17</v>
      </c>
      <c r="W32" s="775">
        <f t="shared" si="12"/>
        <v>100</v>
      </c>
      <c r="X32" s="1813"/>
      <c r="Y32" s="3179" t="s">
        <v>2557</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10" t="str">
        <f>B34</f>
        <v>宗地面积</v>
      </c>
      <c r="R34" s="774" t="s">
        <v>17</v>
      </c>
      <c r="S34" s="775" t="e">
        <f t="shared" si="10"/>
        <v>#N/A</v>
      </c>
      <c r="T34" s="774" t="s">
        <v>17</v>
      </c>
      <c r="U34" s="775" t="e">
        <f t="shared" si="11"/>
        <v>#N/A</v>
      </c>
      <c r="V34" s="774" t="s">
        <v>17</v>
      </c>
      <c r="W34" s="775" t="e">
        <f t="shared" si="12"/>
        <v>#N/A</v>
      </c>
      <c r="X34" s="1813"/>
      <c r="Y34" s="3179"/>
      <c r="Z34" s="1814" t="str">
        <f t="shared" si="13"/>
        <v>宗地面积</v>
      </c>
      <c r="AA34" s="1811" t="e">
        <f t="shared" si="3"/>
        <v>#N/A</v>
      </c>
      <c r="AB34" s="1811" t="e">
        <f t="shared" si="4"/>
        <v>#N/A</v>
      </c>
      <c r="AC34" s="1811"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79" t="s">
        <v>2557</v>
      </c>
      <c r="Q37" s="1810" t="str">
        <f t="shared" si="14"/>
        <v>工程地质条件</v>
      </c>
      <c r="R37" s="774" t="s">
        <v>17</v>
      </c>
      <c r="S37" s="775">
        <f t="shared" si="10"/>
        <v>100</v>
      </c>
      <c r="T37" s="774" t="s">
        <v>17</v>
      </c>
      <c r="U37" s="775">
        <f t="shared" si="11"/>
        <v>100</v>
      </c>
      <c r="V37" s="774" t="s">
        <v>17</v>
      </c>
      <c r="W37" s="775">
        <f t="shared" si="12"/>
        <v>100</v>
      </c>
      <c r="X37" s="1813"/>
      <c r="Y37" s="3179"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2712</v>
      </c>
      <c r="B41" s="2705" t="s">
        <v>2792</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6" t="s">
        <v>2752</v>
      </c>
      <c r="D50" s="2707" t="s">
        <v>2753</v>
      </c>
      <c r="E50" s="686" t="s">
        <v>2754</v>
      </c>
      <c r="F50" s="687" t="s">
        <v>2755</v>
      </c>
      <c r="G50" s="3187" t="s">
        <v>2756</v>
      </c>
      <c r="H50" s="3233"/>
      <c r="I50" s="1814" t="s">
        <v>2793</v>
      </c>
      <c r="J50" s="1814">
        <f>项目基本情况!F35</f>
        <v>0</v>
      </c>
      <c r="K50" s="2709" t="s">
        <v>2758</v>
      </c>
      <c r="L50" s="1106"/>
      <c r="M50" s="1144"/>
      <c r="N50" s="1144"/>
      <c r="O50" s="1144"/>
    </row>
    <row r="51" spans="1:17" s="692" customFormat="1">
      <c r="A51" s="688" t="s">
        <v>2759</v>
      </c>
      <c r="B51" s="689" t="e">
        <f>C43</f>
        <v>#DIV/0!</v>
      </c>
      <c r="C51" s="690">
        <v>1</v>
      </c>
      <c r="D51" s="1163">
        <v>1</v>
      </c>
      <c r="E51" s="690">
        <f>'数据-汇总表'!E8+'数据-汇总表'!E9</f>
        <v>1237.4099999999999</v>
      </c>
      <c r="F51" s="691" t="e">
        <f t="shared" ref="F51:F60" si="15">ROUND(B51*E51/10000,0)</f>
        <v>#DIV/0!</v>
      </c>
      <c r="G51" s="3183"/>
      <c r="H51" s="3172"/>
      <c r="I51" s="942">
        <v>1</v>
      </c>
      <c r="J51" s="942">
        <v>1</v>
      </c>
      <c r="K51" s="1145"/>
      <c r="L51" s="941"/>
      <c r="M51" s="941"/>
      <c r="N51" s="941"/>
      <c r="O51" s="941"/>
    </row>
    <row r="52" spans="1:17" s="692" customFormat="1">
      <c r="A52" s="693" t="s">
        <v>2760</v>
      </c>
      <c r="B52" s="262" t="e">
        <f>ROUND($C$43*C52*D52,0)</f>
        <v>#DIV/0!</v>
      </c>
      <c r="C52" s="200">
        <f t="shared" ref="C52:C60" si="16">IF($C$50="北京市系数",I52,J52)</f>
        <v>0.7</v>
      </c>
      <c r="D52" s="1164">
        <v>0.25</v>
      </c>
      <c r="E52" s="694"/>
      <c r="F52" s="691" t="e">
        <f t="shared" si="15"/>
        <v>#DIV/0!</v>
      </c>
      <c r="G52" s="3234" t="s">
        <v>2761</v>
      </c>
      <c r="H52" s="1104" t="str">
        <f>项目基本情况!B37</f>
        <v>五级</v>
      </c>
      <c r="I52" s="942">
        <f>SUMIF(修正!A45:A56,H52,修正!B45:B56)</f>
        <v>0.7</v>
      </c>
      <c r="J52" s="943"/>
      <c r="K52" s="1144"/>
      <c r="L52" s="941"/>
      <c r="M52" s="941"/>
      <c r="N52" s="941"/>
      <c r="O52" s="941"/>
    </row>
    <row r="53" spans="1:17" s="692" customFormat="1">
      <c r="A53" s="693" t="s">
        <v>2762</v>
      </c>
      <c r="B53" s="262" t="e">
        <f t="shared" ref="B53:B60" si="17">ROUND($C$43*C53*D53,0)</f>
        <v>#DIV/0!</v>
      </c>
      <c r="C53" s="200">
        <f t="shared" si="16"/>
        <v>0.4</v>
      </c>
      <c r="D53" s="1164">
        <v>0.25</v>
      </c>
      <c r="E53" s="694"/>
      <c r="F53" s="691" t="e">
        <f t="shared" si="15"/>
        <v>#DIV/0!</v>
      </c>
      <c r="G53" s="3234"/>
      <c r="H53" s="1104" t="str">
        <f>项目基本情况!B37</f>
        <v>五级</v>
      </c>
      <c r="I53" s="942">
        <f>SUMIF(修正!A45:A56,H53,修正!C45:C56)</f>
        <v>0.4</v>
      </c>
      <c r="J53" s="943"/>
      <c r="K53" s="1145"/>
      <c r="L53" s="941"/>
      <c r="M53" s="941"/>
      <c r="N53" s="941"/>
      <c r="O53" s="941"/>
    </row>
    <row r="54" spans="1:17" s="692" customFormat="1">
      <c r="A54" s="693" t="s">
        <v>2763</v>
      </c>
      <c r="B54" s="262" t="e">
        <f t="shared" si="17"/>
        <v>#DIV/0!</v>
      </c>
      <c r="C54" s="200">
        <f t="shared" si="16"/>
        <v>0.28000000000000003</v>
      </c>
      <c r="D54" s="1164">
        <v>0.25</v>
      </c>
      <c r="E54" s="694"/>
      <c r="F54" s="691" t="e">
        <f t="shared" si="15"/>
        <v>#DIV/0!</v>
      </c>
      <c r="G54" s="3234"/>
      <c r="H54" s="1104" t="str">
        <f>项目基本情况!B37</f>
        <v>五级</v>
      </c>
      <c r="I54" s="942">
        <f>SUMIF(修正!A45:A56,H54,修正!D45:D56)</f>
        <v>0.28000000000000003</v>
      </c>
      <c r="J54" s="943"/>
      <c r="K54" s="1144"/>
      <c r="L54" s="941"/>
      <c r="M54" s="941"/>
      <c r="N54" s="941"/>
      <c r="O54" s="941"/>
    </row>
    <row r="55" spans="1:17" s="692" customFormat="1">
      <c r="A55" s="693" t="s">
        <v>2764</v>
      </c>
      <c r="B55" s="262" t="e">
        <f t="shared" si="17"/>
        <v>#DIV/0!</v>
      </c>
      <c r="C55" s="200">
        <f t="shared" si="16"/>
        <v>0.25</v>
      </c>
      <c r="D55" s="1164">
        <v>0.25</v>
      </c>
      <c r="E55" s="694"/>
      <c r="F55" s="691" t="e">
        <f t="shared" si="15"/>
        <v>#DIV/0!</v>
      </c>
      <c r="G55" s="3234"/>
      <c r="H55" s="1104" t="str">
        <f>项目基本情况!B37</f>
        <v>五级</v>
      </c>
      <c r="I55" s="942">
        <f>SUMIF(修正!A45:A56,H55,修正!E45:E56)</f>
        <v>0.25</v>
      </c>
      <c r="J55" s="943"/>
      <c r="K55" s="1145"/>
      <c r="L55" s="941"/>
      <c r="M55" s="941"/>
      <c r="N55" s="941"/>
      <c r="O55" s="941"/>
    </row>
    <row r="56" spans="1:17" s="692" customFormat="1">
      <c r="A56" s="693" t="s">
        <v>2765</v>
      </c>
      <c r="B56" s="262" t="e">
        <f t="shared" si="17"/>
        <v>#DIV/0!</v>
      </c>
      <c r="C56" s="200">
        <f t="shared" si="16"/>
        <v>0</v>
      </c>
      <c r="D56" s="1164">
        <v>0.25</v>
      </c>
      <c r="E56" s="261">
        <f>'数据-汇总表'!E11</f>
        <v>0</v>
      </c>
      <c r="F56" s="691" t="e">
        <f t="shared" si="15"/>
        <v>#DIV/0!</v>
      </c>
      <c r="G56" s="2710" t="s">
        <v>2766</v>
      </c>
      <c r="H56" s="1104">
        <f>项目基本情况!C37</f>
        <v>0</v>
      </c>
      <c r="I56" s="942">
        <f>SUMIF(修正!A45:A56,H56,修正!F45:F56)</f>
        <v>0</v>
      </c>
      <c r="J56" s="943"/>
      <c r="K56" s="1144"/>
      <c r="L56" s="941"/>
      <c r="M56" s="941"/>
      <c r="N56" s="941"/>
      <c r="O56" s="941"/>
    </row>
    <row r="57" spans="1:17" s="692" customFormat="1">
      <c r="A57" s="693" t="s">
        <v>2767</v>
      </c>
      <c r="B57" s="262" t="e">
        <f t="shared" si="17"/>
        <v>#DIV/0!</v>
      </c>
      <c r="C57" s="200">
        <f t="shared" si="16"/>
        <v>0</v>
      </c>
      <c r="D57" s="1164">
        <v>0.25</v>
      </c>
      <c r="E57" s="261">
        <f>'数据-汇总表'!E12</f>
        <v>0</v>
      </c>
      <c r="F57" s="691" t="e">
        <f t="shared" si="15"/>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0.2</v>
      </c>
      <c r="D59" s="1164">
        <v>0.25</v>
      </c>
      <c r="E59" s="261">
        <f>'数据-汇总表'!E14</f>
        <v>0</v>
      </c>
      <c r="F59" s="691" t="e">
        <f t="shared" si="15"/>
        <v>#DIV/0!</v>
      </c>
      <c r="G59" s="2710" t="s">
        <v>2761</v>
      </c>
      <c r="H59" s="1104" t="str">
        <f>项目基本情况!B37</f>
        <v>五级</v>
      </c>
      <c r="I59" s="942">
        <f>SUMIF(修正!A45:A56,H59,修正!H45:H56)</f>
        <v>0.2</v>
      </c>
      <c r="J59" s="943"/>
      <c r="K59" s="1145"/>
      <c r="L59" s="941"/>
      <c r="M59" s="941"/>
      <c r="N59" s="941"/>
      <c r="O59" s="941"/>
    </row>
    <row r="60" spans="1:17" s="692" customFormat="1" ht="15" thickBot="1">
      <c r="A60" s="693" t="s">
        <v>2772</v>
      </c>
      <c r="B60" s="262" t="e">
        <f t="shared" si="17"/>
        <v>#DIV/0!</v>
      </c>
      <c r="C60" s="200">
        <f t="shared" si="16"/>
        <v>0</v>
      </c>
      <c r="D60" s="1164">
        <v>0.25</v>
      </c>
      <c r="E60" s="261">
        <f>'数据-汇总表'!E15</f>
        <v>0</v>
      </c>
      <c r="F60" s="691" t="e">
        <f t="shared" si="15"/>
        <v>#DIV/0!</v>
      </c>
      <c r="G60" s="2711"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2" t="s">
        <v>2774</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2794</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2994</v>
      </c>
    </row>
    <row r="2" spans="1:5" ht="15.75">
      <c r="A2" s="2903" t="s">
        <v>2986</v>
      </c>
      <c r="B2" s="2904">
        <f ca="1">SUMIF(B6:B13,"&lt;&gt;#ref!",B6:B13)</f>
        <v>671</v>
      </c>
      <c r="C2" s="2903" t="s">
        <v>2987</v>
      </c>
      <c r="D2" s="2903" t="s">
        <v>2988</v>
      </c>
      <c r="E2" s="2904">
        <f ca="1">SUMIF(E6:E13,"&lt;&gt;#ref!",E6:E13)</f>
        <v>631.53</v>
      </c>
    </row>
    <row r="3" spans="1:5" ht="15.75">
      <c r="A3" s="2903" t="s">
        <v>2989</v>
      </c>
      <c r="B3" s="2904">
        <f ca="1">ROUND(B2*10000/E2,0)</f>
        <v>10625</v>
      </c>
      <c r="C3" s="2903" t="s">
        <v>2995</v>
      </c>
      <c r="D3" s="2905"/>
      <c r="E3" s="2905"/>
    </row>
    <row r="4" spans="1:5" ht="15.75">
      <c r="A4" s="2906"/>
      <c r="B4" s="2905"/>
      <c r="C4" s="2905"/>
      <c r="D4" s="2905"/>
      <c r="E4" s="2905"/>
    </row>
    <row r="5" spans="1:5" ht="28.5">
      <c r="A5" s="2907" t="s">
        <v>2990</v>
      </c>
      <c r="B5" s="2903" t="s">
        <v>2991</v>
      </c>
      <c r="C5" s="2904"/>
      <c r="D5" s="2905"/>
      <c r="E5" s="2903" t="s">
        <v>2992</v>
      </c>
    </row>
    <row r="6" spans="1:5" ht="15.75">
      <c r="A6" s="2908" t="s">
        <v>2993</v>
      </c>
      <c r="B6" s="2904">
        <f ca="1">SUMIF(INDIRECT("'"&amp;A6&amp;"'"&amp;"!A:A"),"总价",INDIRECT("'"&amp;A6&amp;"'"&amp;"!B:B"))</f>
        <v>671</v>
      </c>
      <c r="C6" s="2903" t="s">
        <v>2987</v>
      </c>
      <c r="D6" s="2905"/>
      <c r="E6" s="2576">
        <f ca="1">SUMIF(INDIRECT("'"&amp;A6&amp;"'"&amp;"!C:C"),"建筑面积",INDIRECT("'"&amp;A6&amp;"'"&amp;"!D:D"))</f>
        <v>631.53</v>
      </c>
    </row>
    <row r="7" spans="1:5" ht="15.75">
      <c r="A7" s="2908"/>
      <c r="B7" s="2904" t="e">
        <f ca="1">SUMIF(INDIRECT("'"&amp;A7&amp;"'"&amp;"!A:A"),"总价",INDIRECT("'"&amp;A7&amp;"'"&amp;"!B:B"))</f>
        <v>#REF!</v>
      </c>
      <c r="C7" s="2903" t="s">
        <v>2987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2987</v>
      </c>
      <c r="D8" s="2905"/>
      <c r="E8" s="2576" t="e">
        <f t="shared" ca="1" si="0"/>
        <v>#REF!</v>
      </c>
    </row>
    <row r="9" spans="1:5" ht="15.75">
      <c r="A9" s="2908"/>
      <c r="B9" s="2904" t="e">
        <f t="shared" ca="1" si="1"/>
        <v>#REF!</v>
      </c>
      <c r="C9" s="2903" t="s">
        <v>2987</v>
      </c>
      <c r="D9" s="2905"/>
      <c r="E9" s="2576" t="e">
        <f t="shared" ca="1" si="0"/>
        <v>#REF!</v>
      </c>
    </row>
    <row r="10" spans="1:5" ht="15.75">
      <c r="A10" s="2908"/>
      <c r="B10" s="2904" t="e">
        <f t="shared" ca="1" si="1"/>
        <v>#REF!</v>
      </c>
      <c r="C10" s="2903" t="s">
        <v>2987</v>
      </c>
      <c r="D10" s="2905"/>
      <c r="E10" s="2576" t="e">
        <f t="shared" ca="1" si="0"/>
        <v>#REF!</v>
      </c>
    </row>
    <row r="11" spans="1:5" ht="15.75">
      <c r="A11" s="2908"/>
      <c r="B11" s="2904" t="e">
        <f t="shared" ca="1" si="1"/>
        <v>#REF!</v>
      </c>
      <c r="C11" s="2903" t="s">
        <v>2987</v>
      </c>
      <c r="D11" s="2905"/>
      <c r="E11" s="2576" t="e">
        <f t="shared" ca="1" si="0"/>
        <v>#REF!</v>
      </c>
    </row>
    <row r="12" spans="1:5" ht="15.75">
      <c r="A12" s="2908"/>
      <c r="B12" s="2904" t="e">
        <f t="shared" ca="1" si="1"/>
        <v>#REF!</v>
      </c>
      <c r="C12" s="2903" t="s">
        <v>2987</v>
      </c>
      <c r="D12" s="2905"/>
      <c r="E12" s="2576" t="e">
        <f t="shared" ca="1" si="0"/>
        <v>#REF!</v>
      </c>
    </row>
    <row r="13" spans="1:5" ht="15.75">
      <c r="A13" s="2908"/>
      <c r="B13" s="2904" t="e">
        <f t="shared" ca="1" si="1"/>
        <v>#REF!</v>
      </c>
      <c r="C13" s="2903" t="s">
        <v>2987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8" t="s">
        <v>1145</v>
      </c>
      <c r="C1" s="3268"/>
      <c r="D1" s="3268"/>
      <c r="E1" s="3268"/>
      <c r="F1" s="3268"/>
      <c r="G1" s="3267" t="s">
        <v>1146</v>
      </c>
      <c r="H1" s="3267"/>
      <c r="I1" s="3267"/>
      <c r="J1" s="3267"/>
      <c r="K1" s="3267"/>
      <c r="L1" s="3267"/>
      <c r="N1" s="3267" t="s">
        <v>1147</v>
      </c>
      <c r="O1" s="3267"/>
      <c r="P1" s="3267"/>
      <c r="Q1" s="3267"/>
      <c r="R1" s="1446"/>
      <c r="S1" s="3267" t="s">
        <v>1148</v>
      </c>
      <c r="T1" s="3267"/>
      <c r="U1" s="3267"/>
      <c r="V1" s="3267"/>
      <c r="X1" s="3266" t="s">
        <v>1149</v>
      </c>
      <c r="Y1" s="3267"/>
      <c r="Z1" s="3267"/>
      <c r="AA1" s="3267"/>
      <c r="AB1" s="3267"/>
      <c r="AD1" s="3266" t="s">
        <v>1150</v>
      </c>
      <c r="AE1" s="3267"/>
      <c r="AF1" s="3267"/>
      <c r="AG1" s="3267"/>
      <c r="AH1" s="326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3029</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3048</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3030</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3047</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3043</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3041</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3039</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3042</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6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3036</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3035</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3028</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3025</v>
      </c>
      <c r="B14" s="1469">
        <v>439</v>
      </c>
      <c r="C14" s="1469">
        <v>327</v>
      </c>
      <c r="D14" s="1469">
        <f>C14</f>
        <v>327</v>
      </c>
      <c r="E14" s="1469">
        <v>627</v>
      </c>
      <c r="F14" s="1470">
        <v>283</v>
      </c>
      <c r="G14" s="326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3026</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6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75" t="s">
        <v>2997</v>
      </c>
      <c r="D1" s="3276"/>
      <c r="E1" s="3276"/>
      <c r="F1" s="3276"/>
      <c r="G1" s="3276"/>
      <c r="H1" s="3276"/>
      <c r="I1" s="3276"/>
      <c r="J1" s="3276"/>
      <c r="K1" s="3276"/>
      <c r="L1" s="3276"/>
      <c r="M1" s="3276"/>
      <c r="N1" s="3276"/>
      <c r="O1" s="3276"/>
      <c r="P1" s="3276"/>
      <c r="Q1" s="3276"/>
      <c r="R1" s="3276"/>
      <c r="S1" s="3277"/>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3006</v>
      </c>
      <c r="B17" s="2910"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2" t="s">
        <v>3010</v>
      </c>
      <c r="E20" s="1793"/>
      <c r="F20" s="1204" t="e">
        <f ca="1">SUMIF(INDIRECT("'"&amp;H20&amp;"'"&amp;"!A:A"),"承租人权益价值",INDIRECT("'"&amp;H20&amp;"'"&amp;"!c:c"))</f>
        <v>#REF!</v>
      </c>
      <c r="G20" s="1204" t="s">
        <v>3011</v>
      </c>
      <c r="H20" s="2913"/>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34" t="s">
        <v>33</v>
      </c>
      <c r="D22" s="3135"/>
      <c r="E22" s="3135"/>
      <c r="F22" s="3135"/>
      <c r="G22" s="3135"/>
      <c r="H22" s="3135"/>
      <c r="I22" s="3135"/>
      <c r="J22" s="3135"/>
      <c r="K22" s="3135"/>
      <c r="L22" s="3135"/>
      <c r="M22" s="3135"/>
      <c r="N22" s="3135"/>
      <c r="O22" s="3135"/>
      <c r="P22" s="3135"/>
      <c r="Q22" s="3274"/>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0"/>
      <c r="B4" s="2958" t="s">
        <v>1624</v>
      </c>
      <c r="C4" s="2958"/>
      <c r="D4" s="2958"/>
      <c r="E4" s="1960"/>
    </row>
    <row r="5" spans="1:5" ht="16.5" thickTop="1">
      <c r="A5" s="1958"/>
      <c r="B5" s="2956" t="s">
        <v>1616</v>
      </c>
      <c r="C5" s="1961" t="s">
        <v>1617</v>
      </c>
      <c r="D5" s="1040">
        <f ca="1">结果表!H101</f>
        <v>9102</v>
      </c>
      <c r="E5" s="1958"/>
    </row>
    <row r="6" spans="1:5" ht="15.75">
      <c r="A6" s="1958"/>
      <c r="B6" s="2956"/>
      <c r="C6" s="1961" t="s">
        <v>1618</v>
      </c>
      <c r="D6" s="1040" t="str">
        <f ca="1">NUMBERSTRING(INT(D5*10000),2)&amp;"元整"</f>
        <v>玖仟壹佰零贰万元整</v>
      </c>
      <c r="E6" s="1958"/>
    </row>
    <row r="7" spans="1:5" ht="15.75">
      <c r="A7" s="1958"/>
      <c r="B7" s="2961"/>
      <c r="C7" s="1962" t="s">
        <v>1619</v>
      </c>
      <c r="D7" s="1041">
        <f ca="1">结果表!H102</f>
        <v>48042</v>
      </c>
      <c r="E7" s="1958"/>
    </row>
    <row r="8" spans="1:5" ht="15.75">
      <c r="A8" s="1958"/>
      <c r="B8" s="2962" t="str">
        <f>结果表!E103</f>
        <v>2.估价师知悉的法定优先受偿款</v>
      </c>
      <c r="C8" s="1963" t="s">
        <v>1620</v>
      </c>
      <c r="D8" s="1041">
        <f>结果表!H103</f>
        <v>0</v>
      </c>
      <c r="E8" s="1958"/>
    </row>
    <row r="9" spans="1:5" ht="15.75">
      <c r="A9" s="1958"/>
      <c r="B9" s="2964"/>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5" t="str">
        <f>结果表!E107</f>
        <v>3.房地产抵押价值</v>
      </c>
      <c r="C13" s="1966" t="s">
        <v>1617</v>
      </c>
      <c r="D13" s="1043">
        <f ca="1">结果表!H107</f>
        <v>9102</v>
      </c>
      <c r="E13" s="1958"/>
    </row>
    <row r="14" spans="1:5" ht="15.75">
      <c r="A14" s="1958"/>
      <c r="B14" s="2956"/>
      <c r="C14" s="1961" t="s">
        <v>1618</v>
      </c>
      <c r="D14" s="1040" t="str">
        <f ca="1">NUMBERSTRING(INT(D13*10000),2)&amp;"元整"</f>
        <v>玖仟壹佰零贰万元整</v>
      </c>
      <c r="E14" s="1958"/>
    </row>
    <row r="15" spans="1:5" ht="15">
      <c r="A15" s="1958"/>
      <c r="B15" s="2961"/>
      <c r="C15" s="1962" t="s">
        <v>1628</v>
      </c>
      <c r="D15" s="1052">
        <f ca="1">结果表!H108</f>
        <v>48042</v>
      </c>
      <c r="E15" s="1958"/>
    </row>
    <row r="16" spans="1:5" ht="15">
      <c r="A16" s="1958"/>
      <c r="B16" s="2962" t="str">
        <f>结果表!E109</f>
        <v>——</v>
      </c>
      <c r="C16" s="1966" t="s">
        <v>1629</v>
      </c>
      <c r="D16" s="1967" t="str">
        <f>结果表!H109</f>
        <v>——</v>
      </c>
      <c r="E16" s="1958"/>
    </row>
    <row r="17" spans="1:5" ht="15.75">
      <c r="A17" s="1958"/>
      <c r="B17" s="2963"/>
      <c r="C17" s="1961" t="s">
        <v>1630</v>
      </c>
      <c r="D17" s="1040" t="e">
        <f>NUMBERSTRING(INT(D16*10000),2)&amp;"元整"</f>
        <v>#VALUE!</v>
      </c>
      <c r="E17" s="1958"/>
    </row>
    <row r="18" spans="1:5" ht="15">
      <c r="A18" s="1958"/>
      <c r="B18" s="2964"/>
      <c r="C18" s="1962" t="s">
        <v>1619</v>
      </c>
      <c r="D18" s="1052" t="str">
        <f>结果表!H110</f>
        <v>——</v>
      </c>
      <c r="E18" s="1958"/>
    </row>
    <row r="19" spans="1:5" ht="15.75">
      <c r="A19" s="1958"/>
      <c r="B19" s="2955" t="str">
        <f>结果表!E111</f>
        <v>——</v>
      </c>
      <c r="C19" s="1966" t="s">
        <v>1617</v>
      </c>
      <c r="D19" s="1041" t="str">
        <f>结果表!H111</f>
        <v>——</v>
      </c>
      <c r="E19" s="1958"/>
    </row>
    <row r="20" spans="1:5" ht="15.75">
      <c r="A20" s="1958"/>
      <c r="B20" s="2956"/>
      <c r="C20" s="1961" t="s">
        <v>1630</v>
      </c>
      <c r="D20" s="1040" t="e">
        <f>NUMBERSTRING(INT(D19*10000),2)&amp;"元整"</f>
        <v>#VALUE!</v>
      </c>
      <c r="E20" s="1958"/>
    </row>
    <row r="21" spans="1:5" ht="15.75" thickBot="1">
      <c r="A21" s="1958"/>
      <c r="B21" s="2957"/>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27921</v>
      </c>
      <c r="C2" s="2" t="s">
        <v>133</v>
      </c>
      <c r="D2" s="243"/>
      <c r="E2" s="243"/>
      <c r="F2" s="243"/>
      <c r="G2" s="243"/>
    </row>
    <row r="3" spans="1:7" s="244" customFormat="1" ht="18" customHeight="1" thickBot="1">
      <c r="A3" s="247" t="s">
        <v>85</v>
      </c>
      <c r="B3" s="248">
        <f ca="1">ROUND(B2*10000/'数据-汇总表'!E3,0)</f>
        <v>147373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38</v>
      </c>
      <c r="D10" s="1032">
        <f>'数据-汇总表'!E6</f>
        <v>1894.58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28</v>
      </c>
      <c r="D19" s="1036">
        <f>'数据-汇总表'!E3</f>
        <v>1894.58</v>
      </c>
      <c r="E19" s="255">
        <f>'数据-取费表'!B31</f>
        <v>150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3158</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3158</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721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663</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1894.58</v>
      </c>
      <c r="E37" s="293">
        <f>'数据-取费表'!B35</f>
        <v>150</v>
      </c>
      <c r="F37" s="303"/>
      <c r="G37" s="305" t="s">
        <v>119</v>
      </c>
    </row>
    <row r="38" spans="1:7" ht="13.5" customHeight="1">
      <c r="A38" s="951" t="s">
        <v>799</v>
      </c>
      <c r="B38" s="259" t="s">
        <v>63</v>
      </c>
      <c r="C38" s="264">
        <f>ROUND(C34*F38,0)</f>
        <v>10</v>
      </c>
      <c r="D38" s="264"/>
      <c r="E38" s="264"/>
      <c r="F38" s="303">
        <f>'数据-取费表'!B36</f>
        <v>1.4999999999999999E-2</v>
      </c>
      <c r="G38" s="263" t="s">
        <v>117</v>
      </c>
    </row>
    <row r="39" spans="1:7" s="258" customFormat="1" ht="13.5" customHeight="1">
      <c r="A39" s="948" t="s">
        <v>783</v>
      </c>
      <c r="B39" s="254" t="s">
        <v>104</v>
      </c>
      <c r="C39" s="276">
        <f>ROUND(C33*F20,0)</f>
        <v>14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16</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16</v>
      </c>
      <c r="D42" s="282"/>
      <c r="E42" s="282"/>
      <c r="F42" s="283"/>
      <c r="G42" s="3139" t="s">
        <v>121</v>
      </c>
    </row>
    <row r="43" spans="1:7" ht="13.5" customHeight="1">
      <c r="A43" s="951" t="s">
        <v>792</v>
      </c>
      <c r="B43" s="259" t="s">
        <v>1060</v>
      </c>
      <c r="C43" s="282">
        <f ca="1">ROUND(IF('数据-取费表'!B22&lt;=1,C39*F22*'数据-取费表'!B21/2,C39*(POWER((1+F22),'数据-取费表'!B21/2)-1)),0)</f>
        <v>0</v>
      </c>
      <c r="D43" s="282"/>
      <c r="E43" s="282"/>
      <c r="F43" s="283"/>
      <c r="G43" s="3140"/>
    </row>
    <row r="44" spans="1:7" ht="13.5" customHeight="1">
      <c r="A44" s="951" t="s">
        <v>793</v>
      </c>
      <c r="B44" s="259" t="s">
        <v>1062</v>
      </c>
      <c r="C44" s="282">
        <f ca="1">ROUND(IF('数据-取费表'!B22&lt;=1,C40*F22*'数据-取费表'!B21/2,C40*(POWER((1+F22),'数据-取费表'!B21/2)-1)),4)</f>
        <v>4.0000000000000002E-4</v>
      </c>
      <c r="D44" s="282"/>
      <c r="E44" s="282"/>
      <c r="F44" s="283"/>
      <c r="G44" s="3141"/>
    </row>
    <row r="45" spans="1:7" s="258" customFormat="1" ht="13.5" customHeight="1">
      <c r="A45" s="948" t="s">
        <v>786</v>
      </c>
      <c r="B45" s="288" t="s">
        <v>112</v>
      </c>
      <c r="C45" s="289">
        <f>C46</f>
        <v>110</v>
      </c>
      <c r="D45" s="279">
        <f>C47</f>
        <v>3.0000000000000001E-3</v>
      </c>
      <c r="E45" s="280" t="s">
        <v>129</v>
      </c>
      <c r="F45" s="290"/>
      <c r="G45" s="291" t="s">
        <v>1068</v>
      </c>
    </row>
    <row r="46" spans="1:7" s="258" customFormat="1" ht="13.5" customHeight="1">
      <c r="A46" s="951" t="s">
        <v>794</v>
      </c>
      <c r="B46" s="292" t="s">
        <v>1061</v>
      </c>
      <c r="C46" s="293">
        <f>ROUND((C33+C39)*F27,0)</f>
        <v>110</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933</v>
      </c>
      <c r="D49" s="276"/>
      <c r="E49" s="276"/>
      <c r="F49" s="308"/>
      <c r="G49" s="278" t="s">
        <v>1069</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718</v>
      </c>
      <c r="D51" s="276"/>
      <c r="E51" s="276"/>
      <c r="F51" s="308"/>
      <c r="G51" s="278" t="s">
        <v>64</v>
      </c>
    </row>
    <row r="52" spans="1:7" s="252" customFormat="1" ht="16.5" thickBot="1">
      <c r="A52" s="309" t="s">
        <v>65</v>
      </c>
      <c r="B52" s="310"/>
      <c r="C52" s="311">
        <f ca="1">C31+C51</f>
        <v>27921</v>
      </c>
      <c r="D52" s="310"/>
      <c r="E52" s="310"/>
      <c r="F52" s="310"/>
      <c r="G52" s="312"/>
    </row>
    <row r="55" spans="1:7" ht="15">
      <c r="B55" s="314" t="s">
        <v>66</v>
      </c>
      <c r="C55" s="315"/>
    </row>
    <row r="56" spans="1:7">
      <c r="B56" s="317" t="s">
        <v>67</v>
      </c>
      <c r="C56" s="318">
        <f ca="1">ROUND(C51/C52,3)</f>
        <v>2.5999999999999999E-2</v>
      </c>
    </row>
    <row r="57" spans="1:7">
      <c r="B57" s="317" t="s">
        <v>68</v>
      </c>
      <c r="C57" s="319">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43851</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1635</v>
      </c>
      <c r="B2" s="2975" t="s">
        <v>1636</v>
      </c>
      <c r="C2" s="2975" t="s">
        <v>1637</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4" t="s">
        <v>1632</v>
      </c>
      <c r="E3" s="1044" t="s">
        <v>1638</v>
      </c>
      <c r="F3" s="1044" t="s">
        <v>1632</v>
      </c>
      <c r="G3" s="1044" t="s">
        <v>1633</v>
      </c>
      <c r="H3" s="1044" t="s">
        <v>1632</v>
      </c>
      <c r="I3" s="1044" t="s">
        <v>1633</v>
      </c>
    </row>
    <row r="4" spans="1:9" ht="30">
      <c r="A4" s="1972" t="str">
        <f>项目基本情况!S2</f>
        <v>北京市石景山区玉泉西里二区1号楼-1至2层商业05号出让国有建设用地使用权及在建建筑物房地产</v>
      </c>
      <c r="B4" s="1044">
        <f>项目基本情况!C17</f>
        <v>1894.58</v>
      </c>
      <c r="C4" s="1044">
        <f>项目基本情况!C18</f>
        <v>0</v>
      </c>
      <c r="D4" s="1044" t="e">
        <f ca="1">结果表!D118</f>
        <v>#REF!</v>
      </c>
      <c r="E4" s="1044" t="e">
        <f ca="1">结果表!E118</f>
        <v>#REF!</v>
      </c>
      <c r="F4" s="1044" t="e">
        <f ca="1">结果表!F118</f>
        <v>#REF!</v>
      </c>
      <c r="G4" s="1044" t="e">
        <f ca="1">结果表!G118</f>
        <v>#REF!</v>
      </c>
      <c r="H4" s="1044">
        <f ca="1">结果表!H118</f>
        <v>9102</v>
      </c>
      <c r="I4" s="1044">
        <f ca="1">结果表!I118</f>
        <v>48042</v>
      </c>
    </row>
    <row r="5" spans="1:9" ht="30" customHeight="1">
      <c r="A5" s="2969" t="s">
        <v>1634</v>
      </c>
      <c r="B5" s="2969"/>
      <c r="C5" s="2969"/>
      <c r="D5" s="2970" t="e">
        <f ca="1">结果表!D119</f>
        <v>#REF!</v>
      </c>
      <c r="E5" s="2970"/>
      <c r="F5" s="2970" t="e">
        <f ca="1">结果表!F119</f>
        <v>#REF!</v>
      </c>
      <c r="G5" s="2970"/>
      <c r="H5" s="2970" t="str">
        <f ca="1">结果表!H119</f>
        <v>玖仟壹佰零贰万元整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1634</v>
      </c>
      <c r="B7" s="2969"/>
      <c r="C7" s="2969"/>
      <c r="D7" s="2971" t="str">
        <f>结果表!D121</f>
        <v>零元整</v>
      </c>
      <c r="E7" s="2972"/>
      <c r="F7" s="2972"/>
      <c r="G7" s="2972"/>
      <c r="H7" s="2972"/>
      <c r="I7" s="2973"/>
    </row>
    <row r="8" spans="1:9" ht="15.75">
      <c r="A8" s="2968" t="str">
        <f>结果表!A122</f>
        <v>房地产抵押价值</v>
      </c>
      <c r="B8" s="2968"/>
      <c r="C8" s="2968"/>
      <c r="D8" s="2968">
        <f ca="1">结果表!D122</f>
        <v>9102</v>
      </c>
      <c r="E8" s="2968"/>
      <c r="F8" s="2968"/>
      <c r="G8" s="2968"/>
      <c r="H8" s="2968"/>
      <c r="I8" s="2968"/>
    </row>
    <row r="9" spans="1:9" ht="15">
      <c r="A9" s="2969" t="s">
        <v>1634</v>
      </c>
      <c r="B9" s="2969"/>
      <c r="C9" s="2969"/>
      <c r="D9" s="2970" t="str">
        <f ca="1">结果表!D123</f>
        <v>玖仟壹佰零贰万元整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1634</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1634</v>
      </c>
      <c r="B13" s="2965"/>
      <c r="C13" s="2965"/>
      <c r="D13" s="2966" t="e">
        <f>结果表!D127</f>
        <v>#VALUE!</v>
      </c>
      <c r="E13" s="2966"/>
      <c r="F13" s="2966"/>
      <c r="G13" s="2966"/>
      <c r="H13" s="2966"/>
      <c r="I13" s="2966"/>
    </row>
    <row r="14" spans="1:9" ht="15" thickTop="1">
      <c r="A14" s="2967" t="s">
        <v>1639</v>
      </c>
      <c r="B14" s="2967"/>
      <c r="C14" s="2967"/>
      <c r="D14" s="2967"/>
      <c r="E14" s="2967"/>
      <c r="F14" s="2967"/>
      <c r="G14" s="2967"/>
      <c r="H14" s="2967"/>
      <c r="I14" s="296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1656</v>
      </c>
      <c r="B1" s="2982"/>
      <c r="C1" s="2982"/>
      <c r="D1" s="2982"/>
    </row>
    <row r="2" spans="1:4" ht="18">
      <c r="A2" s="2983" t="s">
        <v>1640</v>
      </c>
      <c r="B2" s="2983"/>
      <c r="C2" s="2983"/>
      <c r="D2" s="2983"/>
    </row>
    <row r="3" spans="1:4" ht="18.75">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崔锴</v>
      </c>
      <c r="B5" s="1978">
        <f ca="1">项目基本情况!E4</f>
        <v>1120100036</v>
      </c>
      <c r="C5" s="1981"/>
      <c r="D5" s="1980" t="s">
        <v>1645</v>
      </c>
    </row>
    <row r="6" spans="1:4" ht="18">
      <c r="A6" s="2983" t="s">
        <v>1646</v>
      </c>
      <c r="B6" s="2983"/>
      <c r="C6" s="2983"/>
      <c r="D6" s="2983"/>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4" t="s">
        <v>1649</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（1）根据估价对象《房屋所有权证》复印件、《国有土地使用权》复印件，截至价值时点，估价对象抵押权未见登记。</v>
      </c>
      <c r="B15" s="2976"/>
      <c r="C15" s="2976"/>
      <c r="D15" s="2976"/>
    </row>
    <row r="16" spans="1:4" ht="30" customHeight="1">
      <c r="A16" s="2978" t="s">
        <v>1650</v>
      </c>
      <c r="B16" s="2978"/>
      <c r="C16" s="2978"/>
      <c r="D16" s="2978"/>
    </row>
    <row r="17" spans="1:4" ht="144" customHeight="1">
      <c r="A17" s="2978" t="s">
        <v>1651</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1652</v>
      </c>
      <c r="B22" s="2980"/>
      <c r="C22" s="2980"/>
      <c r="D22" s="298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0" t="s">
        <v>1663</v>
      </c>
      <c r="B15" s="2985" t="s">
        <v>136</v>
      </c>
      <c r="C15" s="2986"/>
    </row>
    <row r="16" spans="1:7" ht="13.5">
      <c r="A16" s="2991"/>
      <c r="B16" s="2985" t="s">
        <v>69</v>
      </c>
      <c r="C16" s="2986"/>
    </row>
    <row r="17" spans="1:3" ht="13.5">
      <c r="A17" s="2991"/>
      <c r="B17" s="2988" t="s">
        <v>1664</v>
      </c>
      <c r="C17" s="1999" t="s">
        <v>1663</v>
      </c>
    </row>
    <row r="18" spans="1:3" ht="13.5">
      <c r="A18" s="2991"/>
      <c r="B18" s="2988"/>
      <c r="C18" s="1999" t="s">
        <v>1665</v>
      </c>
    </row>
    <row r="19" spans="1:3" ht="13.5">
      <c r="A19" s="2991"/>
      <c r="B19" s="2988"/>
      <c r="C19" s="1999" t="s">
        <v>1666</v>
      </c>
    </row>
    <row r="20" spans="1:3" ht="13.5">
      <c r="A20" s="2992"/>
      <c r="B20" s="2987" t="s">
        <v>1667</v>
      </c>
      <c r="C20" s="2986"/>
    </row>
    <row r="21" spans="1:3" ht="13.5">
      <c r="A21" s="2000" t="s">
        <v>1668</v>
      </c>
      <c r="B21" s="2001"/>
      <c r="C21" s="2002"/>
    </row>
    <row r="22" spans="1:3" ht="13.5">
      <c r="A22" s="2989" t="s">
        <v>1669</v>
      </c>
      <c r="B22" s="2987" t="s">
        <v>1670</v>
      </c>
      <c r="C22" s="2986"/>
    </row>
    <row r="23" spans="1:3" ht="13.5">
      <c r="A23" s="2989"/>
      <c r="B23" s="2987" t="s">
        <v>1671</v>
      </c>
      <c r="C23" s="2986"/>
    </row>
    <row r="24" spans="1:3" ht="13.5">
      <c r="A24" s="2989"/>
      <c r="B24" s="2987" t="s">
        <v>1672</v>
      </c>
      <c r="C24" s="2986"/>
    </row>
    <row r="25" spans="1:3" ht="13.5">
      <c r="A25" s="2989"/>
      <c r="B25" s="2988" t="s">
        <v>1673</v>
      </c>
      <c r="C25" s="1999" t="s">
        <v>1674</v>
      </c>
    </row>
    <row r="26" spans="1:3" ht="13.5">
      <c r="A26" s="2989"/>
      <c r="B26" s="2988"/>
      <c r="C26" s="1999" t="s">
        <v>1675</v>
      </c>
    </row>
    <row r="27" spans="1:3" ht="13.5">
      <c r="A27" s="2989"/>
      <c r="B27" s="2988"/>
      <c r="C27" s="1999" t="s">
        <v>1676</v>
      </c>
    </row>
    <row r="28" spans="1:3" ht="13.5">
      <c r="A28" s="2989"/>
      <c r="B28" s="2988"/>
      <c r="C28" s="1999" t="s">
        <v>1677</v>
      </c>
    </row>
    <row r="29" spans="1:3" ht="13.5">
      <c r="A29" s="2989"/>
      <c r="B29" s="2988"/>
      <c r="C29" s="1999" t="s">
        <v>1678</v>
      </c>
    </row>
    <row r="30" spans="1:3" ht="13.5">
      <c r="A30" s="2989"/>
      <c r="B30" s="2988"/>
      <c r="C30" s="1999" t="s">
        <v>1679</v>
      </c>
    </row>
    <row r="31" spans="1:3" ht="13.5">
      <c r="A31" s="2989"/>
      <c r="B31" s="2988"/>
      <c r="C31" s="1999" t="s">
        <v>1680</v>
      </c>
    </row>
    <row r="32" spans="1:3" ht="13.5">
      <c r="A32" s="2989"/>
      <c r="B32" s="2988"/>
      <c r="C32" s="1999" t="s">
        <v>1681</v>
      </c>
    </row>
    <row r="33" spans="1:3" ht="13.5">
      <c r="A33" s="2989"/>
      <c r="B33" s="2988"/>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43851</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t="str">
        <f ca="1">IF(C4&lt;B2,"已过期",1119970066)</f>
        <v>已过期</v>
      </c>
      <c r="C4" s="2347">
        <v>43849</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t="str">
        <f ca="1">IF(C8&lt;B2,"已过期",1120000080)</f>
        <v>已过期</v>
      </c>
      <c r="C8" s="2347">
        <v>43849</v>
      </c>
      <c r="D8" s="2350" t="s">
        <v>835</v>
      </c>
      <c r="E8" s="1022">
        <f ca="1">IF(F8&lt;B2,"已过期",2000110082)</f>
        <v>2000110082</v>
      </c>
      <c r="F8" s="1030">
        <v>46387</v>
      </c>
    </row>
    <row r="9" spans="1:6" ht="24" customHeight="1">
      <c r="A9" s="1702" t="s">
        <v>836</v>
      </c>
      <c r="B9" s="1022">
        <f ca="1">IF(C9&lt;B2,"已过期",1419970001)</f>
        <v>1419970001</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3037</v>
      </c>
      <c r="B14" s="1022">
        <f ca="1">IF(C14&lt;B2,"已过期",1120040230)</f>
        <v>1120040230</v>
      </c>
      <c r="C14" s="2347">
        <v>44864</v>
      </c>
      <c r="D14" s="2350" t="s">
        <v>3037</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3044</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3046</v>
      </c>
      <c r="B23" s="1022">
        <v>1119980106</v>
      </c>
      <c r="C23" s="2347">
        <v>43916</v>
      </c>
      <c r="D23" s="2350"/>
      <c r="E23" s="1022"/>
      <c r="F23" s="1022"/>
    </row>
    <row r="24" spans="1:7" s="1024" customFormat="1" ht="24" customHeight="1">
      <c r="A24" s="1703" t="s">
        <v>1328</v>
      </c>
      <c r="B24" s="1703" t="s">
        <v>1328</v>
      </c>
      <c r="C24" s="2348" t="s">
        <v>1328</v>
      </c>
      <c r="D24" s="2351" t="s">
        <v>1328</v>
      </c>
      <c r="E24" s="1703" t="s">
        <v>1328</v>
      </c>
      <c r="F24" s="1703" t="s">
        <v>1328</v>
      </c>
    </row>
    <row r="25" spans="1:7" ht="24" customHeight="1">
      <c r="A25" s="2993" t="s">
        <v>842</v>
      </c>
      <c r="B25" s="2993"/>
      <c r="C25" s="2993"/>
      <c r="D25" s="2993"/>
      <c r="E25" s="2993"/>
      <c r="F25" s="2993"/>
      <c r="G25" s="2993"/>
    </row>
    <row r="26" spans="1:7" s="1025" customFormat="1" ht="24" customHeight="1">
      <c r="A26" s="2994" t="s">
        <v>843</v>
      </c>
      <c r="B26" s="2994"/>
      <c r="C26" s="2995"/>
      <c r="D26" s="2996" t="s">
        <v>844</v>
      </c>
      <c r="E26" s="2994"/>
      <c r="F26" s="2994"/>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2020-01-21T04:26:13Z</dcterms:modified>
</cp:coreProperties>
</file>