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报告们\法院\2023-1-0227 北京市大兴区瀛海镇南环路1号\"/>
    </mc:Choice>
  </mc:AlternateContent>
  <xr:revisionPtr revIDLastSave="0" documentId="13_ncr:1_{3926DBEA-D889-4673-9C7B-3E2FF4717826}" xr6:coauthVersionLast="45" xr6:coauthVersionMax="45" xr10:uidLastSave="{00000000-0000-0000-0000-000000000000}"/>
  <bookViews>
    <workbookView xWindow="8715" yWindow="555" windowWidth="12825" windowHeight="6525" firstSheet="5" activeTab="8" xr2:uid="{00000000-000D-0000-FFFF-FFFF00000000}"/>
  </bookViews>
  <sheets>
    <sheet name="树木（院外）" sheetId="1" state="hidden" r:id="rId1"/>
    <sheet name="树木（北院）" sheetId="5" state="hidden" r:id="rId2"/>
    <sheet name="树木（南院）" sheetId="6" state="hidden" r:id="rId3"/>
    <sheet name="汇总" sheetId="7" r:id="rId4"/>
    <sheet name="测算表" sheetId="11" state="hidden" r:id="rId5"/>
    <sheet name="补偿标准" sheetId="10" r:id="rId6"/>
    <sheet name="补偿标准1" sheetId="8" state="hidden" r:id="rId7"/>
    <sheet name="下拉菜单" sheetId="9" r:id="rId8"/>
    <sheet name="瀛海" sheetId="12" r:id="rId9"/>
    <sheet name="树木" sheetId="13" r:id="rId10"/>
  </sheets>
  <externalReferences>
    <externalReference r:id="rId11"/>
  </externalReferences>
  <definedNames>
    <definedName name="成材树木">下拉菜单!$A$2:$A$38</definedName>
    <definedName name="分类">[1]下拉菜单!$A$1:$C$1</definedName>
    <definedName name="灌木及其他">下拉菜单!$C$2:$C$8</definedName>
    <definedName name="幼苗">下拉菜单!$B$2:$B$16</definedName>
    <definedName name="榆树苗">下拉菜单!$B$3:$B$18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2" i="12" l="1"/>
  <c r="G62" i="12"/>
  <c r="G4" i="12" l="1"/>
  <c r="G5" i="12"/>
  <c r="G6" i="12"/>
  <c r="G3" i="12"/>
  <c r="G2" i="12"/>
  <c r="G60" i="12" l="1"/>
  <c r="G59" i="12"/>
  <c r="G40" i="12" l="1"/>
  <c r="G41" i="12"/>
  <c r="G42" i="12"/>
  <c r="G43" i="12"/>
  <c r="G44" i="12"/>
  <c r="G45" i="12"/>
  <c r="G46" i="12"/>
  <c r="G47" i="12"/>
  <c r="G48" i="12"/>
  <c r="G39" i="12"/>
  <c r="A59" i="10"/>
  <c r="G61" i="12"/>
  <c r="F60" i="12"/>
  <c r="F59" i="12"/>
  <c r="G56" i="12"/>
  <c r="G55" i="12"/>
  <c r="G53" i="12"/>
  <c r="G52" i="12"/>
  <c r="G51" i="12"/>
  <c r="G50" i="12"/>
  <c r="G49" i="12"/>
  <c r="F57" i="12"/>
  <c r="G57" i="12" s="1"/>
  <c r="F58" i="12"/>
  <c r="G58" i="12" s="1"/>
  <c r="G54" i="12"/>
  <c r="F38" i="12"/>
  <c r="G38" i="12" s="1"/>
  <c r="F37" i="12"/>
  <c r="G37" i="12" s="1"/>
  <c r="F36" i="12"/>
  <c r="G36" i="12" s="1"/>
  <c r="F35" i="12"/>
  <c r="G35" i="12" s="1"/>
  <c r="F34" i="12"/>
  <c r="G34" i="12" s="1"/>
  <c r="F33" i="12"/>
  <c r="G33" i="12" s="1"/>
  <c r="F32" i="12"/>
  <c r="G32" i="12" s="1"/>
  <c r="F31" i="12"/>
  <c r="G31" i="12" s="1"/>
  <c r="F30" i="12"/>
  <c r="G30" i="12" s="1"/>
  <c r="F29" i="12"/>
  <c r="G29" i="12" s="1"/>
  <c r="F28" i="12"/>
  <c r="G28" i="12" s="1"/>
  <c r="F27" i="12"/>
  <c r="G27" i="12" s="1"/>
  <c r="F26" i="12" l="1"/>
  <c r="G26" i="12" s="1"/>
  <c r="G25" i="12"/>
  <c r="F24" i="12"/>
  <c r="G24" i="12" s="1"/>
  <c r="F23" i="12"/>
  <c r="G23" i="12" s="1"/>
  <c r="F22" i="12"/>
  <c r="G22" i="12" s="1"/>
  <c r="F21" i="12"/>
  <c r="E21" i="12"/>
  <c r="F20" i="12"/>
  <c r="G20" i="12" s="1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3" i="12"/>
  <c r="G13" i="12" s="1"/>
  <c r="F12" i="12"/>
  <c r="G12" i="12" s="1"/>
  <c r="F11" i="12"/>
  <c r="G11" i="12" s="1"/>
  <c r="F10" i="12"/>
  <c r="G10" i="12" s="1"/>
  <c r="F9" i="12"/>
  <c r="G9" i="12" s="1"/>
  <c r="F8" i="12"/>
  <c r="G8" i="12" s="1"/>
  <c r="F7" i="12"/>
  <c r="G7" i="12" s="1"/>
  <c r="G21" i="12" l="1"/>
  <c r="C42" i="7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G22" i="11" s="1"/>
  <c r="F23" i="11"/>
  <c r="G23" i="11" s="1"/>
  <c r="F24" i="11"/>
  <c r="G24" i="11" s="1"/>
  <c r="F25" i="11"/>
  <c r="G25" i="11" s="1"/>
  <c r="F26" i="11"/>
  <c r="G26" i="11" s="1"/>
  <c r="F2" i="11"/>
  <c r="C40" i="7" l="1"/>
  <c r="C46" i="7" l="1"/>
  <c r="C45" i="7"/>
  <c r="C44" i="7"/>
  <c r="B46" i="7"/>
  <c r="B45" i="7"/>
  <c r="C37" i="7"/>
  <c r="C36" i="7"/>
  <c r="G49" i="1"/>
  <c r="C35" i="7"/>
  <c r="D33" i="7"/>
  <c r="E33" i="7"/>
  <c r="F33" i="7"/>
  <c r="G33" i="7"/>
  <c r="H33" i="7"/>
  <c r="I33" i="7"/>
  <c r="J33" i="7"/>
  <c r="K33" i="7"/>
  <c r="L33" i="7"/>
  <c r="C33" i="7"/>
  <c r="D32" i="7"/>
  <c r="E32" i="7"/>
  <c r="F32" i="7"/>
  <c r="G32" i="7"/>
  <c r="H32" i="7"/>
  <c r="I32" i="7"/>
  <c r="J32" i="7"/>
  <c r="K32" i="7"/>
  <c r="L32" i="7"/>
  <c r="C32" i="7"/>
  <c r="D31" i="7"/>
  <c r="E31" i="7"/>
  <c r="F31" i="7"/>
  <c r="G31" i="7"/>
  <c r="H31" i="7"/>
  <c r="I31" i="7"/>
  <c r="J31" i="7"/>
  <c r="K31" i="7"/>
  <c r="L31" i="7"/>
  <c r="C31" i="7"/>
  <c r="F30" i="7"/>
  <c r="G30" i="7"/>
  <c r="H30" i="7"/>
  <c r="I30" i="7"/>
  <c r="J30" i="7"/>
  <c r="K30" i="7"/>
  <c r="L30" i="7"/>
  <c r="E29" i="7"/>
  <c r="F29" i="7"/>
  <c r="G29" i="7"/>
  <c r="H29" i="7"/>
  <c r="I29" i="7"/>
  <c r="J29" i="7"/>
  <c r="K29" i="7"/>
  <c r="L29" i="7"/>
  <c r="D28" i="7"/>
  <c r="E28" i="7"/>
  <c r="G28" i="7"/>
  <c r="H28" i="7"/>
  <c r="I28" i="7"/>
  <c r="J28" i="7"/>
  <c r="K28" i="7"/>
  <c r="L28" i="7"/>
  <c r="F27" i="7"/>
  <c r="H27" i="7"/>
  <c r="I27" i="7"/>
  <c r="J27" i="7"/>
  <c r="K27" i="7"/>
  <c r="L27" i="7"/>
  <c r="D24" i="7"/>
  <c r="E24" i="7"/>
  <c r="F24" i="7"/>
  <c r="G24" i="7"/>
  <c r="H24" i="7"/>
  <c r="I24" i="7"/>
  <c r="J24" i="7"/>
  <c r="K24" i="7"/>
  <c r="L24" i="7"/>
  <c r="G23" i="7"/>
  <c r="H23" i="7"/>
  <c r="I23" i="7"/>
  <c r="J23" i="7"/>
  <c r="K23" i="7"/>
  <c r="L23" i="7"/>
  <c r="F22" i="7"/>
  <c r="G22" i="7"/>
  <c r="H22" i="7"/>
  <c r="I22" i="7"/>
  <c r="J22" i="7"/>
  <c r="K22" i="7"/>
  <c r="L22" i="7"/>
  <c r="G21" i="7"/>
  <c r="H21" i="7"/>
  <c r="I21" i="7"/>
  <c r="J21" i="7"/>
  <c r="K21" i="7"/>
  <c r="L21" i="7"/>
  <c r="D26" i="7"/>
  <c r="E26" i="7"/>
  <c r="F26" i="7"/>
  <c r="G26" i="7"/>
  <c r="H26" i="7"/>
  <c r="I26" i="7"/>
  <c r="J26" i="7"/>
  <c r="K26" i="7"/>
  <c r="L26" i="7"/>
  <c r="C26" i="7"/>
  <c r="M26" i="7" s="1"/>
  <c r="H25" i="7"/>
  <c r="I25" i="7"/>
  <c r="J25" i="7"/>
  <c r="K25" i="7"/>
  <c r="L25" i="7"/>
  <c r="E4" i="7"/>
  <c r="E8" i="11" s="1"/>
  <c r="G8" i="11" s="1"/>
  <c r="F4" i="7"/>
  <c r="G4" i="7"/>
  <c r="H4" i="7"/>
  <c r="I4" i="7"/>
  <c r="J4" i="7"/>
  <c r="K4" i="7"/>
  <c r="L4" i="7"/>
  <c r="C5" i="7"/>
  <c r="E11" i="11" s="1"/>
  <c r="G11" i="11" s="1"/>
  <c r="D5" i="7"/>
  <c r="E12" i="11" s="1"/>
  <c r="G12" i="11" s="1"/>
  <c r="E5" i="7"/>
  <c r="E13" i="11" s="1"/>
  <c r="G13" i="11" s="1"/>
  <c r="F5" i="7"/>
  <c r="G5" i="7"/>
  <c r="H5" i="7"/>
  <c r="I5" i="7"/>
  <c r="J5" i="7"/>
  <c r="K5" i="7"/>
  <c r="L5" i="7"/>
  <c r="F6" i="7"/>
  <c r="E19" i="11" s="1"/>
  <c r="G19" i="11" s="1"/>
  <c r="G6" i="7"/>
  <c r="E20" i="11" s="1"/>
  <c r="G20" i="11" s="1"/>
  <c r="H6" i="7"/>
  <c r="I6" i="7"/>
  <c r="E21" i="11" s="1"/>
  <c r="G21" i="11" s="1"/>
  <c r="J6" i="7"/>
  <c r="K6" i="7"/>
  <c r="L6" i="7"/>
  <c r="C7" i="7"/>
  <c r="D7" i="7"/>
  <c r="E7" i="7"/>
  <c r="F7" i="7"/>
  <c r="G7" i="7"/>
  <c r="H7" i="7"/>
  <c r="I7" i="7"/>
  <c r="J7" i="7"/>
  <c r="K7" i="7"/>
  <c r="L7" i="7"/>
  <c r="C8" i="7"/>
  <c r="D8" i="7"/>
  <c r="E8" i="7"/>
  <c r="F8" i="7"/>
  <c r="G8" i="7"/>
  <c r="H8" i="7"/>
  <c r="I8" i="7"/>
  <c r="J8" i="7"/>
  <c r="K8" i="7"/>
  <c r="L8" i="7"/>
  <c r="F9" i="7"/>
  <c r="G9" i="7"/>
  <c r="H9" i="7"/>
  <c r="I9" i="7"/>
  <c r="J9" i="7"/>
  <c r="K9" i="7"/>
  <c r="L9" i="7"/>
  <c r="C10" i="7"/>
  <c r="D10" i="7"/>
  <c r="E10" i="7"/>
  <c r="F10" i="7"/>
  <c r="G10" i="7"/>
  <c r="H10" i="7"/>
  <c r="I10" i="7"/>
  <c r="J10" i="7"/>
  <c r="K10" i="7"/>
  <c r="L10" i="7"/>
  <c r="C11" i="7"/>
  <c r="D11" i="7"/>
  <c r="E11" i="7"/>
  <c r="F11" i="7"/>
  <c r="G11" i="7"/>
  <c r="H11" i="7"/>
  <c r="I11" i="7"/>
  <c r="J11" i="7"/>
  <c r="K11" i="7"/>
  <c r="L11" i="7"/>
  <c r="E12" i="7"/>
  <c r="F12" i="7"/>
  <c r="G12" i="7"/>
  <c r="H12" i="7"/>
  <c r="I12" i="7"/>
  <c r="J12" i="7"/>
  <c r="K12" i="7"/>
  <c r="L12" i="7"/>
  <c r="J13" i="7"/>
  <c r="K13" i="7"/>
  <c r="L13" i="7"/>
  <c r="F14" i="7"/>
  <c r="G14" i="7"/>
  <c r="H14" i="7"/>
  <c r="I14" i="7"/>
  <c r="J14" i="7"/>
  <c r="K14" i="7"/>
  <c r="L14" i="7"/>
  <c r="C15" i="7"/>
  <c r="D15" i="7"/>
  <c r="E15" i="7"/>
  <c r="F15" i="7"/>
  <c r="G15" i="7"/>
  <c r="H15" i="7"/>
  <c r="I15" i="7"/>
  <c r="J15" i="7"/>
  <c r="K15" i="7"/>
  <c r="L15" i="7"/>
  <c r="C16" i="7"/>
  <c r="D16" i="7"/>
  <c r="E16" i="7"/>
  <c r="F16" i="7"/>
  <c r="G16" i="7"/>
  <c r="H16" i="7"/>
  <c r="I16" i="7"/>
  <c r="J16" i="7"/>
  <c r="K16" i="7"/>
  <c r="L16" i="7"/>
  <c r="C17" i="7"/>
  <c r="D17" i="7"/>
  <c r="E17" i="7"/>
  <c r="F17" i="7"/>
  <c r="G17" i="7"/>
  <c r="H17" i="7"/>
  <c r="I17" i="7"/>
  <c r="J17" i="7"/>
  <c r="K17" i="7"/>
  <c r="L17" i="7"/>
  <c r="C18" i="7"/>
  <c r="D18" i="7"/>
  <c r="E18" i="7"/>
  <c r="F18" i="7"/>
  <c r="G18" i="7"/>
  <c r="H18" i="7"/>
  <c r="I18" i="7"/>
  <c r="J18" i="7"/>
  <c r="K18" i="7"/>
  <c r="L18" i="7"/>
  <c r="E19" i="7"/>
  <c r="F19" i="7"/>
  <c r="G19" i="7"/>
  <c r="H19" i="7"/>
  <c r="I19" i="7"/>
  <c r="J19" i="7"/>
  <c r="K19" i="7"/>
  <c r="L19" i="7"/>
  <c r="C20" i="7"/>
  <c r="D20" i="7"/>
  <c r="E20" i="7"/>
  <c r="F20" i="7"/>
  <c r="G20" i="7"/>
  <c r="H20" i="7"/>
  <c r="I20" i="7"/>
  <c r="J20" i="7"/>
  <c r="K20" i="7"/>
  <c r="L20" i="7"/>
  <c r="F3" i="7"/>
  <c r="E5" i="11" s="1"/>
  <c r="G5" i="11" s="1"/>
  <c r="G3" i="7"/>
  <c r="H3" i="7"/>
  <c r="I3" i="7"/>
  <c r="J3" i="7"/>
  <c r="J34" i="7" s="1"/>
  <c r="K3" i="7"/>
  <c r="L3" i="7"/>
  <c r="L34" i="7" s="1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N37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C33" i="1"/>
  <c r="C27" i="7" s="1"/>
  <c r="E15" i="11" l="1"/>
  <c r="G15" i="11" s="1"/>
  <c r="E10" i="11"/>
  <c r="G10" i="11" s="1"/>
  <c r="N38" i="5"/>
  <c r="N40" i="5" s="1"/>
  <c r="E9" i="11"/>
  <c r="G9" i="11" s="1"/>
  <c r="E14" i="11"/>
  <c r="G14" i="11" s="1"/>
  <c r="M20" i="7"/>
  <c r="M18" i="7"/>
  <c r="M17" i="7"/>
  <c r="M16" i="7"/>
  <c r="M15" i="7"/>
  <c r="M11" i="7"/>
  <c r="M10" i="7"/>
  <c r="M8" i="7"/>
  <c r="M7" i="7"/>
  <c r="M5" i="7"/>
  <c r="K34" i="7"/>
  <c r="M31" i="7"/>
  <c r="M32" i="7"/>
  <c r="M33" i="7"/>
  <c r="P52" i="6"/>
  <c r="P54" i="6" s="1"/>
  <c r="P11" i="1"/>
  <c r="P13" i="1"/>
  <c r="P14" i="1"/>
  <c r="P16" i="1"/>
  <c r="P17" i="1"/>
  <c r="P21" i="1"/>
  <c r="P22" i="1"/>
  <c r="P23" i="1"/>
  <c r="P24" i="1"/>
  <c r="P26" i="1"/>
  <c r="P32" i="1"/>
  <c r="P37" i="1"/>
  <c r="P38" i="1"/>
  <c r="P39" i="1"/>
  <c r="P40" i="1"/>
  <c r="P41" i="1"/>
  <c r="P42" i="1"/>
  <c r="P43" i="1"/>
  <c r="P44" i="1"/>
  <c r="P45" i="1"/>
  <c r="P46" i="1"/>
  <c r="P47" i="1"/>
  <c r="C29" i="1"/>
  <c r="C23" i="7" s="1"/>
  <c r="C27" i="1"/>
  <c r="C21" i="7" s="1"/>
  <c r="C28" i="1"/>
  <c r="C22" i="7" s="1"/>
  <c r="D28" i="1"/>
  <c r="D22" i="7" s="1"/>
  <c r="C36" i="1"/>
  <c r="C30" i="7" s="1"/>
  <c r="E36" i="1"/>
  <c r="E30" i="7" s="1"/>
  <c r="D36" i="1"/>
  <c r="D30" i="7" s="1"/>
  <c r="D27" i="1"/>
  <c r="D21" i="7" s="1"/>
  <c r="D35" i="1"/>
  <c r="D29" i="7" s="1"/>
  <c r="C35" i="1"/>
  <c r="C29" i="7" s="1"/>
  <c r="F34" i="1"/>
  <c r="F28" i="7" s="1"/>
  <c r="C34" i="1"/>
  <c r="C28" i="7" s="1"/>
  <c r="G33" i="1"/>
  <c r="G27" i="7" s="1"/>
  <c r="E33" i="1"/>
  <c r="E27" i="7" s="1"/>
  <c r="D33" i="1"/>
  <c r="D27" i="7" s="1"/>
  <c r="G31" i="1"/>
  <c r="G25" i="7" s="1"/>
  <c r="F31" i="1"/>
  <c r="F25" i="7" s="1"/>
  <c r="E31" i="1"/>
  <c r="E25" i="7" s="1"/>
  <c r="D31" i="1"/>
  <c r="D25" i="7" s="1"/>
  <c r="C31" i="1"/>
  <c r="C25" i="7" s="1"/>
  <c r="M25" i="7" s="1"/>
  <c r="C30" i="1"/>
  <c r="C24" i="7" s="1"/>
  <c r="M24" i="7" s="1"/>
  <c r="F29" i="1"/>
  <c r="F23" i="7" s="1"/>
  <c r="E29" i="1"/>
  <c r="E23" i="7" s="1"/>
  <c r="D29" i="1"/>
  <c r="D23" i="7" s="1"/>
  <c r="E28" i="1"/>
  <c r="E22" i="7" s="1"/>
  <c r="F27" i="1"/>
  <c r="F21" i="7" s="1"/>
  <c r="E27" i="1"/>
  <c r="E21" i="7" s="1"/>
  <c r="D25" i="1"/>
  <c r="D19" i="7" s="1"/>
  <c r="C25" i="1"/>
  <c r="C19" i="7" s="1"/>
  <c r="E20" i="1"/>
  <c r="E14" i="7" s="1"/>
  <c r="D20" i="1"/>
  <c r="D14" i="7" s="1"/>
  <c r="C20" i="1"/>
  <c r="C14" i="7" s="1"/>
  <c r="M14" i="7" s="1"/>
  <c r="I19" i="1"/>
  <c r="I13" i="7" s="1"/>
  <c r="I34" i="7" s="1"/>
  <c r="H19" i="1"/>
  <c r="H13" i="7" s="1"/>
  <c r="H34" i="7" s="1"/>
  <c r="G19" i="1"/>
  <c r="G13" i="7" s="1"/>
  <c r="G34" i="7" s="1"/>
  <c r="F19" i="1"/>
  <c r="F13" i="7" s="1"/>
  <c r="F34" i="7" s="1"/>
  <c r="E19" i="1"/>
  <c r="E13" i="7" s="1"/>
  <c r="D19" i="1"/>
  <c r="D13" i="7" s="1"/>
  <c r="C19" i="1"/>
  <c r="C13" i="7" s="1"/>
  <c r="D18" i="1"/>
  <c r="D12" i="7" s="1"/>
  <c r="C18" i="1"/>
  <c r="C12" i="7" s="1"/>
  <c r="E15" i="1"/>
  <c r="E9" i="7" s="1"/>
  <c r="D15" i="1"/>
  <c r="D9" i="7" s="1"/>
  <c r="C15" i="1"/>
  <c r="C9" i="7" s="1"/>
  <c r="M9" i="7" s="1"/>
  <c r="E12" i="1"/>
  <c r="E6" i="7" s="1"/>
  <c r="E18" i="11" s="1"/>
  <c r="G18" i="11" s="1"/>
  <c r="D12" i="1"/>
  <c r="D6" i="7" s="1"/>
  <c r="E17" i="11" s="1"/>
  <c r="G17" i="11" s="1"/>
  <c r="C12" i="1"/>
  <c r="C6" i="7" s="1"/>
  <c r="E16" i="11" s="1"/>
  <c r="G16" i="11" s="1"/>
  <c r="D10" i="1"/>
  <c r="D4" i="7" s="1"/>
  <c r="E7" i="11" s="1"/>
  <c r="G7" i="11" s="1"/>
  <c r="C10" i="1"/>
  <c r="C4" i="7" s="1"/>
  <c r="E6" i="11" s="1"/>
  <c r="G6" i="11" s="1"/>
  <c r="E9" i="1"/>
  <c r="E3" i="7" s="1"/>
  <c r="D9" i="1"/>
  <c r="D3" i="7" s="1"/>
  <c r="E3" i="11" s="1"/>
  <c r="G3" i="11" s="1"/>
  <c r="C9" i="1"/>
  <c r="C3" i="7" s="1"/>
  <c r="E2" i="11" s="1"/>
  <c r="G2" i="11" s="1"/>
  <c r="E34" i="7" l="1"/>
  <c r="E4" i="11"/>
  <c r="G4" i="11" s="1"/>
  <c r="M27" i="7"/>
  <c r="M28" i="7"/>
  <c r="M29" i="7"/>
  <c r="P30" i="1"/>
  <c r="C34" i="7"/>
  <c r="M3" i="7"/>
  <c r="M21" i="7"/>
  <c r="P9" i="1"/>
  <c r="P36" i="1"/>
  <c r="P34" i="1"/>
  <c r="P28" i="1"/>
  <c r="P20" i="1"/>
  <c r="P18" i="1"/>
  <c r="P12" i="1"/>
  <c r="P10" i="1"/>
  <c r="D34" i="7"/>
  <c r="M4" i="7"/>
  <c r="M6" i="7"/>
  <c r="M12" i="7"/>
  <c r="M13" i="7"/>
  <c r="M19" i="7"/>
  <c r="M30" i="7"/>
  <c r="M22" i="7"/>
  <c r="M23" i="7"/>
  <c r="P35" i="1"/>
  <c r="P33" i="1"/>
  <c r="P31" i="1"/>
  <c r="P29" i="1"/>
  <c r="P27" i="1"/>
  <c r="P25" i="1"/>
  <c r="P19" i="1"/>
  <c r="P15" i="1"/>
  <c r="M34" i="7" l="1"/>
  <c r="P48" i="1"/>
</calcChain>
</file>

<file path=xl/sharedStrings.xml><?xml version="1.0" encoding="utf-8"?>
<sst xmlns="http://schemas.openxmlformats.org/spreadsheetml/2006/main" count="940" uniqueCount="407">
  <si>
    <t>序号</t>
    <phoneticPr fontId="2" type="noConversion"/>
  </si>
  <si>
    <t>种类</t>
    <phoneticPr fontId="2" type="noConversion"/>
  </si>
  <si>
    <t>胸径（cm）</t>
    <phoneticPr fontId="2" type="noConversion"/>
  </si>
  <si>
    <t>4-9</t>
    <phoneticPr fontId="2" type="noConversion"/>
  </si>
  <si>
    <t>10-19</t>
    <phoneticPr fontId="2" type="noConversion"/>
  </si>
  <si>
    <t>20-29</t>
    <phoneticPr fontId="2" type="noConversion"/>
  </si>
  <si>
    <t>30-39</t>
    <phoneticPr fontId="2" type="noConversion"/>
  </si>
  <si>
    <t>40以上</t>
    <phoneticPr fontId="2" type="noConversion"/>
  </si>
  <si>
    <t>雪松</t>
    <phoneticPr fontId="2" type="noConversion"/>
  </si>
  <si>
    <t>榕树</t>
    <phoneticPr fontId="2" type="noConversion"/>
  </si>
  <si>
    <t>栾树</t>
    <phoneticPr fontId="2" type="noConversion"/>
  </si>
  <si>
    <t>合欢</t>
    <phoneticPr fontId="2" type="noConversion"/>
  </si>
  <si>
    <t>紫叶李</t>
    <phoneticPr fontId="2" type="noConversion"/>
  </si>
  <si>
    <t>白蜡</t>
    <phoneticPr fontId="2" type="noConversion"/>
  </si>
  <si>
    <t>松</t>
    <phoneticPr fontId="2" type="noConversion"/>
  </si>
  <si>
    <t>柏</t>
    <phoneticPr fontId="2" type="noConversion"/>
  </si>
  <si>
    <t>杉</t>
    <phoneticPr fontId="2" type="noConversion"/>
  </si>
  <si>
    <t>榆</t>
    <phoneticPr fontId="2" type="noConversion"/>
  </si>
  <si>
    <t>桑</t>
    <phoneticPr fontId="2" type="noConversion"/>
  </si>
  <si>
    <t>龙抓槐</t>
    <phoneticPr fontId="2" type="noConversion"/>
  </si>
  <si>
    <t>国槐</t>
    <phoneticPr fontId="2" type="noConversion"/>
  </si>
  <si>
    <t>梧桐</t>
    <phoneticPr fontId="2" type="noConversion"/>
  </si>
  <si>
    <t>杜仲</t>
    <phoneticPr fontId="2" type="noConversion"/>
  </si>
  <si>
    <t>臭椿</t>
    <phoneticPr fontId="2" type="noConversion"/>
  </si>
  <si>
    <t>杨</t>
    <phoneticPr fontId="2" type="noConversion"/>
  </si>
  <si>
    <t>柳</t>
    <phoneticPr fontId="2" type="noConversion"/>
  </si>
  <si>
    <t>泡桐</t>
    <phoneticPr fontId="2" type="noConversion"/>
  </si>
  <si>
    <t>洋槐</t>
    <phoneticPr fontId="2" type="noConversion"/>
  </si>
  <si>
    <t>楸树</t>
    <phoneticPr fontId="2" type="noConversion"/>
  </si>
  <si>
    <t>香椿</t>
    <phoneticPr fontId="2" type="noConversion"/>
  </si>
  <si>
    <t>元宝枫</t>
    <phoneticPr fontId="2" type="noConversion"/>
  </si>
  <si>
    <t>银杏</t>
    <phoneticPr fontId="2" type="noConversion"/>
  </si>
  <si>
    <t>火炬树</t>
    <phoneticPr fontId="2" type="noConversion"/>
  </si>
  <si>
    <t>材树幼苗</t>
    <phoneticPr fontId="2" type="noConversion"/>
  </si>
  <si>
    <t>果树幼苗</t>
    <phoneticPr fontId="2" type="noConversion"/>
  </si>
  <si>
    <t>成畦苗</t>
    <phoneticPr fontId="2" type="noConversion"/>
  </si>
  <si>
    <t>移植小于1cm</t>
    <phoneticPr fontId="2" type="noConversion"/>
  </si>
  <si>
    <t>移植1-4cm</t>
    <phoneticPr fontId="2" type="noConversion"/>
  </si>
  <si>
    <t>种类</t>
    <phoneticPr fontId="2" type="noConversion"/>
  </si>
  <si>
    <t>梨树</t>
    <phoneticPr fontId="2" type="noConversion"/>
  </si>
  <si>
    <t>桃树</t>
    <phoneticPr fontId="2" type="noConversion"/>
  </si>
  <si>
    <t>杏树</t>
    <phoneticPr fontId="2" type="noConversion"/>
  </si>
  <si>
    <t>山楂</t>
    <phoneticPr fontId="2" type="noConversion"/>
  </si>
  <si>
    <t>核桃</t>
    <phoneticPr fontId="2" type="noConversion"/>
  </si>
  <si>
    <t>栗子树</t>
    <phoneticPr fontId="2" type="noConversion"/>
  </si>
  <si>
    <t>桑椹</t>
    <phoneticPr fontId="2" type="noConversion"/>
  </si>
  <si>
    <t>枣树</t>
    <phoneticPr fontId="2" type="noConversion"/>
  </si>
  <si>
    <t>李子树</t>
    <phoneticPr fontId="2" type="noConversion"/>
  </si>
  <si>
    <t>序号</t>
    <phoneticPr fontId="2" type="noConversion"/>
  </si>
  <si>
    <t>种类</t>
    <phoneticPr fontId="2" type="noConversion"/>
  </si>
  <si>
    <t>胸径（cm）</t>
    <phoneticPr fontId="2" type="noConversion"/>
  </si>
  <si>
    <t>备注</t>
    <phoneticPr fontId="2" type="noConversion"/>
  </si>
  <si>
    <t>合计</t>
    <phoneticPr fontId="2" type="noConversion"/>
  </si>
  <si>
    <t>4-9</t>
    <phoneticPr fontId="2" type="noConversion"/>
  </si>
  <si>
    <t>10-19</t>
    <phoneticPr fontId="2" type="noConversion"/>
  </si>
  <si>
    <t>20-29</t>
    <phoneticPr fontId="2" type="noConversion"/>
  </si>
  <si>
    <t>30-39</t>
    <phoneticPr fontId="2" type="noConversion"/>
  </si>
  <si>
    <t>40-49</t>
    <phoneticPr fontId="2" type="noConversion"/>
  </si>
  <si>
    <t>50</t>
    <phoneticPr fontId="2" type="noConversion"/>
  </si>
  <si>
    <t>60</t>
    <phoneticPr fontId="2" type="noConversion"/>
  </si>
  <si>
    <t>70</t>
    <phoneticPr fontId="2" type="noConversion"/>
  </si>
  <si>
    <t>80</t>
    <phoneticPr fontId="2" type="noConversion"/>
  </si>
  <si>
    <t>90</t>
    <phoneticPr fontId="2" type="noConversion"/>
  </si>
  <si>
    <t>雪松</t>
    <phoneticPr fontId="2" type="noConversion"/>
  </si>
  <si>
    <t>榕树</t>
    <phoneticPr fontId="2" type="noConversion"/>
  </si>
  <si>
    <t>栾树</t>
    <phoneticPr fontId="2" type="noConversion"/>
  </si>
  <si>
    <t>合欢</t>
    <phoneticPr fontId="2" type="noConversion"/>
  </si>
  <si>
    <t>紫叶李</t>
    <phoneticPr fontId="2" type="noConversion"/>
  </si>
  <si>
    <t>白蜡</t>
    <phoneticPr fontId="2" type="noConversion"/>
  </si>
  <si>
    <t>松</t>
    <phoneticPr fontId="2" type="noConversion"/>
  </si>
  <si>
    <t>柏</t>
    <phoneticPr fontId="2" type="noConversion"/>
  </si>
  <si>
    <t>杉</t>
    <phoneticPr fontId="2" type="noConversion"/>
  </si>
  <si>
    <t>榆</t>
    <phoneticPr fontId="2" type="noConversion"/>
  </si>
  <si>
    <t>桑</t>
    <phoneticPr fontId="2" type="noConversion"/>
  </si>
  <si>
    <t>龙抓槐</t>
    <phoneticPr fontId="2" type="noConversion"/>
  </si>
  <si>
    <t>国槐</t>
    <phoneticPr fontId="2" type="noConversion"/>
  </si>
  <si>
    <t>梧桐</t>
    <phoneticPr fontId="2" type="noConversion"/>
  </si>
  <si>
    <t>杜仲</t>
    <phoneticPr fontId="2" type="noConversion"/>
  </si>
  <si>
    <t>臭椿</t>
    <phoneticPr fontId="2" type="noConversion"/>
  </si>
  <si>
    <t>杨</t>
    <phoneticPr fontId="2" type="noConversion"/>
  </si>
  <si>
    <t>柳</t>
    <phoneticPr fontId="2" type="noConversion"/>
  </si>
  <si>
    <t>泡桐</t>
    <phoneticPr fontId="2" type="noConversion"/>
  </si>
  <si>
    <t>洋槐</t>
    <phoneticPr fontId="2" type="noConversion"/>
  </si>
  <si>
    <t>楸树</t>
    <phoneticPr fontId="2" type="noConversion"/>
  </si>
  <si>
    <t>银杏</t>
    <phoneticPr fontId="2" type="noConversion"/>
  </si>
  <si>
    <t>香椿</t>
    <phoneticPr fontId="2" type="noConversion"/>
  </si>
  <si>
    <t>元宝枫</t>
    <phoneticPr fontId="2" type="noConversion"/>
  </si>
  <si>
    <t>果树（备注品种）</t>
    <phoneticPr fontId="2" type="noConversion"/>
  </si>
  <si>
    <t>樱桃</t>
    <phoneticPr fontId="2" type="noConversion"/>
  </si>
  <si>
    <t>杏</t>
    <phoneticPr fontId="2" type="noConversion"/>
  </si>
  <si>
    <t>枣</t>
    <phoneticPr fontId="2" type="noConversion"/>
  </si>
  <si>
    <t>桃</t>
    <phoneticPr fontId="2" type="noConversion"/>
  </si>
  <si>
    <t>梨</t>
    <phoneticPr fontId="2" type="noConversion"/>
  </si>
  <si>
    <t>栗</t>
    <phoneticPr fontId="2" type="noConversion"/>
  </si>
  <si>
    <t>火炬树</t>
    <phoneticPr fontId="2" type="noConversion"/>
  </si>
  <si>
    <t>玉兰</t>
    <phoneticPr fontId="2" type="noConversion"/>
  </si>
  <si>
    <t>成畦苗</t>
    <phoneticPr fontId="2" type="noConversion"/>
  </si>
  <si>
    <t>移植小于1cm</t>
    <phoneticPr fontId="2" type="noConversion"/>
  </si>
  <si>
    <t>移植1-4cm</t>
    <phoneticPr fontId="2" type="noConversion"/>
  </si>
  <si>
    <t>材树幼苗</t>
    <phoneticPr fontId="2" type="noConversion"/>
  </si>
  <si>
    <t>榆树：300；杨树：130；火炬：730；洋槐：70</t>
    <phoneticPr fontId="2" type="noConversion"/>
  </si>
  <si>
    <t>果树幼苗</t>
    <phoneticPr fontId="2" type="noConversion"/>
  </si>
  <si>
    <t>其他</t>
    <phoneticPr fontId="2" type="noConversion"/>
  </si>
  <si>
    <t>面积（㎡）</t>
    <phoneticPr fontId="2" type="noConversion"/>
  </si>
  <si>
    <t>长度（m）</t>
    <phoneticPr fontId="2" type="noConversion"/>
  </si>
  <si>
    <t>冬青</t>
    <phoneticPr fontId="2" type="noConversion"/>
  </si>
  <si>
    <t>竹林</t>
    <phoneticPr fontId="2" type="noConversion"/>
  </si>
  <si>
    <t>柏树带</t>
    <phoneticPr fontId="2" type="noConversion"/>
  </si>
  <si>
    <t>小叶黄杨</t>
    <phoneticPr fontId="2" type="noConversion"/>
  </si>
  <si>
    <t>紫叶小檗</t>
    <phoneticPr fontId="2" type="noConversion"/>
  </si>
  <si>
    <t>侧柏</t>
    <phoneticPr fontId="2" type="noConversion"/>
  </si>
  <si>
    <t>4棵/平米</t>
    <phoneticPr fontId="2" type="noConversion"/>
  </si>
  <si>
    <t>40-50</t>
    <phoneticPr fontId="2" type="noConversion"/>
  </si>
  <si>
    <t>65</t>
    <phoneticPr fontId="2" type="noConversion"/>
  </si>
  <si>
    <t>100</t>
    <phoneticPr fontId="2" type="noConversion"/>
  </si>
  <si>
    <t>桃树</t>
    <phoneticPr fontId="2" type="noConversion"/>
  </si>
  <si>
    <t>杏树</t>
    <phoneticPr fontId="2" type="noConversion"/>
  </si>
  <si>
    <t>柿子树</t>
    <phoneticPr fontId="2" type="noConversion"/>
  </si>
  <si>
    <t>山楂树</t>
    <phoneticPr fontId="2" type="noConversion"/>
  </si>
  <si>
    <t>梨树</t>
    <phoneticPr fontId="2" type="noConversion"/>
  </si>
  <si>
    <t>核桃</t>
    <phoneticPr fontId="2" type="noConversion"/>
  </si>
  <si>
    <t>竹子</t>
    <phoneticPr fontId="2" type="noConversion"/>
  </si>
  <si>
    <t>225平方米×10颗/平方米=2250颗</t>
    <phoneticPr fontId="2" type="noConversion"/>
  </si>
  <si>
    <t>榆树苗：1500颗</t>
    <phoneticPr fontId="2" type="noConversion"/>
  </si>
  <si>
    <t>柏树苗：300颗</t>
    <phoneticPr fontId="2" type="noConversion"/>
  </si>
  <si>
    <t>杨树苗：710颗</t>
    <phoneticPr fontId="2" type="noConversion"/>
  </si>
  <si>
    <t>胸径</t>
    <phoneticPr fontId="2" type="noConversion"/>
  </si>
  <si>
    <t>10-20</t>
    <phoneticPr fontId="2" type="noConversion"/>
  </si>
  <si>
    <t>20-30</t>
    <phoneticPr fontId="2" type="noConversion"/>
  </si>
  <si>
    <t>30-40</t>
    <phoneticPr fontId="2" type="noConversion"/>
  </si>
  <si>
    <t>40-50</t>
    <phoneticPr fontId="2" type="noConversion"/>
  </si>
  <si>
    <t>50-60</t>
    <phoneticPr fontId="2" type="noConversion"/>
  </si>
  <si>
    <t>60-70</t>
    <phoneticPr fontId="2" type="noConversion"/>
  </si>
  <si>
    <t>70-80</t>
    <phoneticPr fontId="2" type="noConversion"/>
  </si>
  <si>
    <t>80-90</t>
    <phoneticPr fontId="2" type="noConversion"/>
  </si>
  <si>
    <t>90-100</t>
    <phoneticPr fontId="2" type="noConversion"/>
  </si>
  <si>
    <t>樱桃</t>
    <phoneticPr fontId="2" type="noConversion"/>
  </si>
  <si>
    <t>玉兰</t>
    <phoneticPr fontId="2" type="noConversion"/>
  </si>
  <si>
    <t>柿子树</t>
    <phoneticPr fontId="2" type="noConversion"/>
  </si>
  <si>
    <t>竹子</t>
    <phoneticPr fontId="2" type="noConversion"/>
  </si>
  <si>
    <t>竹子（平方米）</t>
    <phoneticPr fontId="2" type="noConversion"/>
  </si>
  <si>
    <t>核桃苗</t>
    <phoneticPr fontId="2" type="noConversion"/>
  </si>
  <si>
    <t>核桃</t>
    <phoneticPr fontId="2" type="noConversion"/>
  </si>
  <si>
    <t>榆树苗</t>
    <phoneticPr fontId="2" type="noConversion"/>
  </si>
  <si>
    <t>杨树苗</t>
    <phoneticPr fontId="2" type="noConversion"/>
  </si>
  <si>
    <t>火炬树苗</t>
    <phoneticPr fontId="2" type="noConversion"/>
  </si>
  <si>
    <t>洋槐苗</t>
    <phoneticPr fontId="2" type="noConversion"/>
  </si>
  <si>
    <t>柏树苗</t>
    <phoneticPr fontId="2" type="noConversion"/>
  </si>
  <si>
    <t>冬青（平方米）</t>
    <phoneticPr fontId="2" type="noConversion"/>
  </si>
  <si>
    <t>小叶黄杨</t>
    <phoneticPr fontId="2" type="noConversion"/>
  </si>
  <si>
    <t>树种</t>
    <phoneticPr fontId="2" type="noConversion"/>
  </si>
  <si>
    <t>胸径</t>
    <phoneticPr fontId="2" type="noConversion"/>
  </si>
  <si>
    <t>成材树木</t>
    <phoneticPr fontId="2" type="noConversion"/>
  </si>
  <si>
    <t>杨、柳、泡桐、洋槐、楸树</t>
    <phoneticPr fontId="2" type="noConversion"/>
  </si>
  <si>
    <t>果树、香椿、元宝枫、银杏</t>
    <phoneticPr fontId="2" type="noConversion"/>
  </si>
  <si>
    <t>树种</t>
    <phoneticPr fontId="2" type="noConversion"/>
  </si>
  <si>
    <t>成畦苗</t>
    <phoneticPr fontId="2" type="noConversion"/>
  </si>
  <si>
    <t>树苗</t>
    <phoneticPr fontId="2" type="noConversion"/>
  </si>
  <si>
    <t>24-40/m</t>
    <phoneticPr fontId="2" type="noConversion"/>
  </si>
  <si>
    <t>40-120/m</t>
    <phoneticPr fontId="2" type="noConversion"/>
  </si>
  <si>
    <t>合计</t>
    <phoneticPr fontId="2" type="noConversion"/>
  </si>
  <si>
    <t>松</t>
  </si>
  <si>
    <t>柏</t>
  </si>
  <si>
    <t>杉</t>
  </si>
  <si>
    <t>榆</t>
  </si>
  <si>
    <t>桑</t>
  </si>
  <si>
    <t>龙抓槐</t>
  </si>
  <si>
    <t>国槐</t>
  </si>
  <si>
    <t>梧桐</t>
  </si>
  <si>
    <t>杜仲</t>
  </si>
  <si>
    <t>臭椿</t>
  </si>
  <si>
    <t>杨</t>
  </si>
  <si>
    <t>柳</t>
  </si>
  <si>
    <t>泡桐</t>
  </si>
  <si>
    <t>洋槐</t>
  </si>
  <si>
    <t>楸树</t>
  </si>
  <si>
    <t>银杏</t>
  </si>
  <si>
    <t>香椿</t>
  </si>
  <si>
    <t>元宝枫</t>
  </si>
  <si>
    <t>梨树</t>
  </si>
  <si>
    <t>桃树</t>
  </si>
  <si>
    <t>杏树</t>
  </si>
  <si>
    <t>山楂</t>
  </si>
  <si>
    <t>核桃</t>
  </si>
  <si>
    <t>火炬树</t>
  </si>
  <si>
    <t>栗子树</t>
  </si>
  <si>
    <t>桑椹</t>
  </si>
  <si>
    <t>枣树</t>
  </si>
  <si>
    <t>李子树</t>
  </si>
  <si>
    <t>樱桃</t>
  </si>
  <si>
    <t>玉兰</t>
  </si>
  <si>
    <t>柿子树</t>
  </si>
  <si>
    <t>成材树木</t>
    <phoneticPr fontId="2" type="noConversion"/>
  </si>
  <si>
    <t>核桃苗</t>
  </si>
  <si>
    <t>榆树苗</t>
  </si>
  <si>
    <t>杨树苗</t>
  </si>
  <si>
    <t>火炬树苗</t>
  </si>
  <si>
    <t>洋槐苗</t>
  </si>
  <si>
    <t>柏树苗</t>
  </si>
  <si>
    <t>名称</t>
    <phoneticPr fontId="2" type="noConversion"/>
  </si>
  <si>
    <t>胸径上限</t>
    <phoneticPr fontId="2" type="noConversion"/>
  </si>
  <si>
    <t>胸径下限</t>
    <phoneticPr fontId="2" type="noConversion"/>
  </si>
  <si>
    <t>价格</t>
    <phoneticPr fontId="2" type="noConversion"/>
  </si>
  <si>
    <t>规格</t>
    <phoneticPr fontId="2" type="noConversion"/>
  </si>
  <si>
    <t>雪松</t>
    <phoneticPr fontId="2" type="noConversion"/>
  </si>
  <si>
    <t>幼苗</t>
    <phoneticPr fontId="2" type="noConversion"/>
  </si>
  <si>
    <t>灌木及其他</t>
    <phoneticPr fontId="2" type="noConversion"/>
  </si>
  <si>
    <t>竹子</t>
  </si>
  <si>
    <t>小叶黄杨</t>
  </si>
  <si>
    <t>雪松</t>
  </si>
  <si>
    <t>榕树</t>
  </si>
  <si>
    <t>栾树</t>
  </si>
  <si>
    <t>合欢</t>
  </si>
  <si>
    <t>紫叶李</t>
  </si>
  <si>
    <t>白蜡</t>
  </si>
  <si>
    <t>果树</t>
  </si>
  <si>
    <t>红叶小檗</t>
    <phoneticPr fontId="2" type="noConversion"/>
  </si>
  <si>
    <t>雪松、榕树、栾树、合欢、紫叶李、白蜡、玉兰</t>
    <phoneticPr fontId="2" type="noConversion"/>
  </si>
  <si>
    <t>松、柏、杉、榆、桑、龙抓槐、国槐、梧桐、杜仲、臭椿、火炬树</t>
    <phoneticPr fontId="2" type="noConversion"/>
  </si>
  <si>
    <t>序号</t>
    <phoneticPr fontId="9" type="noConversion"/>
  </si>
  <si>
    <t>分类</t>
    <phoneticPr fontId="9" type="noConversion"/>
  </si>
  <si>
    <t>名称</t>
    <phoneticPr fontId="9" type="noConversion"/>
  </si>
  <si>
    <t>规格</t>
    <phoneticPr fontId="9" type="noConversion"/>
  </si>
  <si>
    <t>补偿单价（元/棵）</t>
    <phoneticPr fontId="9" type="noConversion"/>
  </si>
  <si>
    <t>评估单价（元）</t>
    <phoneticPr fontId="9" type="noConversion"/>
  </si>
  <si>
    <t>棵数/面积</t>
    <phoneticPr fontId="9" type="noConversion"/>
  </si>
  <si>
    <t>0-1</t>
    <phoneticPr fontId="2" type="noConversion"/>
  </si>
  <si>
    <t>梨树苗</t>
  </si>
  <si>
    <t>梨树苗</t>
    <phoneticPr fontId="2" type="noConversion"/>
  </si>
  <si>
    <t>桃树苗</t>
  </si>
  <si>
    <t>桃树苗</t>
    <phoneticPr fontId="2" type="noConversion"/>
  </si>
  <si>
    <t>杏树苗</t>
  </si>
  <si>
    <t>杏树苗</t>
    <phoneticPr fontId="2" type="noConversion"/>
  </si>
  <si>
    <t>山楂苗</t>
  </si>
  <si>
    <t>山楂苗</t>
    <phoneticPr fontId="2" type="noConversion"/>
  </si>
  <si>
    <t>栗子树苗</t>
  </si>
  <si>
    <t>栗子树苗</t>
    <phoneticPr fontId="2" type="noConversion"/>
  </si>
  <si>
    <t>柿子树苗</t>
  </si>
  <si>
    <t>柿子树苗</t>
    <phoneticPr fontId="2" type="noConversion"/>
  </si>
  <si>
    <t>枣树苗</t>
  </si>
  <si>
    <t>枣树苗</t>
    <phoneticPr fontId="2" type="noConversion"/>
  </si>
  <si>
    <t>李子树苗</t>
  </si>
  <si>
    <t>李子树苗</t>
    <phoneticPr fontId="2" type="noConversion"/>
  </si>
  <si>
    <t>樱桃苗</t>
  </si>
  <si>
    <t>樱桃苗</t>
    <phoneticPr fontId="2" type="noConversion"/>
  </si>
  <si>
    <t>成材树木</t>
  </si>
  <si>
    <t>H5.5</t>
    <phoneticPr fontId="2" type="noConversion"/>
  </si>
  <si>
    <t>雪松H5.5</t>
  </si>
  <si>
    <t>雪松H8</t>
  </si>
  <si>
    <t>雪松H13</t>
  </si>
  <si>
    <t>雪松H8.5</t>
  </si>
  <si>
    <t>雪松H7.5</t>
  </si>
  <si>
    <t>H8</t>
    <phoneticPr fontId="2" type="noConversion"/>
  </si>
  <si>
    <t>H13</t>
    <phoneticPr fontId="2" type="noConversion"/>
  </si>
  <si>
    <t>H8.5</t>
    <phoneticPr fontId="2" type="noConversion"/>
  </si>
  <si>
    <t>H7.5</t>
    <phoneticPr fontId="2" type="noConversion"/>
  </si>
  <si>
    <t>北人集团</t>
    <phoneticPr fontId="11" type="noConversion"/>
  </si>
  <si>
    <t>镇政府</t>
    <phoneticPr fontId="11" type="noConversion"/>
  </si>
  <si>
    <t>序号</t>
    <phoneticPr fontId="11" type="noConversion"/>
  </si>
  <si>
    <t>类别名称</t>
  </si>
  <si>
    <t>数量</t>
  </si>
  <si>
    <t>单位</t>
  </si>
  <si>
    <t>樱花树(ф30)</t>
  </si>
  <si>
    <t>棵</t>
  </si>
  <si>
    <t>樱花树ф30</t>
    <phoneticPr fontId="11" type="noConversion"/>
  </si>
  <si>
    <t>樱花树(ф26)</t>
  </si>
  <si>
    <t>樱花树ф26</t>
  </si>
  <si>
    <t>樱花树(φ25)</t>
  </si>
  <si>
    <t>樱花树ф25</t>
    <phoneticPr fontId="11" type="noConversion"/>
  </si>
  <si>
    <t>樱花树(ф16)</t>
  </si>
  <si>
    <t>樱花树ф16</t>
    <phoneticPr fontId="11" type="noConversion"/>
  </si>
  <si>
    <t>樱花树(φ13)</t>
  </si>
  <si>
    <t>樱花树ф13</t>
    <phoneticPr fontId="11" type="noConversion"/>
  </si>
  <si>
    <t>樱花树(ф12)</t>
  </si>
  <si>
    <t>樱花树ф12</t>
    <phoneticPr fontId="11" type="noConversion"/>
  </si>
  <si>
    <t>雪松(H=5.5)</t>
  </si>
  <si>
    <t>雪松(H=8)</t>
  </si>
  <si>
    <t>雪松(H=13)</t>
  </si>
  <si>
    <t>雪松(H=8.5)</t>
  </si>
  <si>
    <t>雪松(H-7.5)</t>
  </si>
  <si>
    <t>杏树(ф23)</t>
  </si>
  <si>
    <t>杏树ф23</t>
  </si>
  <si>
    <t>杏树(ф16)</t>
  </si>
  <si>
    <t>杏树ф16</t>
  </si>
  <si>
    <t>香椿(ф10)</t>
  </si>
  <si>
    <t>香椿ф10</t>
    <phoneticPr fontId="11" type="noConversion"/>
  </si>
  <si>
    <t>香椿(ф13)</t>
  </si>
  <si>
    <t>香椿13</t>
  </si>
  <si>
    <t>香椿(ф14)</t>
  </si>
  <si>
    <t>香椿ф14</t>
  </si>
  <si>
    <t>香椿(ф25)</t>
  </si>
  <si>
    <t>香椿ф25</t>
  </si>
  <si>
    <t>香椿(ф30)</t>
  </si>
  <si>
    <t>香椿ф30</t>
  </si>
  <si>
    <t>海棠(ф13)</t>
  </si>
  <si>
    <t>海棠ф13</t>
  </si>
  <si>
    <t>海棠(ф14)</t>
  </si>
  <si>
    <t>海棠ф14</t>
  </si>
  <si>
    <t>海棠(ф20)</t>
  </si>
  <si>
    <t>海棠ф20</t>
  </si>
  <si>
    <t>海棠(ф25)</t>
  </si>
  <si>
    <t>海棠ф25</t>
  </si>
  <si>
    <t>红枫</t>
  </si>
  <si>
    <t>红枫ф10</t>
  </si>
  <si>
    <t>银杏(ф26)</t>
  </si>
  <si>
    <t>银杏ф26</t>
  </si>
  <si>
    <t>银查(中17)</t>
  </si>
  <si>
    <t>银杏ф17</t>
  </si>
  <si>
    <t>龙爪槐(ф10)</t>
  </si>
  <si>
    <t>龙爪槐ф10</t>
  </si>
  <si>
    <t>龙爪槐(ф11)</t>
  </si>
  <si>
    <t>龙爪槐ф</t>
  </si>
  <si>
    <t>龙爪槐(ф12)</t>
  </si>
  <si>
    <t>龙爪槐ф12</t>
  </si>
  <si>
    <t>龙爪槐(ф13)</t>
  </si>
  <si>
    <t>龙爪槐ф13</t>
  </si>
  <si>
    <t>龙爪槐(ф14)</t>
  </si>
  <si>
    <t>龙爪槐ф14</t>
  </si>
  <si>
    <t>红梅(ф10)</t>
  </si>
  <si>
    <t>毛桃ф20</t>
    <phoneticPr fontId="11" type="noConversion"/>
  </si>
  <si>
    <t>连翘(b1.5)</t>
  </si>
  <si>
    <t>玉兰ф20</t>
  </si>
  <si>
    <t>毛桃(ф20)</t>
  </si>
  <si>
    <t>槐树ф23</t>
  </si>
  <si>
    <t>毛桃(ф18)</t>
  </si>
  <si>
    <t>槐树ф10</t>
  </si>
  <si>
    <t>桑树(ф28)</t>
  </si>
  <si>
    <t>小波h1</t>
  </si>
  <si>
    <t>玉兰(ф20)</t>
  </si>
  <si>
    <t>臭椿ф22</t>
  </si>
  <si>
    <t>臭椿ф20</t>
  </si>
  <si>
    <t>槐树(ф10)</t>
  </si>
  <si>
    <t>臭椿ф14</t>
  </si>
  <si>
    <t>紫叶小檗(h1)</t>
    <phoneticPr fontId="11" type="noConversion"/>
  </si>
  <si>
    <t>刺柏H3</t>
  </si>
  <si>
    <t>臭椿(ф22)</t>
    <phoneticPr fontId="11" type="noConversion"/>
  </si>
  <si>
    <t>刺柏H2.5</t>
  </si>
  <si>
    <t>臭椿(ф20)</t>
    <phoneticPr fontId="11" type="noConversion"/>
  </si>
  <si>
    <t>黄杨球h1.2</t>
  </si>
  <si>
    <t>臭椿(ф14)</t>
    <phoneticPr fontId="11" type="noConversion"/>
  </si>
  <si>
    <t>泡桐树ф35</t>
  </si>
  <si>
    <t>刺柏(H=3)</t>
  </si>
  <si>
    <t>泡桐树ф34</t>
  </si>
  <si>
    <t>刺柏(H=2.5)</t>
  </si>
  <si>
    <t>泡桐树ф32</t>
  </si>
  <si>
    <t>黄杨球(冠幅1.2)</t>
  </si>
  <si>
    <t>泡桐树ф28</t>
  </si>
  <si>
    <t>泡桐树(ф=35)</t>
  </si>
  <si>
    <t>杨树ф17</t>
  </si>
  <si>
    <t>泡桐树(ф-34)</t>
  </si>
  <si>
    <t>杨树ф13</t>
  </si>
  <si>
    <t>泡桐树(ф=32)</t>
  </si>
  <si>
    <t>杨树ф55</t>
  </si>
  <si>
    <t>泡桐树(ф=28)</t>
  </si>
  <si>
    <t>柳树ф35</t>
  </si>
  <si>
    <t>杨树(ф=17)</t>
  </si>
  <si>
    <t>合欢ф7</t>
  </si>
  <si>
    <t>杨树(ф=13)</t>
  </si>
  <si>
    <t>女贞h0.5</t>
  </si>
  <si>
    <t>杨树(ф=55)</t>
  </si>
  <si>
    <t>大叶黄杨</t>
  </si>
  <si>
    <t>柳树(ф=35)</t>
  </si>
  <si>
    <t>连翘h1.5</t>
  </si>
  <si>
    <t>女贞</t>
  </si>
  <si>
    <t>剑麻</t>
  </si>
  <si>
    <t>美国金娃娃</t>
  </si>
  <si>
    <t>竹子(h2.5)</t>
  </si>
  <si>
    <t>株</t>
  </si>
  <si>
    <t>月季</t>
  </si>
  <si>
    <t>规格（cm）</t>
    <phoneticPr fontId="9" type="noConversion"/>
  </si>
  <si>
    <t>灌木及其他</t>
  </si>
  <si>
    <t>紫叶小檗</t>
  </si>
  <si>
    <t>槐树(ф23)</t>
    <phoneticPr fontId="2" type="noConversion"/>
  </si>
  <si>
    <t>槐树</t>
    <phoneticPr fontId="2" type="noConversion"/>
  </si>
  <si>
    <t>刺柏</t>
  </si>
  <si>
    <t>月季</t>
    <phoneticPr fontId="2" type="noConversion"/>
  </si>
  <si>
    <t>大叶黄杨</t>
    <phoneticPr fontId="2" type="noConversion"/>
  </si>
  <si>
    <t>樱花树</t>
  </si>
  <si>
    <t>樱花树</t>
    <phoneticPr fontId="2" type="noConversion"/>
  </si>
  <si>
    <t>连翘</t>
  </si>
  <si>
    <t>连翘</t>
    <phoneticPr fontId="2" type="noConversion"/>
  </si>
  <si>
    <t>刺柏</t>
    <phoneticPr fontId="2" type="noConversion"/>
  </si>
  <si>
    <t>红枫</t>
    <phoneticPr fontId="2" type="noConversion"/>
  </si>
  <si>
    <t>001</t>
    <phoneticPr fontId="2" type="noConversion"/>
  </si>
  <si>
    <t>造价</t>
    <phoneticPr fontId="2" type="noConversion"/>
  </si>
  <si>
    <t>海棠</t>
  </si>
  <si>
    <t>海棠</t>
    <phoneticPr fontId="2" type="noConversion"/>
  </si>
  <si>
    <t>西府海棠</t>
    <phoneticPr fontId="2" type="noConversion"/>
  </si>
  <si>
    <t>女贞</t>
    <phoneticPr fontId="2" type="noConversion"/>
  </si>
  <si>
    <t>龙柏(H=13)</t>
    <phoneticPr fontId="2" type="noConversion"/>
  </si>
  <si>
    <t>龙柏</t>
  </si>
  <si>
    <t>龙柏</t>
    <phoneticPr fontId="2" type="noConversion"/>
  </si>
  <si>
    <t>H1.3</t>
    <phoneticPr fontId="2" type="noConversion"/>
  </si>
  <si>
    <t>无</t>
    <phoneticPr fontId="2" type="noConversion"/>
  </si>
  <si>
    <t>剑麻</t>
    <phoneticPr fontId="2" type="noConversion"/>
  </si>
  <si>
    <t>h0.3</t>
    <phoneticPr fontId="2" type="noConversion"/>
  </si>
  <si>
    <t>红梅</t>
  </si>
  <si>
    <t>红梅</t>
    <phoneticPr fontId="2" type="noConversion"/>
  </si>
  <si>
    <t>补偿单价（元/棵or厘米）</t>
    <phoneticPr fontId="9" type="noConversion"/>
  </si>
  <si>
    <t>毛桃</t>
    <phoneticPr fontId="2" type="noConversion"/>
  </si>
  <si>
    <t>果树</t>
    <phoneticPr fontId="2" type="noConversion"/>
  </si>
  <si>
    <t>果树</t>
    <phoneticPr fontId="2" type="noConversion"/>
  </si>
  <si>
    <t>h0.5金叶女贞</t>
    <phoneticPr fontId="2" type="noConversion"/>
  </si>
  <si>
    <t>h2.5早园竹</t>
    <phoneticPr fontId="2" type="noConversion"/>
  </si>
  <si>
    <t>藤本月季</t>
    <phoneticPr fontId="2" type="noConversion"/>
  </si>
  <si>
    <t>华信</t>
    <phoneticPr fontId="2" type="noConversion"/>
  </si>
  <si>
    <t>询价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</si>
</sst>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等线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5"/>
      <name val="宋体"/>
      <family val="2"/>
      <scheme val="minor"/>
    </font>
    <font>
      <sz val="11"/>
      <color theme="5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1" applyBorder="1"/>
    <xf numFmtId="0" fontId="1" fillId="0" borderId="0" xfId="1"/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/>
    </xf>
    <xf numFmtId="0" fontId="12" fillId="0" borderId="1" xfId="1" applyFont="1" applyBorder="1"/>
    <xf numFmtId="0" fontId="14" fillId="0" borderId="1" xfId="1" applyFont="1" applyBorder="1"/>
    <xf numFmtId="0" fontId="1" fillId="0" borderId="0" xfId="1" applyAlignment="1">
      <alignment horizontal="left" vertical="center"/>
    </xf>
    <xf numFmtId="0" fontId="1" fillId="2" borderId="1" xfId="1" applyFill="1" applyBorder="1"/>
    <xf numFmtId="0" fontId="1" fillId="2" borderId="1" xfId="1" applyFill="1" applyBorder="1" applyAlignment="1">
      <alignment horizontal="left" vertical="center"/>
    </xf>
    <xf numFmtId="0" fontId="1" fillId="2" borderId="1" xfId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12" fillId="2" borderId="1" xfId="1" applyFont="1" applyFill="1" applyBorder="1"/>
    <xf numFmtId="0" fontId="14" fillId="2" borderId="1" xfId="1" applyFont="1" applyFill="1" applyBorder="1"/>
    <xf numFmtId="0" fontId="1" fillId="3" borderId="1" xfId="1" applyFill="1" applyBorder="1"/>
    <xf numFmtId="0" fontId="12" fillId="3" borderId="1" xfId="1" applyFont="1" applyFill="1" applyBorder="1"/>
    <xf numFmtId="0" fontId="1" fillId="3" borderId="1" xfId="1" applyFill="1" applyBorder="1" applyAlignment="1">
      <alignment horizontal="left"/>
    </xf>
    <xf numFmtId="0" fontId="1" fillId="3" borderId="1" xfId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0" xfId="1" applyFill="1"/>
    <xf numFmtId="0" fontId="13" fillId="3" borderId="1" xfId="1" applyFont="1" applyFill="1" applyBorder="1"/>
    <xf numFmtId="49" fontId="5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5" fillId="3" borderId="1" xfId="1" applyFont="1" applyFill="1" applyBorder="1"/>
    <xf numFmtId="0" fontId="16" fillId="3" borderId="1" xfId="1" applyFont="1" applyFill="1" applyBorder="1" applyAlignment="1">
      <alignment horizontal="left"/>
    </xf>
    <xf numFmtId="0" fontId="16" fillId="3" borderId="1" xfId="1" applyFont="1" applyFill="1" applyBorder="1"/>
    <xf numFmtId="0" fontId="1" fillId="3" borderId="0" xfId="1" applyFill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" xfId="1" applyBorder="1" applyAlignment="1">
      <alignment horizontal="center"/>
    </xf>
  </cellXfs>
  <cellStyles count="2">
    <cellStyle name="常规" xfId="0" builtinId="0"/>
    <cellStyle name="常规 2" xfId="1" xr:uid="{AF6A7A83-9C44-4520-B53F-F7C8AB7AF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596;&#23433;&#26641;&#33495;&#34917;&#20607;&#20844;&#24335;/cc&#33618;&#37326;&#282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录入表"/>
      <sheetName val="树木补偿测算表"/>
      <sheetName val="补偿标准"/>
      <sheetName val="下拉菜单"/>
    </sheetNames>
    <sheetDataSet>
      <sheetData sheetId="0" refreshError="1"/>
      <sheetData sheetId="1" refreshError="1"/>
      <sheetData sheetId="2"/>
      <sheetData sheetId="3">
        <row r="1">
          <cell r="A1" t="str">
            <v>乔木类</v>
          </cell>
          <cell r="B1" t="str">
            <v>花灌木</v>
          </cell>
          <cell r="C1" t="str">
            <v>经济林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45" workbookViewId="0">
      <selection activeCell="D44" sqref="D44"/>
    </sheetView>
  </sheetViews>
  <sheetFormatPr defaultRowHeight="29.25" customHeight="1" x14ac:dyDescent="0.15"/>
  <cols>
    <col min="1" max="1" width="5.125" customWidth="1"/>
    <col min="3" max="7" width="16.875" customWidth="1"/>
  </cols>
  <sheetData>
    <row r="1" spans="1:16" ht="13.5" customHeight="1" x14ac:dyDescent="0.15">
      <c r="A1" s="74" t="s">
        <v>0</v>
      </c>
      <c r="B1" s="74" t="s">
        <v>38</v>
      </c>
      <c r="C1" s="74" t="s">
        <v>2</v>
      </c>
      <c r="D1" s="74"/>
      <c r="E1" s="74"/>
      <c r="F1" s="74"/>
      <c r="G1" s="74"/>
    </row>
    <row r="2" spans="1:16" ht="15" customHeight="1" x14ac:dyDescent="0.15">
      <c r="A2" s="74"/>
      <c r="B2" s="74"/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>
        <v>55</v>
      </c>
      <c r="I2">
        <v>65</v>
      </c>
      <c r="J2">
        <v>75</v>
      </c>
    </row>
    <row r="3" spans="1:16" ht="55.5" customHeight="1" x14ac:dyDescent="0.15">
      <c r="A3" s="2">
        <v>1</v>
      </c>
      <c r="B3" s="2" t="s">
        <v>8</v>
      </c>
      <c r="C3" s="1"/>
      <c r="D3" s="1"/>
      <c r="E3" s="1"/>
      <c r="F3" s="1"/>
      <c r="G3" s="1"/>
    </row>
    <row r="4" spans="1:16" ht="55.5" customHeight="1" x14ac:dyDescent="0.15">
      <c r="A4" s="2">
        <v>2</v>
      </c>
      <c r="B4" s="2" t="s">
        <v>9</v>
      </c>
      <c r="C4" s="2"/>
      <c r="D4" s="2"/>
      <c r="E4" s="2"/>
      <c r="F4" s="2"/>
      <c r="G4" s="2"/>
    </row>
    <row r="5" spans="1:16" ht="55.5" customHeight="1" x14ac:dyDescent="0.15">
      <c r="A5" s="2">
        <v>3</v>
      </c>
      <c r="B5" s="2" t="s">
        <v>10</v>
      </c>
      <c r="C5" s="2"/>
      <c r="D5" s="2"/>
      <c r="E5" s="2"/>
      <c r="F5" s="2"/>
      <c r="G5" s="2"/>
    </row>
    <row r="6" spans="1:16" ht="55.5" customHeight="1" x14ac:dyDescent="0.15">
      <c r="A6" s="2">
        <v>4</v>
      </c>
      <c r="B6" s="2" t="s">
        <v>11</v>
      </c>
      <c r="C6" s="2"/>
      <c r="D6" s="2"/>
      <c r="E6" s="2"/>
      <c r="F6" s="2"/>
      <c r="G6" s="2"/>
    </row>
    <row r="7" spans="1:16" ht="55.5" customHeight="1" x14ac:dyDescent="0.15">
      <c r="A7" s="2">
        <v>5</v>
      </c>
      <c r="B7" s="2" t="s">
        <v>12</v>
      </c>
      <c r="C7" s="2"/>
      <c r="D7" s="2"/>
      <c r="E7" s="2"/>
      <c r="F7" s="2"/>
      <c r="G7" s="2"/>
    </row>
    <row r="8" spans="1:16" ht="55.5" customHeight="1" x14ac:dyDescent="0.15">
      <c r="A8" s="2">
        <v>6</v>
      </c>
      <c r="B8" s="2" t="s">
        <v>13</v>
      </c>
      <c r="C8" s="2"/>
      <c r="D8" s="2"/>
      <c r="E8" s="2"/>
      <c r="F8" s="2"/>
      <c r="G8" s="2"/>
    </row>
    <row r="9" spans="1:16" ht="55.5" customHeight="1" x14ac:dyDescent="0.15">
      <c r="A9" s="2">
        <v>7</v>
      </c>
      <c r="B9" s="2" t="s">
        <v>14</v>
      </c>
      <c r="C9" s="2">
        <f>189+26+578+292</f>
        <v>1085</v>
      </c>
      <c r="D9" s="2">
        <f>161+127</f>
        <v>288</v>
      </c>
      <c r="E9" s="2">
        <f>10</f>
        <v>10</v>
      </c>
      <c r="F9" s="2"/>
      <c r="G9" s="2"/>
      <c r="P9">
        <f>SUM(C9:J9)</f>
        <v>1383</v>
      </c>
    </row>
    <row r="10" spans="1:16" ht="55.5" customHeight="1" x14ac:dyDescent="0.15">
      <c r="A10" s="2">
        <v>8</v>
      </c>
      <c r="B10" s="2" t="s">
        <v>15</v>
      </c>
      <c r="C10" s="2">
        <f>12</f>
        <v>12</v>
      </c>
      <c r="D10" s="2">
        <f>39</f>
        <v>39</v>
      </c>
      <c r="E10" s="2"/>
      <c r="F10" s="2"/>
      <c r="G10" s="2"/>
      <c r="P10">
        <f t="shared" ref="P10:P47" si="0">SUM(C10:J10)</f>
        <v>51</v>
      </c>
    </row>
    <row r="11" spans="1:16" ht="55.5" customHeight="1" x14ac:dyDescent="0.15">
      <c r="A11" s="2">
        <v>9</v>
      </c>
      <c r="B11" s="2" t="s">
        <v>16</v>
      </c>
      <c r="C11" s="2"/>
      <c r="D11" s="2"/>
      <c r="E11" s="2"/>
      <c r="F11" s="2"/>
      <c r="G11" s="2"/>
      <c r="P11">
        <f t="shared" si="0"/>
        <v>0</v>
      </c>
    </row>
    <row r="12" spans="1:16" ht="55.5" customHeight="1" x14ac:dyDescent="0.15">
      <c r="A12" s="2">
        <v>10</v>
      </c>
      <c r="B12" s="2" t="s">
        <v>17</v>
      </c>
      <c r="C12" s="2">
        <f>53+11+62+87+172+20+662+572</f>
        <v>1639</v>
      </c>
      <c r="D12" s="2">
        <f>1+3+2+3+39+2+21</f>
        <v>71</v>
      </c>
      <c r="E12" s="2">
        <f>4</f>
        <v>4</v>
      </c>
      <c r="F12" s="2"/>
      <c r="G12" s="2"/>
      <c r="I12">
        <v>1</v>
      </c>
      <c r="P12">
        <f t="shared" si="0"/>
        <v>1715</v>
      </c>
    </row>
    <row r="13" spans="1:16" ht="55.5" customHeight="1" x14ac:dyDescent="0.15">
      <c r="A13" s="2">
        <v>11</v>
      </c>
      <c r="B13" s="2" t="s">
        <v>18</v>
      </c>
      <c r="C13" s="2"/>
      <c r="D13" s="2"/>
      <c r="E13" s="2"/>
      <c r="F13" s="2"/>
      <c r="G13" s="2"/>
      <c r="P13">
        <f t="shared" si="0"/>
        <v>0</v>
      </c>
    </row>
    <row r="14" spans="1:16" ht="55.5" customHeight="1" x14ac:dyDescent="0.15">
      <c r="A14" s="2">
        <v>12</v>
      </c>
      <c r="B14" s="2" t="s">
        <v>19</v>
      </c>
      <c r="C14" s="2"/>
      <c r="D14" s="2"/>
      <c r="E14" s="2"/>
      <c r="F14" s="2"/>
      <c r="G14" s="2"/>
      <c r="P14">
        <f t="shared" si="0"/>
        <v>0</v>
      </c>
    </row>
    <row r="15" spans="1:16" ht="55.5" customHeight="1" x14ac:dyDescent="0.15">
      <c r="A15" s="2">
        <v>13</v>
      </c>
      <c r="B15" s="2" t="s">
        <v>20</v>
      </c>
      <c r="C15" s="2">
        <f>52+32+42</f>
        <v>126</v>
      </c>
      <c r="D15" s="2">
        <f>127+20+17</f>
        <v>164</v>
      </c>
      <c r="E15" s="2">
        <f>31</f>
        <v>31</v>
      </c>
      <c r="F15" s="2"/>
      <c r="G15" s="2"/>
      <c r="P15">
        <f t="shared" si="0"/>
        <v>321</v>
      </c>
    </row>
    <row r="16" spans="1:16" ht="55.5" customHeight="1" x14ac:dyDescent="0.15">
      <c r="A16" s="2">
        <v>14</v>
      </c>
      <c r="B16" s="2" t="s">
        <v>21</v>
      </c>
      <c r="C16" s="2"/>
      <c r="D16" s="2"/>
      <c r="E16" s="2"/>
      <c r="F16" s="2"/>
      <c r="G16" s="2"/>
      <c r="P16">
        <f t="shared" si="0"/>
        <v>0</v>
      </c>
    </row>
    <row r="17" spans="1:16" ht="55.5" customHeight="1" x14ac:dyDescent="0.15">
      <c r="A17" s="2">
        <v>15</v>
      </c>
      <c r="B17" s="2" t="s">
        <v>22</v>
      </c>
      <c r="C17" s="2"/>
      <c r="D17" s="2"/>
      <c r="E17" s="2"/>
      <c r="F17" s="2"/>
      <c r="G17" s="2"/>
      <c r="P17">
        <f t="shared" si="0"/>
        <v>0</v>
      </c>
    </row>
    <row r="18" spans="1:16" ht="55.5" customHeight="1" x14ac:dyDescent="0.15">
      <c r="A18" s="2">
        <v>16</v>
      </c>
      <c r="B18" s="2" t="s">
        <v>23</v>
      </c>
      <c r="C18" s="2">
        <f>1+1+1+5+20+5+18+22+132</f>
        <v>205</v>
      </c>
      <c r="D18" s="2">
        <f>1+2+1+5</f>
        <v>9</v>
      </c>
      <c r="E18" s="2"/>
      <c r="F18" s="2"/>
      <c r="G18" s="2"/>
      <c r="P18">
        <f t="shared" si="0"/>
        <v>214</v>
      </c>
    </row>
    <row r="19" spans="1:16" ht="55.5" customHeight="1" x14ac:dyDescent="0.15">
      <c r="A19" s="2">
        <v>17</v>
      </c>
      <c r="B19" s="2" t="s">
        <v>24</v>
      </c>
      <c r="C19" s="2">
        <f>3+20+196</f>
        <v>219</v>
      </c>
      <c r="D19" s="2">
        <f>30+11+52+30+96+68+37</f>
        <v>324</v>
      </c>
      <c r="E19" s="2">
        <f>10+14+11+50</f>
        <v>85</v>
      </c>
      <c r="F19" s="2">
        <f>2+16</f>
        <v>18</v>
      </c>
      <c r="G19" s="2">
        <f>57+10</f>
        <v>67</v>
      </c>
      <c r="H19">
        <f>48+58+5+20+10</f>
        <v>141</v>
      </c>
      <c r="I19">
        <f>20+5</f>
        <v>25</v>
      </c>
      <c r="P19">
        <f t="shared" si="0"/>
        <v>879</v>
      </c>
    </row>
    <row r="20" spans="1:16" ht="55.5" customHeight="1" x14ac:dyDescent="0.15">
      <c r="A20" s="2">
        <v>18</v>
      </c>
      <c r="B20" s="2" t="s">
        <v>25</v>
      </c>
      <c r="C20" s="2">
        <f>20</f>
        <v>20</v>
      </c>
      <c r="D20" s="2">
        <f>16</f>
        <v>16</v>
      </c>
      <c r="E20" s="2">
        <f>12</f>
        <v>12</v>
      </c>
      <c r="F20" s="2"/>
      <c r="G20" s="2"/>
      <c r="P20">
        <f t="shared" si="0"/>
        <v>48</v>
      </c>
    </row>
    <row r="21" spans="1:16" ht="55.5" customHeight="1" x14ac:dyDescent="0.15">
      <c r="A21" s="2">
        <v>19</v>
      </c>
      <c r="B21" s="2" t="s">
        <v>26</v>
      </c>
      <c r="C21" s="2"/>
      <c r="D21" s="2">
        <v>3</v>
      </c>
      <c r="E21" s="2"/>
      <c r="F21" s="2"/>
      <c r="G21" s="2"/>
      <c r="P21">
        <f t="shared" si="0"/>
        <v>3</v>
      </c>
    </row>
    <row r="22" spans="1:16" ht="55.5" customHeight="1" x14ac:dyDescent="0.15">
      <c r="A22" s="2">
        <v>20</v>
      </c>
      <c r="B22" s="2" t="s">
        <v>27</v>
      </c>
      <c r="C22" s="2"/>
      <c r="D22" s="2"/>
      <c r="E22" s="2"/>
      <c r="F22" s="2"/>
      <c r="G22" s="2"/>
      <c r="P22">
        <f t="shared" si="0"/>
        <v>0</v>
      </c>
    </row>
    <row r="23" spans="1:16" ht="55.5" customHeight="1" x14ac:dyDescent="0.15">
      <c r="A23" s="2">
        <v>21</v>
      </c>
      <c r="B23" s="2" t="s">
        <v>28</v>
      </c>
      <c r="C23" s="2"/>
      <c r="D23" s="2"/>
      <c r="E23" s="2"/>
      <c r="F23" s="2"/>
      <c r="G23" s="2"/>
      <c r="P23">
        <f t="shared" si="0"/>
        <v>0</v>
      </c>
    </row>
    <row r="24" spans="1:16" ht="55.5" customHeight="1" x14ac:dyDescent="0.15">
      <c r="A24" s="2">
        <v>22</v>
      </c>
      <c r="B24" s="2" t="s">
        <v>31</v>
      </c>
      <c r="C24" s="2"/>
      <c r="D24" s="2"/>
      <c r="E24" s="2"/>
      <c r="F24" s="2"/>
      <c r="G24" s="2"/>
      <c r="P24">
        <f t="shared" si="0"/>
        <v>0</v>
      </c>
    </row>
    <row r="25" spans="1:16" ht="55.5" customHeight="1" x14ac:dyDescent="0.15">
      <c r="A25" s="2">
        <v>23</v>
      </c>
      <c r="B25" s="2" t="s">
        <v>29</v>
      </c>
      <c r="C25" s="2">
        <f>1+14+5+28+12+37+22</f>
        <v>119</v>
      </c>
      <c r="D25" s="2">
        <f>1</f>
        <v>1</v>
      </c>
      <c r="E25" s="2"/>
      <c r="F25" s="2"/>
      <c r="G25" s="2"/>
      <c r="P25">
        <f t="shared" si="0"/>
        <v>120</v>
      </c>
    </row>
    <row r="26" spans="1:16" ht="55.5" customHeight="1" x14ac:dyDescent="0.15">
      <c r="A26" s="2">
        <v>24</v>
      </c>
      <c r="B26" s="2" t="s">
        <v>30</v>
      </c>
      <c r="C26" s="2"/>
      <c r="D26" s="2"/>
      <c r="E26" s="2"/>
      <c r="F26" s="2"/>
      <c r="G26" s="2"/>
      <c r="P26">
        <f t="shared" si="0"/>
        <v>0</v>
      </c>
    </row>
    <row r="27" spans="1:16" ht="55.5" customHeight="1" x14ac:dyDescent="0.15">
      <c r="A27" s="2">
        <v>25</v>
      </c>
      <c r="B27" s="5" t="s">
        <v>39</v>
      </c>
      <c r="C27" s="2">
        <f>5+4+186+46+20+40+186+1362+376</f>
        <v>2225</v>
      </c>
      <c r="D27" s="2">
        <f>90+80+6+114+55+18+15+97+23+193</f>
        <v>691</v>
      </c>
      <c r="E27" s="2">
        <f>5</f>
        <v>5</v>
      </c>
      <c r="F27" s="2">
        <f>1+2</f>
        <v>3</v>
      </c>
      <c r="G27" s="2"/>
      <c r="P27">
        <f t="shared" si="0"/>
        <v>2924</v>
      </c>
    </row>
    <row r="28" spans="1:16" ht="55.5" customHeight="1" x14ac:dyDescent="0.15">
      <c r="A28" s="2">
        <v>26</v>
      </c>
      <c r="B28" s="5" t="s">
        <v>40</v>
      </c>
      <c r="C28" s="2">
        <f>200+120+40+5+32+106+119</f>
        <v>622</v>
      </c>
      <c r="D28" s="2">
        <f>300+180+20+102</f>
        <v>602</v>
      </c>
      <c r="E28" s="2">
        <f>85+25</f>
        <v>110</v>
      </c>
      <c r="F28" s="2"/>
      <c r="G28" s="2"/>
      <c r="P28">
        <f t="shared" si="0"/>
        <v>1334</v>
      </c>
    </row>
    <row r="29" spans="1:16" ht="55.5" customHeight="1" x14ac:dyDescent="0.15">
      <c r="A29" s="2">
        <v>27</v>
      </c>
      <c r="B29" s="5" t="s">
        <v>41</v>
      </c>
      <c r="C29" s="2">
        <f>2+72+1+2+12+5+278+10+132+115+282</f>
        <v>911</v>
      </c>
      <c r="D29" s="2">
        <f>60+6+52+23</f>
        <v>141</v>
      </c>
      <c r="E29" s="2">
        <f>1</f>
        <v>1</v>
      </c>
      <c r="F29" s="2">
        <f>1</f>
        <v>1</v>
      </c>
      <c r="G29" s="2"/>
      <c r="P29">
        <f t="shared" si="0"/>
        <v>1054</v>
      </c>
    </row>
    <row r="30" spans="1:16" ht="55.5" customHeight="1" x14ac:dyDescent="0.15">
      <c r="A30" s="2">
        <v>28</v>
      </c>
      <c r="B30" s="5" t="s">
        <v>42</v>
      </c>
      <c r="C30" s="2">
        <f>25</f>
        <v>25</v>
      </c>
      <c r="D30" s="2"/>
      <c r="E30" s="2"/>
      <c r="F30" s="2"/>
      <c r="G30" s="2"/>
      <c r="P30">
        <f t="shared" si="0"/>
        <v>25</v>
      </c>
    </row>
    <row r="31" spans="1:16" ht="55.5" customHeight="1" x14ac:dyDescent="0.15">
      <c r="A31" s="2">
        <v>29</v>
      </c>
      <c r="B31" s="5" t="s">
        <v>43</v>
      </c>
      <c r="C31" s="2">
        <f>358+1+21+6+20+15+17+155+237+151</f>
        <v>981</v>
      </c>
      <c r="D31" s="2">
        <f>202+8+9+10+6+104+67</f>
        <v>406</v>
      </c>
      <c r="E31" s="2">
        <f>2+3+2+1+5+2</f>
        <v>15</v>
      </c>
      <c r="F31" s="2">
        <f>1+1</f>
        <v>2</v>
      </c>
      <c r="G31" s="2">
        <f>1</f>
        <v>1</v>
      </c>
      <c r="P31">
        <f t="shared" si="0"/>
        <v>1405</v>
      </c>
    </row>
    <row r="32" spans="1:16" ht="55.5" customHeight="1" x14ac:dyDescent="0.15">
      <c r="A32" s="2">
        <v>30</v>
      </c>
      <c r="B32" s="2" t="s">
        <v>32</v>
      </c>
      <c r="C32" s="2"/>
      <c r="D32" s="2"/>
      <c r="E32" s="2"/>
      <c r="F32" s="2"/>
      <c r="G32" s="2"/>
      <c r="P32">
        <f t="shared" si="0"/>
        <v>0</v>
      </c>
    </row>
    <row r="33" spans="1:16" ht="55.5" customHeight="1" x14ac:dyDescent="0.15">
      <c r="A33" s="2">
        <v>31</v>
      </c>
      <c r="B33" s="2" t="s">
        <v>44</v>
      </c>
      <c r="C33" s="2">
        <f>82+6+163+97+143+393</f>
        <v>884</v>
      </c>
      <c r="D33" s="2">
        <f>98+11+97+20+12+107</f>
        <v>345</v>
      </c>
      <c r="E33" s="2">
        <f>4+3+11+2</f>
        <v>20</v>
      </c>
      <c r="F33" s="2"/>
      <c r="G33" s="2">
        <f>2</f>
        <v>2</v>
      </c>
      <c r="P33">
        <f t="shared" si="0"/>
        <v>1251</v>
      </c>
    </row>
    <row r="34" spans="1:16" ht="55.5" customHeight="1" x14ac:dyDescent="0.15">
      <c r="A34" s="2">
        <v>32</v>
      </c>
      <c r="B34" s="2" t="s">
        <v>45</v>
      </c>
      <c r="C34" s="2">
        <f>1</f>
        <v>1</v>
      </c>
      <c r="D34" s="2"/>
      <c r="E34" s="2"/>
      <c r="F34" s="2">
        <f>1</f>
        <v>1</v>
      </c>
      <c r="G34" s="2"/>
      <c r="P34">
        <f t="shared" si="0"/>
        <v>2</v>
      </c>
    </row>
    <row r="35" spans="1:16" ht="55.5" customHeight="1" x14ac:dyDescent="0.15">
      <c r="A35" s="2">
        <v>33</v>
      </c>
      <c r="B35" s="2" t="s">
        <v>46</v>
      </c>
      <c r="C35" s="2">
        <f>10+86+116</f>
        <v>212</v>
      </c>
      <c r="D35" s="2">
        <f>29</f>
        <v>29</v>
      </c>
      <c r="E35" s="2"/>
      <c r="F35" s="2"/>
      <c r="G35" s="2"/>
      <c r="P35">
        <f t="shared" si="0"/>
        <v>241</v>
      </c>
    </row>
    <row r="36" spans="1:16" ht="55.5" customHeight="1" x14ac:dyDescent="0.15">
      <c r="A36" s="2">
        <v>34</v>
      </c>
      <c r="B36" s="2" t="s">
        <v>47</v>
      </c>
      <c r="C36" s="2">
        <f>163</f>
        <v>163</v>
      </c>
      <c r="D36" s="2">
        <f>7+14+4+50</f>
        <v>75</v>
      </c>
      <c r="E36" s="2">
        <f>9+2</f>
        <v>11</v>
      </c>
      <c r="F36" s="2"/>
      <c r="G36" s="2"/>
      <c r="P36">
        <f t="shared" si="0"/>
        <v>249</v>
      </c>
    </row>
    <row r="37" spans="1:16" ht="55.5" customHeight="1" x14ac:dyDescent="0.15">
      <c r="A37" s="2">
        <v>35</v>
      </c>
      <c r="B37" s="2"/>
      <c r="C37" s="2"/>
      <c r="D37" s="2"/>
      <c r="E37" s="2"/>
      <c r="F37" s="2"/>
      <c r="G37" s="2"/>
      <c r="P37">
        <f t="shared" si="0"/>
        <v>0</v>
      </c>
    </row>
    <row r="38" spans="1:16" ht="55.5" customHeight="1" x14ac:dyDescent="0.15">
      <c r="A38" s="2">
        <v>36</v>
      </c>
      <c r="B38" s="2"/>
      <c r="C38" s="2"/>
      <c r="D38" s="2"/>
      <c r="E38" s="2"/>
      <c r="F38" s="2"/>
      <c r="G38" s="2"/>
      <c r="P38">
        <f t="shared" si="0"/>
        <v>0</v>
      </c>
    </row>
    <row r="39" spans="1:16" ht="55.5" customHeight="1" x14ac:dyDescent="0.15">
      <c r="A39" s="2">
        <v>37</v>
      </c>
      <c r="B39" s="2"/>
      <c r="C39" s="2"/>
      <c r="D39" s="2"/>
      <c r="E39" s="2"/>
      <c r="F39" s="2"/>
      <c r="G39" s="2"/>
      <c r="P39">
        <f t="shared" si="0"/>
        <v>0</v>
      </c>
    </row>
    <row r="40" spans="1:16" ht="55.5" customHeight="1" x14ac:dyDescent="0.15">
      <c r="A40" s="2">
        <v>38</v>
      </c>
      <c r="B40" s="2"/>
      <c r="C40" s="2"/>
      <c r="D40" s="2"/>
      <c r="E40" s="2"/>
      <c r="F40" s="2"/>
      <c r="G40" s="2"/>
      <c r="P40">
        <f t="shared" si="0"/>
        <v>0</v>
      </c>
    </row>
    <row r="41" spans="1:16" ht="55.5" customHeight="1" x14ac:dyDescent="0.15">
      <c r="A41" s="2">
        <v>39</v>
      </c>
      <c r="B41" s="2"/>
      <c r="C41" s="2"/>
      <c r="D41" s="2"/>
      <c r="E41" s="2"/>
      <c r="F41" s="2"/>
      <c r="G41" s="2"/>
      <c r="P41">
        <f t="shared" si="0"/>
        <v>0</v>
      </c>
    </row>
    <row r="42" spans="1:16" ht="55.5" customHeight="1" x14ac:dyDescent="0.15">
      <c r="A42" s="2">
        <v>40</v>
      </c>
      <c r="B42" s="2"/>
      <c r="C42" s="2"/>
      <c r="D42" s="2"/>
      <c r="E42" s="2"/>
      <c r="F42" s="2"/>
      <c r="G42" s="2"/>
      <c r="P42">
        <f t="shared" si="0"/>
        <v>0</v>
      </c>
    </row>
    <row r="43" spans="1:16" ht="55.5" customHeight="1" x14ac:dyDescent="0.15">
      <c r="A43" s="2">
        <v>41</v>
      </c>
      <c r="B43" s="2"/>
      <c r="C43" s="2"/>
      <c r="D43" s="2"/>
      <c r="E43" s="2"/>
      <c r="F43" s="2"/>
      <c r="G43" s="2"/>
      <c r="P43">
        <f t="shared" si="0"/>
        <v>0</v>
      </c>
    </row>
    <row r="44" spans="1:16" ht="55.5" customHeight="1" x14ac:dyDescent="0.15">
      <c r="A44" s="2">
        <v>42</v>
      </c>
      <c r="B44" s="2"/>
      <c r="C44" s="2"/>
      <c r="D44" s="2"/>
      <c r="E44" s="2"/>
      <c r="F44" s="2"/>
      <c r="G44" s="2"/>
      <c r="P44">
        <f t="shared" si="0"/>
        <v>0</v>
      </c>
    </row>
    <row r="45" spans="1:16" ht="55.5" customHeight="1" x14ac:dyDescent="0.15">
      <c r="A45" s="2">
        <v>43</v>
      </c>
      <c r="B45" s="2"/>
      <c r="C45" s="2"/>
      <c r="D45" s="2"/>
      <c r="E45" s="2"/>
      <c r="F45" s="2"/>
      <c r="G45" s="2"/>
      <c r="P45">
        <f t="shared" si="0"/>
        <v>0</v>
      </c>
    </row>
    <row r="46" spans="1:16" ht="55.5" customHeight="1" x14ac:dyDescent="0.15">
      <c r="A46" s="2">
        <v>44</v>
      </c>
      <c r="B46" s="2"/>
      <c r="C46" s="2"/>
      <c r="D46" s="2"/>
      <c r="E46" s="2"/>
      <c r="F46" s="2"/>
      <c r="G46" s="2"/>
      <c r="P46">
        <f t="shared" si="0"/>
        <v>0</v>
      </c>
    </row>
    <row r="47" spans="1:16" ht="55.5" customHeight="1" x14ac:dyDescent="0.15">
      <c r="A47" s="2">
        <v>45</v>
      </c>
      <c r="B47" s="2"/>
      <c r="C47" s="2"/>
      <c r="D47" s="2"/>
      <c r="E47" s="2"/>
      <c r="F47" s="2"/>
      <c r="G47" s="2"/>
      <c r="P47">
        <f t="shared" si="0"/>
        <v>0</v>
      </c>
    </row>
    <row r="48" spans="1:16" ht="24" customHeight="1" x14ac:dyDescent="0.15">
      <c r="A48" s="2" t="s">
        <v>0</v>
      </c>
      <c r="B48" s="2" t="s">
        <v>1</v>
      </c>
      <c r="C48" s="74" t="s">
        <v>35</v>
      </c>
      <c r="D48" s="74"/>
      <c r="E48" s="72" t="s">
        <v>36</v>
      </c>
      <c r="F48" s="73"/>
      <c r="G48" s="3" t="s">
        <v>37</v>
      </c>
      <c r="P48" s="7">
        <f>SUM(P9:P47)</f>
        <v>13219</v>
      </c>
    </row>
    <row r="49" spans="1:8" ht="46.5" customHeight="1" x14ac:dyDescent="0.15">
      <c r="A49" s="2">
        <v>1</v>
      </c>
      <c r="B49" s="2" t="s">
        <v>33</v>
      </c>
      <c r="E49" s="72"/>
      <c r="F49" s="73"/>
      <c r="G49" s="3">
        <f>39+200*2</f>
        <v>439</v>
      </c>
      <c r="H49" t="s">
        <v>142</v>
      </c>
    </row>
    <row r="50" spans="1:8" ht="46.5" customHeight="1" x14ac:dyDescent="0.15">
      <c r="A50" s="2">
        <v>2</v>
      </c>
      <c r="B50" s="2" t="s">
        <v>34</v>
      </c>
      <c r="C50" s="72"/>
      <c r="D50" s="73"/>
      <c r="E50" s="72"/>
      <c r="F50" s="73"/>
      <c r="G50" s="3"/>
    </row>
    <row r="51" spans="1:8" ht="29.25" customHeight="1" x14ac:dyDescent="0.15">
      <c r="B51" s="6" t="s">
        <v>140</v>
      </c>
      <c r="C51">
        <v>20</v>
      </c>
    </row>
  </sheetData>
  <mergeCells count="8">
    <mergeCell ref="C50:D50"/>
    <mergeCell ref="E50:F50"/>
    <mergeCell ref="C48:D48"/>
    <mergeCell ref="B1:B2"/>
    <mergeCell ref="A1:A2"/>
    <mergeCell ref="E48:F48"/>
    <mergeCell ref="E49:F49"/>
    <mergeCell ref="C1:G1"/>
  </mergeCells>
  <phoneticPr fontId="2" type="noConversion"/>
  <pageMargins left="0.7" right="0.7" top="0.75" bottom="0.75" header="0.3" footer="0.3"/>
  <pageSetup paperSize="9" scale="8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F860-519D-4897-8320-EF68DCBA0921}">
  <sheetPr>
    <pageSetUpPr fitToPage="1"/>
  </sheetPr>
  <dimension ref="A1:H63"/>
  <sheetViews>
    <sheetView topLeftCell="A16" workbookViewId="0">
      <selection activeCell="B59" sqref="B59"/>
    </sheetView>
  </sheetViews>
  <sheetFormatPr defaultRowHeight="13.5" x14ac:dyDescent="0.15"/>
  <cols>
    <col min="1" max="1" width="9" style="45"/>
    <col min="2" max="2" width="18" style="45" customWidth="1"/>
    <col min="3" max="3" width="9" style="50"/>
    <col min="4" max="5" width="9" style="45"/>
    <col min="6" max="6" width="16.375" style="45" customWidth="1"/>
    <col min="7" max="7" width="9" style="50"/>
    <col min="8" max="16384" width="9" style="45"/>
  </cols>
  <sheetData>
    <row r="1" spans="1:8" x14ac:dyDescent="0.15">
      <c r="A1" s="44"/>
      <c r="B1" s="93" t="s">
        <v>256</v>
      </c>
      <c r="C1" s="93"/>
      <c r="D1" s="93"/>
      <c r="E1" s="44"/>
      <c r="F1" s="93" t="s">
        <v>257</v>
      </c>
      <c r="G1" s="93"/>
      <c r="H1" s="93"/>
    </row>
    <row r="2" spans="1:8" x14ac:dyDescent="0.15">
      <c r="A2" s="44" t="s">
        <v>258</v>
      </c>
      <c r="B2" s="44" t="s">
        <v>259</v>
      </c>
      <c r="C2" s="46" t="s">
        <v>260</v>
      </c>
      <c r="D2" s="44" t="s">
        <v>261</v>
      </c>
      <c r="E2" s="44"/>
      <c r="F2" s="44" t="s">
        <v>259</v>
      </c>
      <c r="G2" s="46" t="s">
        <v>260</v>
      </c>
      <c r="H2" s="44" t="s">
        <v>261</v>
      </c>
    </row>
    <row r="3" spans="1:8" s="63" customFormat="1" x14ac:dyDescent="0.15">
      <c r="A3" s="57">
        <v>1</v>
      </c>
      <c r="B3" s="60" t="s">
        <v>262</v>
      </c>
      <c r="C3" s="59">
        <v>20</v>
      </c>
      <c r="D3" s="57" t="s">
        <v>263</v>
      </c>
      <c r="E3" s="57"/>
      <c r="F3" s="57" t="s">
        <v>264</v>
      </c>
      <c r="G3" s="60">
        <v>20</v>
      </c>
      <c r="H3" s="57" t="s">
        <v>263</v>
      </c>
    </row>
    <row r="4" spans="1:8" s="63" customFormat="1" x14ac:dyDescent="0.15">
      <c r="A4" s="57">
        <v>2</v>
      </c>
      <c r="B4" s="57" t="s">
        <v>265</v>
      </c>
      <c r="C4" s="59">
        <v>1</v>
      </c>
      <c r="D4" s="57" t="s">
        <v>263</v>
      </c>
      <c r="E4" s="57"/>
      <c r="F4" s="57" t="s">
        <v>266</v>
      </c>
      <c r="G4" s="60">
        <v>1</v>
      </c>
      <c r="H4" s="57" t="s">
        <v>263</v>
      </c>
    </row>
    <row r="5" spans="1:8" s="63" customFormat="1" x14ac:dyDescent="0.15">
      <c r="A5" s="57">
        <v>3</v>
      </c>
      <c r="B5" s="57" t="s">
        <v>267</v>
      </c>
      <c r="C5" s="59">
        <v>3</v>
      </c>
      <c r="D5" s="57" t="s">
        <v>263</v>
      </c>
      <c r="E5" s="57"/>
      <c r="F5" s="57" t="s">
        <v>268</v>
      </c>
      <c r="G5" s="60">
        <v>3</v>
      </c>
      <c r="H5" s="57" t="s">
        <v>263</v>
      </c>
    </row>
    <row r="6" spans="1:8" s="63" customFormat="1" x14ac:dyDescent="0.15">
      <c r="A6" s="57">
        <v>4</v>
      </c>
      <c r="B6" s="57" t="s">
        <v>269</v>
      </c>
      <c r="C6" s="59">
        <v>2</v>
      </c>
      <c r="D6" s="57" t="s">
        <v>263</v>
      </c>
      <c r="E6" s="57"/>
      <c r="F6" s="57" t="s">
        <v>270</v>
      </c>
      <c r="G6" s="60">
        <v>2</v>
      </c>
      <c r="H6" s="57" t="s">
        <v>263</v>
      </c>
    </row>
    <row r="7" spans="1:8" s="63" customFormat="1" x14ac:dyDescent="0.15">
      <c r="A7" s="57">
        <v>5</v>
      </c>
      <c r="B7" s="57" t="s">
        <v>271</v>
      </c>
      <c r="C7" s="59">
        <v>10</v>
      </c>
      <c r="D7" s="57" t="s">
        <v>263</v>
      </c>
      <c r="E7" s="57"/>
      <c r="F7" s="57" t="s">
        <v>272</v>
      </c>
      <c r="G7" s="60">
        <v>10</v>
      </c>
      <c r="H7" s="57" t="s">
        <v>263</v>
      </c>
    </row>
    <row r="8" spans="1:8" s="63" customFormat="1" x14ac:dyDescent="0.15">
      <c r="A8" s="57">
        <v>6</v>
      </c>
      <c r="B8" s="57" t="s">
        <v>273</v>
      </c>
      <c r="C8" s="59">
        <v>2</v>
      </c>
      <c r="D8" s="57" t="s">
        <v>263</v>
      </c>
      <c r="E8" s="57"/>
      <c r="F8" s="57" t="s">
        <v>274</v>
      </c>
      <c r="G8" s="60">
        <v>2</v>
      </c>
      <c r="H8" s="57" t="s">
        <v>263</v>
      </c>
    </row>
    <row r="9" spans="1:8" x14ac:dyDescent="0.15">
      <c r="A9" s="44">
        <v>7</v>
      </c>
      <c r="B9" s="44" t="s">
        <v>275</v>
      </c>
      <c r="C9" s="47">
        <v>3</v>
      </c>
      <c r="D9" s="44" t="s">
        <v>263</v>
      </c>
      <c r="E9" s="44"/>
      <c r="F9" s="44" t="s">
        <v>247</v>
      </c>
      <c r="G9" s="46">
        <v>3</v>
      </c>
      <c r="H9" s="44" t="s">
        <v>263</v>
      </c>
    </row>
    <row r="10" spans="1:8" x14ac:dyDescent="0.15">
      <c r="A10" s="44">
        <v>8</v>
      </c>
      <c r="B10" s="44" t="s">
        <v>276</v>
      </c>
      <c r="C10" s="47">
        <v>10</v>
      </c>
      <c r="D10" s="44" t="s">
        <v>263</v>
      </c>
      <c r="E10" s="44"/>
      <c r="F10" s="44" t="s">
        <v>248</v>
      </c>
      <c r="G10" s="46">
        <v>10</v>
      </c>
      <c r="H10" s="44" t="s">
        <v>263</v>
      </c>
    </row>
    <row r="11" spans="1:8" x14ac:dyDescent="0.15">
      <c r="A11" s="44">
        <v>9</v>
      </c>
      <c r="B11" s="44" t="s">
        <v>277</v>
      </c>
      <c r="C11" s="47">
        <v>1</v>
      </c>
      <c r="D11" s="44" t="s">
        <v>263</v>
      </c>
      <c r="E11" s="44"/>
      <c r="F11" s="44" t="s">
        <v>249</v>
      </c>
      <c r="G11" s="46">
        <v>1</v>
      </c>
      <c r="H11" s="44" t="s">
        <v>263</v>
      </c>
    </row>
    <row r="12" spans="1:8" x14ac:dyDescent="0.15">
      <c r="A12" s="44">
        <v>10</v>
      </c>
      <c r="B12" s="44" t="s">
        <v>278</v>
      </c>
      <c r="C12" s="47">
        <v>4</v>
      </c>
      <c r="D12" s="44" t="s">
        <v>263</v>
      </c>
      <c r="E12" s="44"/>
      <c r="F12" s="44" t="s">
        <v>250</v>
      </c>
      <c r="G12" s="46">
        <v>4</v>
      </c>
      <c r="H12" s="44" t="s">
        <v>263</v>
      </c>
    </row>
    <row r="13" spans="1:8" x14ac:dyDescent="0.15">
      <c r="A13" s="44">
        <v>11</v>
      </c>
      <c r="B13" s="44" t="s">
        <v>279</v>
      </c>
      <c r="C13" s="47">
        <v>6</v>
      </c>
      <c r="D13" s="44" t="s">
        <v>263</v>
      </c>
      <c r="E13" s="44"/>
      <c r="F13" s="44" t="s">
        <v>251</v>
      </c>
      <c r="G13" s="46">
        <v>6</v>
      </c>
      <c r="H13" s="44" t="s">
        <v>263</v>
      </c>
    </row>
    <row r="14" spans="1:8" x14ac:dyDescent="0.15">
      <c r="A14" s="44">
        <v>12</v>
      </c>
      <c r="B14" s="44" t="s">
        <v>280</v>
      </c>
      <c r="C14" s="47">
        <v>1</v>
      </c>
      <c r="D14" s="44" t="s">
        <v>263</v>
      </c>
      <c r="E14" s="44"/>
      <c r="F14" s="44" t="s">
        <v>281</v>
      </c>
      <c r="G14" s="46">
        <v>1</v>
      </c>
      <c r="H14" s="44" t="s">
        <v>263</v>
      </c>
    </row>
    <row r="15" spans="1:8" x14ac:dyDescent="0.15">
      <c r="A15" s="44">
        <v>13</v>
      </c>
      <c r="B15" s="44" t="s">
        <v>282</v>
      </c>
      <c r="C15" s="47">
        <v>1</v>
      </c>
      <c r="D15" s="44" t="s">
        <v>263</v>
      </c>
      <c r="E15" s="44"/>
      <c r="F15" s="44" t="s">
        <v>283</v>
      </c>
      <c r="G15" s="46">
        <v>1</v>
      </c>
      <c r="H15" s="44" t="s">
        <v>263</v>
      </c>
    </row>
    <row r="16" spans="1:8" x14ac:dyDescent="0.15">
      <c r="A16" s="44">
        <v>14</v>
      </c>
      <c r="B16" s="44" t="s">
        <v>284</v>
      </c>
      <c r="C16" s="47">
        <v>1</v>
      </c>
      <c r="D16" s="44" t="s">
        <v>263</v>
      </c>
      <c r="E16" s="44"/>
      <c r="F16" s="44" t="s">
        <v>285</v>
      </c>
      <c r="G16" s="46">
        <v>1</v>
      </c>
      <c r="H16" s="44" t="s">
        <v>263</v>
      </c>
    </row>
    <row r="17" spans="1:8" x14ac:dyDescent="0.15">
      <c r="A17" s="44">
        <v>15</v>
      </c>
      <c r="B17" s="44" t="s">
        <v>286</v>
      </c>
      <c r="C17" s="47">
        <v>4</v>
      </c>
      <c r="D17" s="44" t="s">
        <v>263</v>
      </c>
      <c r="E17" s="44"/>
      <c r="F17" s="44" t="s">
        <v>287</v>
      </c>
      <c r="G17" s="46">
        <v>4</v>
      </c>
      <c r="H17" s="44" t="s">
        <v>263</v>
      </c>
    </row>
    <row r="18" spans="1:8" x14ac:dyDescent="0.15">
      <c r="A18" s="44">
        <v>16</v>
      </c>
      <c r="B18" s="44" t="s">
        <v>288</v>
      </c>
      <c r="C18" s="47">
        <v>1</v>
      </c>
      <c r="D18" s="44" t="s">
        <v>263</v>
      </c>
      <c r="E18" s="44"/>
      <c r="F18" s="44" t="s">
        <v>289</v>
      </c>
      <c r="G18" s="46">
        <v>1</v>
      </c>
      <c r="H18" s="44" t="s">
        <v>263</v>
      </c>
    </row>
    <row r="19" spans="1:8" x14ac:dyDescent="0.15">
      <c r="A19" s="44">
        <v>17</v>
      </c>
      <c r="B19" s="44" t="s">
        <v>290</v>
      </c>
      <c r="C19" s="47">
        <v>1</v>
      </c>
      <c r="D19" s="44" t="s">
        <v>263</v>
      </c>
      <c r="E19" s="44"/>
      <c r="F19" s="44" t="s">
        <v>291</v>
      </c>
      <c r="G19" s="46">
        <v>1</v>
      </c>
      <c r="H19" s="44" t="s">
        <v>263</v>
      </c>
    </row>
    <row r="20" spans="1:8" x14ac:dyDescent="0.15">
      <c r="A20" s="44">
        <v>18</v>
      </c>
      <c r="B20" s="44" t="s">
        <v>292</v>
      </c>
      <c r="C20" s="47">
        <v>1</v>
      </c>
      <c r="D20" s="44" t="s">
        <v>263</v>
      </c>
      <c r="E20" s="44"/>
      <c r="F20" s="44" t="s">
        <v>293</v>
      </c>
      <c r="G20" s="46">
        <v>1</v>
      </c>
      <c r="H20" s="44" t="s">
        <v>263</v>
      </c>
    </row>
    <row r="21" spans="1:8" s="63" customFormat="1" x14ac:dyDescent="0.15">
      <c r="A21" s="57">
        <v>19</v>
      </c>
      <c r="B21" s="57" t="s">
        <v>294</v>
      </c>
      <c r="C21" s="59">
        <v>4</v>
      </c>
      <c r="D21" s="57" t="s">
        <v>263</v>
      </c>
      <c r="E21" s="57"/>
      <c r="F21" s="57" t="s">
        <v>295</v>
      </c>
      <c r="G21" s="60">
        <v>4</v>
      </c>
      <c r="H21" s="57" t="s">
        <v>263</v>
      </c>
    </row>
    <row r="22" spans="1:8" s="63" customFormat="1" x14ac:dyDescent="0.15">
      <c r="A22" s="57">
        <v>20</v>
      </c>
      <c r="B22" s="57" t="s">
        <v>296</v>
      </c>
      <c r="C22" s="59">
        <v>2</v>
      </c>
      <c r="D22" s="57" t="s">
        <v>263</v>
      </c>
      <c r="E22" s="57"/>
      <c r="F22" s="57" t="s">
        <v>297</v>
      </c>
      <c r="G22" s="60">
        <v>2</v>
      </c>
      <c r="H22" s="57" t="s">
        <v>263</v>
      </c>
    </row>
    <row r="23" spans="1:8" s="63" customFormat="1" x14ac:dyDescent="0.15">
      <c r="A23" s="57">
        <v>21</v>
      </c>
      <c r="B23" s="57" t="s">
        <v>298</v>
      </c>
      <c r="C23" s="59">
        <v>7</v>
      </c>
      <c r="D23" s="57" t="s">
        <v>263</v>
      </c>
      <c r="E23" s="57"/>
      <c r="F23" s="57" t="s">
        <v>299</v>
      </c>
      <c r="G23" s="60">
        <v>7</v>
      </c>
      <c r="H23" s="57" t="s">
        <v>263</v>
      </c>
    </row>
    <row r="24" spans="1:8" s="63" customFormat="1" x14ac:dyDescent="0.15">
      <c r="A24" s="57">
        <v>22</v>
      </c>
      <c r="B24" s="57" t="s">
        <v>300</v>
      </c>
      <c r="C24" s="59">
        <v>3</v>
      </c>
      <c r="D24" s="57" t="s">
        <v>263</v>
      </c>
      <c r="E24" s="57"/>
      <c r="F24" s="57" t="s">
        <v>301</v>
      </c>
      <c r="G24" s="60">
        <v>3</v>
      </c>
      <c r="H24" s="57" t="s">
        <v>263</v>
      </c>
    </row>
    <row r="25" spans="1:8" s="63" customFormat="1" x14ac:dyDescent="0.15">
      <c r="A25" s="57">
        <v>23</v>
      </c>
      <c r="B25" s="57" t="s">
        <v>302</v>
      </c>
      <c r="C25" s="59">
        <v>17</v>
      </c>
      <c r="D25" s="57" t="s">
        <v>263</v>
      </c>
      <c r="E25" s="57"/>
      <c r="F25" s="57" t="s">
        <v>303</v>
      </c>
      <c r="G25" s="60">
        <v>17</v>
      </c>
      <c r="H25" s="57" t="s">
        <v>263</v>
      </c>
    </row>
    <row r="26" spans="1:8" x14ac:dyDescent="0.15">
      <c r="A26" s="44">
        <v>24</v>
      </c>
      <c r="B26" s="44" t="s">
        <v>304</v>
      </c>
      <c r="C26" s="47">
        <v>4</v>
      </c>
      <c r="D26" s="44" t="s">
        <v>263</v>
      </c>
      <c r="E26" s="44"/>
      <c r="F26" s="44" t="s">
        <v>305</v>
      </c>
      <c r="G26" s="46">
        <v>4</v>
      </c>
      <c r="H26" s="44" t="s">
        <v>263</v>
      </c>
    </row>
    <row r="27" spans="1:8" x14ac:dyDescent="0.15">
      <c r="A27" s="44">
        <v>25</v>
      </c>
      <c r="B27" s="44" t="s">
        <v>306</v>
      </c>
      <c r="C27" s="47">
        <v>5</v>
      </c>
      <c r="D27" s="44" t="s">
        <v>263</v>
      </c>
      <c r="E27" s="44"/>
      <c r="F27" s="44" t="s">
        <v>307</v>
      </c>
      <c r="G27" s="46">
        <v>5</v>
      </c>
      <c r="H27" s="44" t="s">
        <v>263</v>
      </c>
    </row>
    <row r="28" spans="1:8" x14ac:dyDescent="0.15">
      <c r="A28" s="44">
        <v>26</v>
      </c>
      <c r="B28" s="44" t="s">
        <v>308</v>
      </c>
      <c r="C28" s="47">
        <v>19</v>
      </c>
      <c r="D28" s="44" t="s">
        <v>263</v>
      </c>
      <c r="E28" s="44"/>
      <c r="F28" s="44" t="s">
        <v>309</v>
      </c>
      <c r="G28" s="46">
        <v>19</v>
      </c>
      <c r="H28" s="44" t="s">
        <v>263</v>
      </c>
    </row>
    <row r="29" spans="1:8" x14ac:dyDescent="0.15">
      <c r="A29" s="44">
        <v>27</v>
      </c>
      <c r="B29" s="44" t="s">
        <v>310</v>
      </c>
      <c r="C29" s="47">
        <v>7</v>
      </c>
      <c r="D29" s="44" t="s">
        <v>263</v>
      </c>
      <c r="E29" s="44"/>
      <c r="F29" s="44" t="s">
        <v>311</v>
      </c>
      <c r="G29" s="46">
        <v>7</v>
      </c>
      <c r="H29" s="44" t="s">
        <v>263</v>
      </c>
    </row>
    <row r="30" spans="1:8" x14ac:dyDescent="0.15">
      <c r="A30" s="44">
        <v>28</v>
      </c>
      <c r="B30" s="44" t="s">
        <v>312</v>
      </c>
      <c r="C30" s="47">
        <v>25</v>
      </c>
      <c r="D30" s="44" t="s">
        <v>263</v>
      </c>
      <c r="E30" s="44"/>
      <c r="F30" s="44" t="s">
        <v>313</v>
      </c>
      <c r="G30" s="46">
        <v>25</v>
      </c>
      <c r="H30" s="44" t="s">
        <v>263</v>
      </c>
    </row>
    <row r="31" spans="1:8" x14ac:dyDescent="0.15">
      <c r="A31" s="44">
        <v>29</v>
      </c>
      <c r="B31" s="44" t="s">
        <v>314</v>
      </c>
      <c r="C31" s="47">
        <v>6</v>
      </c>
      <c r="D31" s="44" t="s">
        <v>263</v>
      </c>
      <c r="E31" s="44"/>
      <c r="F31" s="44" t="s">
        <v>315</v>
      </c>
      <c r="G31" s="46">
        <v>6</v>
      </c>
      <c r="H31" s="44" t="s">
        <v>263</v>
      </c>
    </row>
    <row r="32" spans="1:8" x14ac:dyDescent="0.15">
      <c r="A32" s="44">
        <v>30</v>
      </c>
      <c r="B32" s="44" t="s">
        <v>316</v>
      </c>
      <c r="C32" s="47">
        <v>6</v>
      </c>
      <c r="D32" s="44" t="s">
        <v>263</v>
      </c>
      <c r="E32" s="44"/>
      <c r="F32" s="44" t="s">
        <v>317</v>
      </c>
      <c r="G32" s="46">
        <v>6</v>
      </c>
      <c r="H32" s="44" t="s">
        <v>263</v>
      </c>
    </row>
    <row r="33" spans="1:8" x14ac:dyDescent="0.15">
      <c r="A33" s="51">
        <v>31</v>
      </c>
      <c r="B33" s="55" t="s">
        <v>318</v>
      </c>
      <c r="C33" s="53">
        <v>16</v>
      </c>
      <c r="D33" s="51" t="s">
        <v>263</v>
      </c>
      <c r="E33" s="51"/>
    </row>
    <row r="34" spans="1:8" x14ac:dyDescent="0.15">
      <c r="A34" s="57">
        <v>32</v>
      </c>
      <c r="B34" s="64" t="s">
        <v>320</v>
      </c>
      <c r="C34" s="59">
        <v>360</v>
      </c>
      <c r="D34" s="57" t="s">
        <v>263</v>
      </c>
      <c r="E34" s="57"/>
      <c r="F34" s="57" t="s">
        <v>362</v>
      </c>
      <c r="G34" s="60">
        <v>360</v>
      </c>
      <c r="H34" s="57" t="s">
        <v>263</v>
      </c>
    </row>
    <row r="35" spans="1:8" x14ac:dyDescent="0.15">
      <c r="A35" s="51">
        <v>33</v>
      </c>
      <c r="B35" s="51" t="s">
        <v>322</v>
      </c>
      <c r="C35" s="53">
        <v>2</v>
      </c>
      <c r="D35" s="51" t="s">
        <v>263</v>
      </c>
      <c r="E35" s="51"/>
      <c r="F35" s="51" t="s">
        <v>319</v>
      </c>
      <c r="G35" s="52">
        <v>2</v>
      </c>
      <c r="H35" s="51" t="s">
        <v>263</v>
      </c>
    </row>
    <row r="36" spans="1:8" x14ac:dyDescent="0.15">
      <c r="A36" s="51">
        <v>34</v>
      </c>
      <c r="B36" s="56" t="s">
        <v>324</v>
      </c>
      <c r="C36" s="53">
        <v>4</v>
      </c>
      <c r="D36" s="51" t="s">
        <v>263</v>
      </c>
      <c r="E36" s="51"/>
    </row>
    <row r="37" spans="1:8" x14ac:dyDescent="0.15">
      <c r="A37" s="57">
        <v>35</v>
      </c>
      <c r="B37" s="58" t="s">
        <v>326</v>
      </c>
      <c r="C37" s="59">
        <v>1</v>
      </c>
      <c r="D37" s="57" t="s">
        <v>263</v>
      </c>
      <c r="E37" s="57"/>
    </row>
    <row r="38" spans="1:8" x14ac:dyDescent="0.15">
      <c r="A38" s="57">
        <v>36</v>
      </c>
      <c r="B38" s="57" t="s">
        <v>328</v>
      </c>
      <c r="C38" s="59">
        <v>2</v>
      </c>
      <c r="D38" s="57" t="s">
        <v>263</v>
      </c>
      <c r="E38" s="57"/>
      <c r="F38" s="57" t="s">
        <v>321</v>
      </c>
      <c r="G38" s="60">
        <v>2</v>
      </c>
      <c r="H38" s="57" t="s">
        <v>263</v>
      </c>
    </row>
    <row r="39" spans="1:8" x14ac:dyDescent="0.15">
      <c r="A39" s="44">
        <v>37</v>
      </c>
      <c r="B39" s="44" t="s">
        <v>372</v>
      </c>
      <c r="C39" s="47">
        <v>2</v>
      </c>
      <c r="D39" s="44" t="s">
        <v>263</v>
      </c>
      <c r="E39" s="44"/>
      <c r="F39" s="44" t="s">
        <v>323</v>
      </c>
      <c r="G39" s="46">
        <v>2</v>
      </c>
      <c r="H39" s="44" t="s">
        <v>263</v>
      </c>
    </row>
    <row r="40" spans="1:8" x14ac:dyDescent="0.15">
      <c r="A40" s="44">
        <v>38</v>
      </c>
      <c r="B40" s="44" t="s">
        <v>331</v>
      </c>
      <c r="C40" s="47">
        <v>4</v>
      </c>
      <c r="D40" s="44" t="s">
        <v>263</v>
      </c>
      <c r="E40" s="44"/>
      <c r="F40" s="44" t="s">
        <v>325</v>
      </c>
      <c r="G40" s="46">
        <v>4</v>
      </c>
      <c r="H40" s="44" t="s">
        <v>263</v>
      </c>
    </row>
    <row r="41" spans="1:8" x14ac:dyDescent="0.15">
      <c r="A41" s="44">
        <v>39</v>
      </c>
      <c r="B41" s="49" t="s">
        <v>333</v>
      </c>
      <c r="C41" s="47">
        <v>1030</v>
      </c>
      <c r="D41" s="44" t="s">
        <v>263</v>
      </c>
      <c r="E41" s="44"/>
      <c r="F41" s="48" t="s">
        <v>327</v>
      </c>
      <c r="G41" s="46">
        <v>1030</v>
      </c>
      <c r="H41" s="44" t="s">
        <v>263</v>
      </c>
    </row>
    <row r="42" spans="1:8" x14ac:dyDescent="0.15">
      <c r="A42" s="44">
        <v>40</v>
      </c>
      <c r="B42" s="44" t="s">
        <v>335</v>
      </c>
      <c r="C42" s="47">
        <v>1</v>
      </c>
      <c r="D42" s="44" t="s">
        <v>263</v>
      </c>
      <c r="E42" s="44"/>
      <c r="F42" s="44" t="s">
        <v>329</v>
      </c>
      <c r="G42" s="46">
        <v>1</v>
      </c>
      <c r="H42" s="44" t="s">
        <v>263</v>
      </c>
    </row>
    <row r="43" spans="1:8" x14ac:dyDescent="0.15">
      <c r="A43" s="44">
        <v>41</v>
      </c>
      <c r="B43" s="44" t="s">
        <v>337</v>
      </c>
      <c r="C43" s="47">
        <v>1</v>
      </c>
      <c r="D43" s="44" t="s">
        <v>263</v>
      </c>
      <c r="E43" s="44"/>
      <c r="F43" s="44" t="s">
        <v>330</v>
      </c>
      <c r="G43" s="46">
        <v>1</v>
      </c>
      <c r="H43" s="44" t="s">
        <v>263</v>
      </c>
    </row>
    <row r="44" spans="1:8" x14ac:dyDescent="0.15">
      <c r="A44" s="44">
        <v>42</v>
      </c>
      <c r="B44" s="44" t="s">
        <v>339</v>
      </c>
      <c r="C44" s="47">
        <v>1</v>
      </c>
      <c r="D44" s="44" t="s">
        <v>263</v>
      </c>
      <c r="E44" s="44"/>
      <c r="F44" s="44" t="s">
        <v>332</v>
      </c>
      <c r="G44" s="46">
        <v>1</v>
      </c>
      <c r="H44" s="44" t="s">
        <v>263</v>
      </c>
    </row>
    <row r="45" spans="1:8" x14ac:dyDescent="0.15">
      <c r="A45" s="57">
        <v>43</v>
      </c>
      <c r="B45" s="57" t="s">
        <v>341</v>
      </c>
      <c r="C45" s="59">
        <v>20</v>
      </c>
      <c r="D45" s="57" t="s">
        <v>263</v>
      </c>
      <c r="E45" s="57"/>
      <c r="F45" s="57" t="s">
        <v>334</v>
      </c>
      <c r="G45" s="60">
        <v>20</v>
      </c>
      <c r="H45" s="57" t="s">
        <v>263</v>
      </c>
    </row>
    <row r="46" spans="1:8" x14ac:dyDescent="0.15">
      <c r="A46" s="57">
        <v>44</v>
      </c>
      <c r="B46" s="57" t="s">
        <v>343</v>
      </c>
      <c r="C46" s="59">
        <v>20</v>
      </c>
      <c r="D46" s="57" t="s">
        <v>263</v>
      </c>
      <c r="E46" s="57"/>
      <c r="F46" s="57" t="s">
        <v>336</v>
      </c>
      <c r="G46" s="60">
        <v>20</v>
      </c>
      <c r="H46" s="57" t="s">
        <v>263</v>
      </c>
    </row>
    <row r="47" spans="1:8" x14ac:dyDescent="0.15">
      <c r="A47" s="44">
        <v>45</v>
      </c>
      <c r="B47" s="44" t="s">
        <v>345</v>
      </c>
      <c r="C47" s="47">
        <v>43</v>
      </c>
      <c r="D47" s="44" t="s">
        <v>263</v>
      </c>
      <c r="E47" s="44"/>
      <c r="F47" s="44" t="s">
        <v>338</v>
      </c>
      <c r="G47" s="46">
        <v>43</v>
      </c>
      <c r="H47" s="44" t="s">
        <v>263</v>
      </c>
    </row>
    <row r="48" spans="1:8" x14ac:dyDescent="0.15">
      <c r="A48" s="44">
        <v>46</v>
      </c>
      <c r="B48" s="44" t="s">
        <v>347</v>
      </c>
      <c r="C48" s="47">
        <v>2</v>
      </c>
      <c r="D48" s="44" t="s">
        <v>263</v>
      </c>
      <c r="E48" s="44"/>
      <c r="F48" s="44" t="s">
        <v>340</v>
      </c>
      <c r="G48" s="46">
        <v>2</v>
      </c>
      <c r="H48" s="44" t="s">
        <v>263</v>
      </c>
    </row>
    <row r="49" spans="1:8" x14ac:dyDescent="0.15">
      <c r="A49" s="44">
        <v>47</v>
      </c>
      <c r="B49" s="44" t="s">
        <v>349</v>
      </c>
      <c r="C49" s="47">
        <v>7</v>
      </c>
      <c r="D49" s="44" t="s">
        <v>263</v>
      </c>
      <c r="E49" s="44"/>
      <c r="F49" s="44" t="s">
        <v>342</v>
      </c>
      <c r="G49" s="46">
        <v>7</v>
      </c>
      <c r="H49" s="44" t="s">
        <v>263</v>
      </c>
    </row>
    <row r="50" spans="1:8" x14ac:dyDescent="0.15">
      <c r="A50" s="44">
        <v>48</v>
      </c>
      <c r="B50" s="44" t="s">
        <v>351</v>
      </c>
      <c r="C50" s="47">
        <v>10</v>
      </c>
      <c r="D50" s="44" t="s">
        <v>263</v>
      </c>
      <c r="E50" s="44"/>
      <c r="F50" s="44" t="s">
        <v>344</v>
      </c>
      <c r="G50" s="46">
        <v>10</v>
      </c>
      <c r="H50" s="44" t="s">
        <v>263</v>
      </c>
    </row>
    <row r="51" spans="1:8" x14ac:dyDescent="0.15">
      <c r="A51" s="44">
        <v>49</v>
      </c>
      <c r="B51" s="44" t="s">
        <v>353</v>
      </c>
      <c r="C51" s="47">
        <v>3</v>
      </c>
      <c r="D51" s="44" t="s">
        <v>263</v>
      </c>
      <c r="E51" s="44"/>
      <c r="F51" s="44" t="s">
        <v>346</v>
      </c>
      <c r="G51" s="46">
        <v>3</v>
      </c>
      <c r="H51" s="44" t="s">
        <v>263</v>
      </c>
    </row>
    <row r="52" spans="1:8" x14ac:dyDescent="0.15">
      <c r="A52" s="44">
        <v>50</v>
      </c>
      <c r="B52" s="44" t="s">
        <v>355</v>
      </c>
      <c r="C52" s="47">
        <v>4</v>
      </c>
      <c r="D52" s="44" t="s">
        <v>263</v>
      </c>
      <c r="E52" s="44"/>
      <c r="F52" s="44" t="s">
        <v>348</v>
      </c>
      <c r="G52" s="46">
        <v>4</v>
      </c>
      <c r="H52" s="44" t="s">
        <v>263</v>
      </c>
    </row>
    <row r="53" spans="1:8" x14ac:dyDescent="0.15">
      <c r="A53" s="44">
        <v>51</v>
      </c>
      <c r="B53" s="44" t="s">
        <v>357</v>
      </c>
      <c r="C53" s="47">
        <v>2</v>
      </c>
      <c r="D53" s="44" t="s">
        <v>263</v>
      </c>
      <c r="E53" s="44"/>
      <c r="F53" s="44" t="s">
        <v>350</v>
      </c>
      <c r="G53" s="46">
        <v>2</v>
      </c>
      <c r="H53" s="44" t="s">
        <v>263</v>
      </c>
    </row>
    <row r="54" spans="1:8" x14ac:dyDescent="0.15">
      <c r="A54" s="44">
        <v>52</v>
      </c>
      <c r="B54" s="44" t="s">
        <v>359</v>
      </c>
      <c r="C54" s="47">
        <v>1</v>
      </c>
      <c r="D54" s="44" t="s">
        <v>263</v>
      </c>
      <c r="E54" s="44"/>
      <c r="F54" s="44" t="s">
        <v>352</v>
      </c>
      <c r="G54" s="46">
        <v>1</v>
      </c>
      <c r="H54" s="44" t="s">
        <v>263</v>
      </c>
    </row>
    <row r="55" spans="1:8" x14ac:dyDescent="0.15">
      <c r="A55" s="44">
        <v>53</v>
      </c>
      <c r="B55" s="44" t="s">
        <v>361</v>
      </c>
      <c r="C55" s="47">
        <v>1</v>
      </c>
      <c r="D55" s="44" t="s">
        <v>263</v>
      </c>
      <c r="E55" s="44"/>
      <c r="F55" s="44" t="s">
        <v>354</v>
      </c>
      <c r="G55" s="46">
        <v>1</v>
      </c>
      <c r="H55" s="44" t="s">
        <v>263</v>
      </c>
    </row>
    <row r="56" spans="1:8" x14ac:dyDescent="0.15">
      <c r="A56" s="44">
        <v>54</v>
      </c>
      <c r="B56" s="44" t="s">
        <v>212</v>
      </c>
      <c r="C56" s="47">
        <v>8</v>
      </c>
      <c r="D56" s="44" t="s">
        <v>263</v>
      </c>
      <c r="E56" s="44"/>
      <c r="F56" s="44" t="s">
        <v>356</v>
      </c>
      <c r="G56" s="46">
        <v>8</v>
      </c>
      <c r="H56" s="44" t="s">
        <v>263</v>
      </c>
    </row>
    <row r="57" spans="1:8" x14ac:dyDescent="0.15">
      <c r="A57" s="57">
        <v>55</v>
      </c>
      <c r="B57" s="57" t="s">
        <v>363</v>
      </c>
      <c r="C57" s="59">
        <v>1866</v>
      </c>
      <c r="D57" s="57" t="s">
        <v>263</v>
      </c>
      <c r="E57" s="57"/>
      <c r="F57" s="57" t="s">
        <v>358</v>
      </c>
      <c r="G57" s="60">
        <v>1866</v>
      </c>
      <c r="H57" s="57" t="s">
        <v>263</v>
      </c>
    </row>
    <row r="58" spans="1:8" s="63" customFormat="1" x14ac:dyDescent="0.15">
      <c r="A58" s="57">
        <v>56</v>
      </c>
      <c r="B58" s="57" t="s">
        <v>364</v>
      </c>
      <c r="C58" s="59">
        <v>4385</v>
      </c>
      <c r="D58" s="57" t="s">
        <v>263</v>
      </c>
      <c r="E58" s="57">
        <v>400</v>
      </c>
      <c r="G58" s="71"/>
    </row>
    <row r="59" spans="1:8" x14ac:dyDescent="0.15">
      <c r="A59" s="68">
        <v>57</v>
      </c>
      <c r="B59" s="68" t="s">
        <v>365</v>
      </c>
      <c r="C59" s="69">
        <v>1590</v>
      </c>
      <c r="D59" s="70" t="s">
        <v>263</v>
      </c>
      <c r="E59" s="44" t="s">
        <v>393</v>
      </c>
      <c r="F59" s="44"/>
      <c r="G59" s="46"/>
      <c r="H59" s="44"/>
    </row>
    <row r="60" spans="1:8" x14ac:dyDescent="0.15">
      <c r="A60" s="57">
        <v>58</v>
      </c>
      <c r="B60" s="57" t="s">
        <v>360</v>
      </c>
      <c r="C60" s="59">
        <v>11666</v>
      </c>
      <c r="D60" s="57" t="s">
        <v>263</v>
      </c>
      <c r="E60" s="57"/>
      <c r="F60" s="57" t="s">
        <v>360</v>
      </c>
      <c r="G60" s="59">
        <v>11666</v>
      </c>
      <c r="H60" s="57" t="s">
        <v>263</v>
      </c>
    </row>
    <row r="61" spans="1:8" x14ac:dyDescent="0.15">
      <c r="A61" s="44">
        <v>59</v>
      </c>
      <c r="B61" s="44" t="s">
        <v>366</v>
      </c>
      <c r="C61" s="47">
        <v>200</v>
      </c>
      <c r="D61" s="44" t="s">
        <v>367</v>
      </c>
      <c r="E61" s="44"/>
      <c r="F61" s="44"/>
      <c r="G61" s="46"/>
      <c r="H61" s="44"/>
    </row>
    <row r="62" spans="1:8" x14ac:dyDescent="0.15">
      <c r="A62" s="57">
        <v>60</v>
      </c>
      <c r="B62" s="57" t="s">
        <v>368</v>
      </c>
      <c r="C62" s="59">
        <v>30</v>
      </c>
      <c r="D62" s="57" t="s">
        <v>367</v>
      </c>
      <c r="E62" s="44"/>
      <c r="F62" s="44"/>
      <c r="G62" s="46"/>
      <c r="H62" s="44"/>
    </row>
    <row r="63" spans="1:8" x14ac:dyDescent="0.15">
      <c r="A63" s="57">
        <v>61</v>
      </c>
      <c r="B63" s="57" t="s">
        <v>389</v>
      </c>
      <c r="C63" s="59">
        <v>160</v>
      </c>
      <c r="D63" s="57" t="s">
        <v>263</v>
      </c>
      <c r="E63" s="44"/>
      <c r="F63" s="44"/>
      <c r="G63" s="46"/>
      <c r="H63" s="44"/>
    </row>
  </sheetData>
  <mergeCells count="2">
    <mergeCell ref="B1:D1"/>
    <mergeCell ref="F1:H1"/>
  </mergeCells>
  <phoneticPr fontId="2" type="noConversion"/>
  <conditionalFormatting sqref="H6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{D1A56B67-8F96-4178-9C27-92200E5822AD}</x14:id>
        </ext>
      </extLst>
    </cfRule>
  </conditionalFormatting>
  <pageMargins left="0.7" right="0.7" top="0.75" bottom="0.75" header="0.3" footer="0.3"/>
  <pageSetup paperSize="9" scale="96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1A56B67-8F96-4178-9C27-92200E5822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7"/>
  <sheetViews>
    <sheetView workbookViewId="0">
      <pane xSplit="2" ySplit="2" topLeftCell="C38" activePane="bottomRight" state="frozen"/>
      <selection activeCell="D44" sqref="D44"/>
      <selection pane="topRight" activeCell="D44" sqref="D44"/>
      <selection pane="bottomLeft" activeCell="D44" sqref="D44"/>
      <selection pane="bottomRight" activeCell="D44" sqref="D44"/>
    </sheetView>
  </sheetViews>
  <sheetFormatPr defaultRowHeight="29.25" customHeight="1" x14ac:dyDescent="0.15"/>
  <cols>
    <col min="1" max="1" width="5.125" customWidth="1"/>
    <col min="3" max="7" width="16.875" customWidth="1"/>
    <col min="8" max="12" width="8.625" customWidth="1"/>
    <col min="13" max="13" width="11.75" customWidth="1"/>
  </cols>
  <sheetData>
    <row r="1" spans="1:14" ht="13.5" customHeight="1" x14ac:dyDescent="0.15">
      <c r="A1" s="74" t="s">
        <v>48</v>
      </c>
      <c r="B1" s="74" t="s">
        <v>49</v>
      </c>
      <c r="C1" s="74" t="s">
        <v>50</v>
      </c>
      <c r="D1" s="74"/>
      <c r="E1" s="74"/>
      <c r="F1" s="74"/>
      <c r="G1" s="74"/>
      <c r="H1" s="4"/>
      <c r="I1" s="4"/>
      <c r="J1" s="4"/>
      <c r="K1" s="4"/>
      <c r="L1" s="4"/>
      <c r="M1" s="74" t="s">
        <v>51</v>
      </c>
      <c r="N1" s="75" t="s">
        <v>52</v>
      </c>
    </row>
    <row r="2" spans="1:14" ht="15" customHeight="1" x14ac:dyDescent="0.15">
      <c r="A2" s="74"/>
      <c r="B2" s="74"/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74"/>
      <c r="N2" s="75"/>
    </row>
    <row r="3" spans="1:14" ht="55.5" customHeight="1" x14ac:dyDescent="0.15">
      <c r="A3" s="4">
        <v>1</v>
      </c>
      <c r="B3" s="4" t="s">
        <v>63</v>
      </c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>
        <f t="shared" ref="N3:N9" si="0">SUM(C3:M3)</f>
        <v>0</v>
      </c>
    </row>
    <row r="4" spans="1:14" ht="55.5" customHeight="1" x14ac:dyDescent="0.15">
      <c r="A4" s="4">
        <v>2</v>
      </c>
      <c r="B4" s="4" t="s">
        <v>64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>
        <f t="shared" si="0"/>
        <v>0</v>
      </c>
    </row>
    <row r="5" spans="1:14" ht="55.5" customHeight="1" x14ac:dyDescent="0.15">
      <c r="A5" s="4">
        <v>3</v>
      </c>
      <c r="B5" s="4" t="s">
        <v>65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>
        <f t="shared" si="0"/>
        <v>0</v>
      </c>
    </row>
    <row r="6" spans="1:14" ht="55.5" customHeight="1" x14ac:dyDescent="0.15">
      <c r="A6" s="4">
        <v>4</v>
      </c>
      <c r="B6" s="4" t="s">
        <v>66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>
        <f t="shared" si="0"/>
        <v>0</v>
      </c>
    </row>
    <row r="7" spans="1:14" ht="55.5" customHeight="1" x14ac:dyDescent="0.15">
      <c r="A7" s="4">
        <v>5</v>
      </c>
      <c r="B7" s="4" t="s">
        <v>67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>
        <f t="shared" si="0"/>
        <v>0</v>
      </c>
    </row>
    <row r="8" spans="1:14" ht="55.5" customHeight="1" x14ac:dyDescent="0.15">
      <c r="A8" s="4">
        <v>6</v>
      </c>
      <c r="B8" s="4" t="s">
        <v>68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>
        <f t="shared" si="0"/>
        <v>0</v>
      </c>
    </row>
    <row r="9" spans="1:14" ht="55.5" customHeight="1" x14ac:dyDescent="0.15">
      <c r="A9" s="4">
        <v>7</v>
      </c>
      <c r="B9" s="4" t="s">
        <v>69</v>
      </c>
      <c r="C9" s="4"/>
      <c r="D9" s="4">
        <v>2</v>
      </c>
      <c r="E9" s="4">
        <v>1</v>
      </c>
      <c r="F9" s="4">
        <v>1</v>
      </c>
      <c r="G9" s="4"/>
      <c r="H9" s="4"/>
      <c r="I9" s="4"/>
      <c r="J9" s="4"/>
      <c r="K9" s="4"/>
      <c r="L9" s="4"/>
      <c r="M9" s="4"/>
      <c r="N9">
        <f t="shared" si="0"/>
        <v>4</v>
      </c>
    </row>
    <row r="10" spans="1:14" ht="55.5" customHeight="1" x14ac:dyDescent="0.15">
      <c r="A10" s="4">
        <v>8</v>
      </c>
      <c r="B10" s="4" t="s">
        <v>70</v>
      </c>
      <c r="C10" s="4">
        <v>1521</v>
      </c>
      <c r="D10" s="4">
        <v>131</v>
      </c>
      <c r="E10" s="4">
        <v>28</v>
      </c>
      <c r="F10" s="4">
        <v>46</v>
      </c>
      <c r="G10" s="4">
        <v>7</v>
      </c>
      <c r="H10" s="4"/>
      <c r="I10" s="4"/>
      <c r="J10" s="4"/>
      <c r="K10" s="4"/>
      <c r="L10" s="4"/>
      <c r="M10" s="4"/>
      <c r="N10">
        <f>SUM(C10:M10)</f>
        <v>1733</v>
      </c>
    </row>
    <row r="11" spans="1:14" ht="55.5" customHeight="1" x14ac:dyDescent="0.15">
      <c r="A11" s="4">
        <v>9</v>
      </c>
      <c r="B11" s="4" t="s">
        <v>71</v>
      </c>
      <c r="C11" s="4">
        <v>162</v>
      </c>
      <c r="D11" s="4">
        <v>19</v>
      </c>
      <c r="E11" s="4">
        <v>83</v>
      </c>
      <c r="F11" s="4">
        <v>47</v>
      </c>
      <c r="G11" s="4">
        <v>3</v>
      </c>
      <c r="H11" s="4"/>
      <c r="I11" s="4"/>
      <c r="J11" s="4"/>
      <c r="K11" s="4"/>
      <c r="L11" s="4"/>
      <c r="M11" s="4"/>
      <c r="N11">
        <f t="shared" ref="N11:N35" si="1">SUM(C11:M11)</f>
        <v>314</v>
      </c>
    </row>
    <row r="12" spans="1:14" ht="55.5" customHeight="1" x14ac:dyDescent="0.15">
      <c r="A12" s="4">
        <v>10</v>
      </c>
      <c r="B12" s="4" t="s">
        <v>72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>
        <f t="shared" si="1"/>
        <v>0</v>
      </c>
    </row>
    <row r="13" spans="1:14" ht="55.5" customHeight="1" x14ac:dyDescent="0.15">
      <c r="A13" s="4">
        <v>11</v>
      </c>
      <c r="B13" s="4" t="s">
        <v>73</v>
      </c>
      <c r="C13" s="4">
        <v>14</v>
      </c>
      <c r="D13" s="4">
        <v>15</v>
      </c>
      <c r="E13" s="4"/>
      <c r="F13" s="4"/>
      <c r="G13" s="4"/>
      <c r="H13" s="4"/>
      <c r="I13" s="4"/>
      <c r="J13" s="4"/>
      <c r="K13" s="4"/>
      <c r="L13" s="4"/>
      <c r="M13" s="4"/>
      <c r="N13">
        <f t="shared" si="1"/>
        <v>29</v>
      </c>
    </row>
    <row r="14" spans="1:14" ht="55.5" customHeight="1" x14ac:dyDescent="0.15">
      <c r="A14" s="4">
        <v>12</v>
      </c>
      <c r="B14" s="4" t="s">
        <v>74</v>
      </c>
      <c r="C14" s="4"/>
      <c r="D14" s="4">
        <v>12</v>
      </c>
      <c r="E14" s="4">
        <v>6</v>
      </c>
      <c r="F14" s="4"/>
      <c r="G14" s="4"/>
      <c r="H14" s="4"/>
      <c r="I14" s="4"/>
      <c r="J14" s="4"/>
      <c r="K14" s="4"/>
      <c r="L14" s="4"/>
      <c r="M14" s="4"/>
      <c r="N14">
        <f t="shared" si="1"/>
        <v>18</v>
      </c>
    </row>
    <row r="15" spans="1:14" ht="55.5" customHeight="1" x14ac:dyDescent="0.15">
      <c r="A15" s="4">
        <v>13</v>
      </c>
      <c r="B15" s="4" t="s">
        <v>75</v>
      </c>
      <c r="C15" s="4"/>
      <c r="D15" s="4"/>
      <c r="E15" s="4">
        <v>2</v>
      </c>
      <c r="F15" s="4"/>
      <c r="G15" s="4"/>
      <c r="H15" s="4"/>
      <c r="I15" s="4"/>
      <c r="J15" s="4"/>
      <c r="K15" s="4"/>
      <c r="L15" s="4"/>
      <c r="M15" s="4"/>
      <c r="N15">
        <f t="shared" si="1"/>
        <v>2</v>
      </c>
    </row>
    <row r="16" spans="1:14" ht="55.5" customHeight="1" x14ac:dyDescent="0.15">
      <c r="A16" s="4">
        <v>14</v>
      </c>
      <c r="B16" s="4" t="s">
        <v>76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>
        <f t="shared" si="1"/>
        <v>0</v>
      </c>
    </row>
    <row r="17" spans="1:14" ht="55.5" customHeight="1" x14ac:dyDescent="0.15">
      <c r="A17" s="4">
        <v>15</v>
      </c>
      <c r="B17" s="4" t="s">
        <v>77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>
        <f t="shared" si="1"/>
        <v>0</v>
      </c>
    </row>
    <row r="18" spans="1:14" ht="55.5" customHeight="1" x14ac:dyDescent="0.15">
      <c r="A18" s="4">
        <v>16</v>
      </c>
      <c r="B18" s="4" t="s">
        <v>78</v>
      </c>
      <c r="C18" s="4">
        <v>30</v>
      </c>
      <c r="D18" s="4">
        <v>74</v>
      </c>
      <c r="E18" s="4">
        <v>19</v>
      </c>
      <c r="F18" s="4">
        <v>22</v>
      </c>
      <c r="G18" s="4">
        <v>4</v>
      </c>
      <c r="H18" s="4"/>
      <c r="I18" s="4"/>
      <c r="J18" s="4"/>
      <c r="K18" s="4"/>
      <c r="L18" s="4"/>
      <c r="M18" s="4"/>
      <c r="N18">
        <f t="shared" si="1"/>
        <v>149</v>
      </c>
    </row>
    <row r="19" spans="1:14" ht="55.5" customHeight="1" x14ac:dyDescent="0.15">
      <c r="A19" s="4">
        <v>17</v>
      </c>
      <c r="B19" s="4" t="s">
        <v>79</v>
      </c>
      <c r="C19" s="4">
        <v>63</v>
      </c>
      <c r="D19" s="4">
        <v>70</v>
      </c>
      <c r="E19" s="4">
        <v>121</v>
      </c>
      <c r="F19" s="4">
        <v>235</v>
      </c>
      <c r="G19" s="4">
        <v>160</v>
      </c>
      <c r="H19" s="4">
        <v>11</v>
      </c>
      <c r="I19" s="4">
        <v>10</v>
      </c>
      <c r="J19" s="4">
        <v>1</v>
      </c>
      <c r="K19" s="4">
        <v>2</v>
      </c>
      <c r="L19" s="4">
        <v>1</v>
      </c>
      <c r="M19" s="4"/>
      <c r="N19">
        <f t="shared" si="1"/>
        <v>674</v>
      </c>
    </row>
    <row r="20" spans="1:14" ht="55.5" customHeight="1" x14ac:dyDescent="0.15">
      <c r="A20" s="4">
        <v>18</v>
      </c>
      <c r="B20" s="4" t="s">
        <v>80</v>
      </c>
      <c r="C20" s="4">
        <v>8</v>
      </c>
      <c r="D20" s="4">
        <v>20</v>
      </c>
      <c r="E20" s="4">
        <v>40</v>
      </c>
      <c r="F20" s="4">
        <v>19</v>
      </c>
      <c r="G20" s="4">
        <v>39</v>
      </c>
      <c r="H20" s="4">
        <v>44</v>
      </c>
      <c r="I20" s="4">
        <v>8</v>
      </c>
      <c r="J20" s="4">
        <v>1</v>
      </c>
      <c r="K20" s="4"/>
      <c r="L20" s="4"/>
      <c r="M20" s="4"/>
      <c r="N20">
        <f t="shared" si="1"/>
        <v>179</v>
      </c>
    </row>
    <row r="21" spans="1:14" ht="55.5" customHeight="1" x14ac:dyDescent="0.15">
      <c r="A21" s="4">
        <v>19</v>
      </c>
      <c r="B21" s="4" t="s">
        <v>81</v>
      </c>
      <c r="C21" s="4">
        <v>17</v>
      </c>
      <c r="D21" s="4">
        <v>21</v>
      </c>
      <c r="E21" s="4">
        <v>18</v>
      </c>
      <c r="F21" s="4">
        <v>22</v>
      </c>
      <c r="G21" s="4">
        <v>17</v>
      </c>
      <c r="H21" s="4">
        <v>3</v>
      </c>
      <c r="I21" s="4"/>
      <c r="J21" s="4"/>
      <c r="K21" s="4"/>
      <c r="L21" s="4"/>
      <c r="M21" s="4"/>
      <c r="N21">
        <f t="shared" si="1"/>
        <v>98</v>
      </c>
    </row>
    <row r="22" spans="1:14" ht="55.5" customHeight="1" x14ac:dyDescent="0.15">
      <c r="A22" s="4">
        <v>20</v>
      </c>
      <c r="B22" s="4" t="s">
        <v>82</v>
      </c>
      <c r="C22" s="4">
        <v>80</v>
      </c>
      <c r="D22" s="4">
        <v>21</v>
      </c>
      <c r="E22" s="4">
        <v>16</v>
      </c>
      <c r="F22" s="4"/>
      <c r="G22" s="4"/>
      <c r="H22" s="4"/>
      <c r="I22" s="4"/>
      <c r="J22" s="4"/>
      <c r="K22" s="4"/>
      <c r="L22" s="4"/>
      <c r="M22" s="4"/>
      <c r="N22">
        <f t="shared" si="1"/>
        <v>117</v>
      </c>
    </row>
    <row r="23" spans="1:14" ht="55.5" customHeight="1" x14ac:dyDescent="0.15">
      <c r="A23" s="4">
        <v>21</v>
      </c>
      <c r="B23" s="4" t="s">
        <v>83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>
        <f t="shared" si="1"/>
        <v>0</v>
      </c>
    </row>
    <row r="24" spans="1:14" ht="55.5" customHeight="1" x14ac:dyDescent="0.15">
      <c r="A24" s="4">
        <v>22</v>
      </c>
      <c r="B24" s="4" t="s">
        <v>84</v>
      </c>
      <c r="C24" s="4"/>
      <c r="D24" s="4">
        <v>1</v>
      </c>
      <c r="E24" s="4"/>
      <c r="F24" s="4"/>
      <c r="G24" s="4"/>
      <c r="H24" s="4"/>
      <c r="I24" s="4"/>
      <c r="J24" s="4"/>
      <c r="K24" s="4"/>
      <c r="L24" s="4"/>
      <c r="M24" s="4"/>
      <c r="N24">
        <f t="shared" si="1"/>
        <v>1</v>
      </c>
    </row>
    <row r="25" spans="1:14" ht="55.5" customHeight="1" x14ac:dyDescent="0.15">
      <c r="A25" s="4">
        <v>23</v>
      </c>
      <c r="B25" s="4" t="s">
        <v>85</v>
      </c>
      <c r="C25" s="4">
        <v>19</v>
      </c>
      <c r="D25" s="4">
        <v>84</v>
      </c>
      <c r="E25" s="4"/>
      <c r="F25" s="4">
        <v>5</v>
      </c>
      <c r="G25" s="4"/>
      <c r="H25" s="4"/>
      <c r="I25" s="4"/>
      <c r="J25" s="4"/>
      <c r="K25" s="4"/>
      <c r="L25" s="4"/>
      <c r="M25" s="4"/>
      <c r="N25">
        <f t="shared" si="1"/>
        <v>108</v>
      </c>
    </row>
    <row r="26" spans="1:14" ht="55.5" customHeight="1" x14ac:dyDescent="0.15">
      <c r="A26" s="4">
        <v>24</v>
      </c>
      <c r="B26" s="4" t="s">
        <v>86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>
        <f t="shared" si="1"/>
        <v>0</v>
      </c>
    </row>
    <row r="27" spans="1:14" ht="55.5" customHeight="1" x14ac:dyDescent="0.15">
      <c r="A27" s="4">
        <v>25</v>
      </c>
      <c r="B27" s="78" t="s">
        <v>87</v>
      </c>
      <c r="C27" s="8">
        <v>2</v>
      </c>
      <c r="D27" s="8"/>
      <c r="E27" s="8"/>
      <c r="F27" s="8"/>
      <c r="G27" s="8"/>
      <c r="H27" s="8"/>
      <c r="I27" s="8"/>
      <c r="J27" s="8"/>
      <c r="K27" s="8"/>
      <c r="L27" s="8"/>
      <c r="M27" s="8" t="s">
        <v>88</v>
      </c>
      <c r="N27">
        <f t="shared" si="1"/>
        <v>2</v>
      </c>
    </row>
    <row r="28" spans="1:14" ht="55.5" customHeight="1" x14ac:dyDescent="0.15">
      <c r="A28" s="4">
        <v>26</v>
      </c>
      <c r="B28" s="78"/>
      <c r="C28" s="8">
        <v>11</v>
      </c>
      <c r="D28" s="8"/>
      <c r="E28" s="8"/>
      <c r="F28" s="8"/>
      <c r="G28" s="8"/>
      <c r="H28" s="8"/>
      <c r="I28" s="8"/>
      <c r="J28" s="8"/>
      <c r="K28" s="8"/>
      <c r="L28" s="8"/>
      <c r="M28" s="8" t="s">
        <v>89</v>
      </c>
      <c r="N28">
        <f t="shared" si="1"/>
        <v>11</v>
      </c>
    </row>
    <row r="29" spans="1:14" ht="55.5" customHeight="1" x14ac:dyDescent="0.15">
      <c r="A29" s="4">
        <v>27</v>
      </c>
      <c r="B29" s="78"/>
      <c r="C29" s="8">
        <v>15</v>
      </c>
      <c r="D29" s="8"/>
      <c r="E29" s="8"/>
      <c r="F29" s="8"/>
      <c r="G29" s="8"/>
      <c r="H29" s="8"/>
      <c r="I29" s="8"/>
      <c r="J29" s="8"/>
      <c r="K29" s="8"/>
      <c r="L29" s="8"/>
      <c r="M29" s="8" t="s">
        <v>90</v>
      </c>
      <c r="N29">
        <f t="shared" si="1"/>
        <v>15</v>
      </c>
    </row>
    <row r="30" spans="1:14" ht="55.5" customHeight="1" x14ac:dyDescent="0.15">
      <c r="A30" s="4">
        <v>28</v>
      </c>
      <c r="B30" s="78"/>
      <c r="C30" s="11">
        <v>7</v>
      </c>
      <c r="D30" s="8"/>
      <c r="E30" s="8"/>
      <c r="F30" s="8"/>
      <c r="G30" s="8"/>
      <c r="H30" s="8"/>
      <c r="I30" s="8"/>
      <c r="J30" s="8"/>
      <c r="K30" s="8"/>
      <c r="L30" s="8"/>
      <c r="M30" s="8" t="s">
        <v>91</v>
      </c>
      <c r="N30">
        <f t="shared" si="1"/>
        <v>7</v>
      </c>
    </row>
    <row r="31" spans="1:14" ht="55.5" customHeight="1" x14ac:dyDescent="0.15">
      <c r="A31" s="4">
        <v>29</v>
      </c>
      <c r="B31" s="78"/>
      <c r="C31" s="11">
        <v>10</v>
      </c>
      <c r="D31" s="8"/>
      <c r="E31" s="8"/>
      <c r="F31" s="8"/>
      <c r="G31" s="8"/>
      <c r="H31" s="8"/>
      <c r="I31" s="8"/>
      <c r="J31" s="8"/>
      <c r="K31" s="8"/>
      <c r="L31" s="8"/>
      <c r="M31" s="8" t="s">
        <v>92</v>
      </c>
      <c r="N31">
        <f t="shared" si="1"/>
        <v>10</v>
      </c>
    </row>
    <row r="32" spans="1:14" ht="55.5" customHeight="1" x14ac:dyDescent="0.15">
      <c r="A32" s="4">
        <v>30</v>
      </c>
      <c r="B32" s="78"/>
      <c r="C32" s="8">
        <v>1</v>
      </c>
      <c r="D32" s="8"/>
      <c r="E32" s="8"/>
      <c r="F32" s="8"/>
      <c r="G32" s="8"/>
      <c r="H32" s="8"/>
      <c r="I32" s="8"/>
      <c r="J32" s="8"/>
      <c r="K32" s="8"/>
      <c r="L32" s="8"/>
      <c r="M32" s="8" t="s">
        <v>93</v>
      </c>
      <c r="N32">
        <f t="shared" si="1"/>
        <v>1</v>
      </c>
    </row>
    <row r="33" spans="1:14" ht="55.5" customHeight="1" x14ac:dyDescent="0.15">
      <c r="A33" s="4">
        <v>31</v>
      </c>
      <c r="B33" s="4" t="s">
        <v>94</v>
      </c>
      <c r="C33" s="4">
        <v>706</v>
      </c>
      <c r="D33" s="4">
        <v>50</v>
      </c>
      <c r="E33" s="4"/>
      <c r="F33" s="4"/>
      <c r="G33" s="4"/>
      <c r="H33" s="4"/>
      <c r="I33" s="4"/>
      <c r="J33" s="4"/>
      <c r="K33" s="4"/>
      <c r="L33" s="4"/>
      <c r="M33" s="4"/>
      <c r="N33">
        <f t="shared" si="1"/>
        <v>756</v>
      </c>
    </row>
    <row r="34" spans="1:14" ht="55.5" customHeight="1" x14ac:dyDescent="0.15">
      <c r="A34" s="4">
        <v>32</v>
      </c>
      <c r="B34" s="4" t="s">
        <v>95</v>
      </c>
      <c r="C34" s="4"/>
      <c r="D34" s="4">
        <v>3</v>
      </c>
      <c r="E34" s="4"/>
      <c r="F34" s="4"/>
      <c r="G34" s="4"/>
      <c r="H34" s="4"/>
      <c r="I34" s="4"/>
      <c r="J34" s="4"/>
      <c r="K34" s="4"/>
      <c r="L34" s="4"/>
      <c r="M34" s="4"/>
      <c r="N34">
        <f t="shared" si="1"/>
        <v>3</v>
      </c>
    </row>
    <row r="35" spans="1:14" ht="55.5" customHeight="1" x14ac:dyDescent="0.15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>
        <f t="shared" si="1"/>
        <v>0</v>
      </c>
    </row>
    <row r="36" spans="1:14" ht="24" customHeight="1" x14ac:dyDescent="0.15">
      <c r="A36" s="4" t="s">
        <v>48</v>
      </c>
      <c r="B36" s="4" t="s">
        <v>49</v>
      </c>
      <c r="C36" s="74" t="s">
        <v>96</v>
      </c>
      <c r="D36" s="74"/>
      <c r="E36" s="72" t="s">
        <v>97</v>
      </c>
      <c r="F36" s="73"/>
      <c r="G36" s="72" t="s">
        <v>98</v>
      </c>
      <c r="H36" s="76"/>
      <c r="I36" s="76"/>
      <c r="J36" s="76"/>
      <c r="K36" s="76"/>
      <c r="L36" s="76"/>
      <c r="M36" s="73"/>
    </row>
    <row r="37" spans="1:14" ht="46.5" customHeight="1" x14ac:dyDescent="0.15">
      <c r="A37" s="4">
        <v>1</v>
      </c>
      <c r="B37" s="4" t="s">
        <v>99</v>
      </c>
      <c r="C37" s="72"/>
      <c r="D37" s="73"/>
      <c r="E37" s="72"/>
      <c r="F37" s="73"/>
      <c r="G37" s="72" t="s">
        <v>100</v>
      </c>
      <c r="H37" s="76"/>
      <c r="I37" s="76"/>
      <c r="J37" s="76"/>
      <c r="K37" s="76"/>
      <c r="L37" s="76"/>
      <c r="M37" s="73"/>
      <c r="N37">
        <f>300+130+730+70</f>
        <v>1230</v>
      </c>
    </row>
    <row r="38" spans="1:14" ht="46.5" customHeight="1" x14ac:dyDescent="0.15">
      <c r="A38" s="4">
        <v>2</v>
      </c>
      <c r="B38" s="4" t="s">
        <v>101</v>
      </c>
      <c r="C38" s="72"/>
      <c r="D38" s="73"/>
      <c r="E38" s="72"/>
      <c r="F38" s="73"/>
      <c r="G38" s="72"/>
      <c r="H38" s="76"/>
      <c r="I38" s="76"/>
      <c r="J38" s="76"/>
      <c r="K38" s="76"/>
      <c r="L38" s="76"/>
      <c r="M38" s="73"/>
      <c r="N38">
        <f>SUM(N3:N37)</f>
        <v>5461</v>
      </c>
    </row>
    <row r="40" spans="1:14" ht="29.25" customHeight="1" x14ac:dyDescent="0.15">
      <c r="A40" s="77" t="s">
        <v>102</v>
      </c>
      <c r="B40" s="77"/>
      <c r="C40" s="77"/>
      <c r="D40" s="77"/>
      <c r="N40">
        <f>N38-N37</f>
        <v>4231</v>
      </c>
    </row>
    <row r="41" spans="1:14" ht="29.25" customHeight="1" x14ac:dyDescent="0.15">
      <c r="A41" s="4"/>
      <c r="B41" s="4"/>
      <c r="C41" s="4" t="s">
        <v>103</v>
      </c>
      <c r="D41" s="4" t="s">
        <v>104</v>
      </c>
    </row>
    <row r="42" spans="1:14" ht="29.25" customHeight="1" x14ac:dyDescent="0.15">
      <c r="A42" s="4">
        <v>1</v>
      </c>
      <c r="B42" s="4" t="s">
        <v>105</v>
      </c>
      <c r="C42" s="4">
        <v>6</v>
      </c>
      <c r="D42" s="4"/>
    </row>
    <row r="43" spans="1:14" ht="29.25" customHeight="1" x14ac:dyDescent="0.15">
      <c r="A43" s="4">
        <v>2</v>
      </c>
      <c r="B43" s="4" t="s">
        <v>106</v>
      </c>
      <c r="C43" s="4">
        <v>145</v>
      </c>
      <c r="D43" s="4"/>
    </row>
    <row r="44" spans="1:14" ht="29.25" customHeight="1" x14ac:dyDescent="0.15">
      <c r="A44" s="4">
        <v>3</v>
      </c>
      <c r="B44" s="4" t="s">
        <v>107</v>
      </c>
      <c r="C44" s="4"/>
      <c r="D44" s="4">
        <v>600</v>
      </c>
    </row>
    <row r="45" spans="1:14" ht="29.25" customHeight="1" x14ac:dyDescent="0.15">
      <c r="A45" s="4">
        <v>4</v>
      </c>
      <c r="B45" s="4" t="s">
        <v>108</v>
      </c>
      <c r="C45" s="4">
        <v>117</v>
      </c>
      <c r="D45" s="4"/>
    </row>
    <row r="46" spans="1:14" ht="29.25" customHeight="1" x14ac:dyDescent="0.15">
      <c r="A46" s="4">
        <v>5</v>
      </c>
      <c r="B46" s="4" t="s">
        <v>109</v>
      </c>
      <c r="C46" s="4">
        <v>118</v>
      </c>
      <c r="D46" s="4"/>
    </row>
    <row r="47" spans="1:14" ht="29.25" customHeight="1" x14ac:dyDescent="0.15">
      <c r="A47" s="4">
        <v>6</v>
      </c>
      <c r="B47" s="4" t="s">
        <v>110</v>
      </c>
      <c r="C47" s="4">
        <v>32</v>
      </c>
      <c r="D47" s="4"/>
      <c r="E47" t="s">
        <v>111</v>
      </c>
    </row>
  </sheetData>
  <mergeCells count="16">
    <mergeCell ref="N1:N2"/>
    <mergeCell ref="C38:D38"/>
    <mergeCell ref="E38:F38"/>
    <mergeCell ref="G38:M38"/>
    <mergeCell ref="A40:D40"/>
    <mergeCell ref="C36:D36"/>
    <mergeCell ref="E36:F36"/>
    <mergeCell ref="G36:M36"/>
    <mergeCell ref="C37:D37"/>
    <mergeCell ref="E37:F37"/>
    <mergeCell ref="G37:M37"/>
    <mergeCell ref="B27:B32"/>
    <mergeCell ref="A1:A2"/>
    <mergeCell ref="B1:B2"/>
    <mergeCell ref="C1:G1"/>
    <mergeCell ref="M1:M2"/>
  </mergeCells>
  <phoneticPr fontId="2" type="noConversion"/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4"/>
  <sheetViews>
    <sheetView topLeftCell="A19" workbookViewId="0">
      <selection activeCell="D44" sqref="D44"/>
    </sheetView>
  </sheetViews>
  <sheetFormatPr defaultRowHeight="29.25" customHeight="1" x14ac:dyDescent="0.15"/>
  <cols>
    <col min="1" max="1" width="5.125" customWidth="1"/>
    <col min="3" max="7" width="16.875" customWidth="1"/>
    <col min="8" max="8" width="8.375" customWidth="1"/>
    <col min="9" max="9" width="8.5" customWidth="1"/>
    <col min="10" max="10" width="8" customWidth="1"/>
    <col min="11" max="12" width="6.75" customWidth="1"/>
    <col min="13" max="15" width="11.75" customWidth="1"/>
  </cols>
  <sheetData>
    <row r="1" spans="1:16" ht="13.5" customHeight="1" x14ac:dyDescent="0.15">
      <c r="A1" s="74" t="s">
        <v>48</v>
      </c>
      <c r="B1" s="74" t="s">
        <v>49</v>
      </c>
      <c r="C1" s="74" t="s">
        <v>50</v>
      </c>
      <c r="D1" s="74"/>
      <c r="E1" s="74"/>
      <c r="F1" s="74"/>
      <c r="G1" s="74"/>
      <c r="H1" s="74"/>
      <c r="I1" s="74"/>
      <c r="J1" s="4"/>
      <c r="K1" s="4"/>
      <c r="L1" s="4"/>
      <c r="M1" s="74" t="s">
        <v>51</v>
      </c>
      <c r="N1" s="10"/>
      <c r="O1" s="10"/>
    </row>
    <row r="2" spans="1:16" ht="15" customHeight="1" x14ac:dyDescent="0.15">
      <c r="A2" s="74"/>
      <c r="B2" s="74"/>
      <c r="C2" s="1" t="s">
        <v>53</v>
      </c>
      <c r="D2" s="1" t="s">
        <v>54</v>
      </c>
      <c r="E2" s="1" t="s">
        <v>55</v>
      </c>
      <c r="F2" s="1" t="s">
        <v>56</v>
      </c>
      <c r="G2" s="1" t="s">
        <v>112</v>
      </c>
      <c r="H2" s="1" t="s">
        <v>58</v>
      </c>
      <c r="I2" s="1" t="s">
        <v>59</v>
      </c>
      <c r="J2" s="1" t="s">
        <v>113</v>
      </c>
      <c r="K2" s="1" t="s">
        <v>60</v>
      </c>
      <c r="L2" s="1" t="s">
        <v>114</v>
      </c>
      <c r="M2" s="74"/>
      <c r="N2" s="10"/>
      <c r="O2" s="10"/>
    </row>
    <row r="3" spans="1:16" ht="55.5" customHeight="1" x14ac:dyDescent="0.15">
      <c r="A3" s="4">
        <v>1</v>
      </c>
      <c r="B3" s="4" t="s">
        <v>63</v>
      </c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10"/>
      <c r="O3" s="10"/>
    </row>
    <row r="4" spans="1:16" ht="55.5" customHeight="1" x14ac:dyDescent="0.15">
      <c r="A4" s="4">
        <v>2</v>
      </c>
      <c r="B4" s="4" t="s">
        <v>64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0"/>
      <c r="O4" s="10"/>
    </row>
    <row r="5" spans="1:16" ht="55.5" customHeight="1" x14ac:dyDescent="0.15">
      <c r="A5" s="4">
        <v>3</v>
      </c>
      <c r="B5" s="4" t="s">
        <v>65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0"/>
      <c r="O5" s="10"/>
    </row>
    <row r="6" spans="1:16" ht="55.5" customHeight="1" x14ac:dyDescent="0.15">
      <c r="A6" s="4">
        <v>4</v>
      </c>
      <c r="B6" s="4" t="s">
        <v>66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0"/>
      <c r="O6" s="10"/>
    </row>
    <row r="7" spans="1:16" ht="55.5" customHeight="1" x14ac:dyDescent="0.15">
      <c r="A7" s="4">
        <v>5</v>
      </c>
      <c r="B7" s="4" t="s">
        <v>67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0"/>
      <c r="O7" s="10"/>
    </row>
    <row r="8" spans="1:16" ht="55.5" customHeight="1" x14ac:dyDescent="0.15">
      <c r="A8" s="4">
        <v>6</v>
      </c>
      <c r="B8" s="4" t="s">
        <v>68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0"/>
      <c r="O8" s="10"/>
    </row>
    <row r="9" spans="1:16" ht="55.5" customHeight="1" x14ac:dyDescent="0.15">
      <c r="A9" s="4">
        <v>7</v>
      </c>
      <c r="B9" s="4" t="s">
        <v>69</v>
      </c>
      <c r="C9" s="4"/>
      <c r="D9" s="4">
        <v>19</v>
      </c>
      <c r="E9" s="4">
        <v>3</v>
      </c>
      <c r="F9" s="4"/>
      <c r="G9" s="4"/>
      <c r="H9" s="4"/>
      <c r="I9" s="4"/>
      <c r="J9" s="4"/>
      <c r="K9" s="4"/>
      <c r="L9" s="4"/>
      <c r="M9" s="4"/>
      <c r="N9" s="10"/>
      <c r="O9" s="10"/>
      <c r="P9">
        <f>SUM(C9:M9)</f>
        <v>22</v>
      </c>
    </row>
    <row r="10" spans="1:16" ht="55.5" customHeight="1" x14ac:dyDescent="0.15">
      <c r="A10" s="4">
        <v>8</v>
      </c>
      <c r="B10" s="4" t="s">
        <v>70</v>
      </c>
      <c r="C10" s="4">
        <v>10</v>
      </c>
      <c r="D10" s="4">
        <v>497</v>
      </c>
      <c r="E10" s="4">
        <v>55</v>
      </c>
      <c r="F10" s="4">
        <v>6</v>
      </c>
      <c r="G10" s="4"/>
      <c r="H10" s="4"/>
      <c r="I10" s="4"/>
      <c r="J10" s="4"/>
      <c r="K10" s="4"/>
      <c r="L10" s="4"/>
      <c r="M10" s="4"/>
      <c r="N10" s="10"/>
      <c r="O10" s="10"/>
      <c r="P10">
        <f t="shared" ref="P10:P33" si="0">SUM(C10:M10)</f>
        <v>568</v>
      </c>
    </row>
    <row r="11" spans="1:16" ht="55.5" customHeight="1" x14ac:dyDescent="0.15">
      <c r="A11" s="4">
        <v>9</v>
      </c>
      <c r="B11" s="4" t="s">
        <v>71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0"/>
      <c r="O11" s="10"/>
      <c r="P11">
        <f t="shared" si="0"/>
        <v>0</v>
      </c>
    </row>
    <row r="12" spans="1:16" ht="55.5" customHeight="1" x14ac:dyDescent="0.15">
      <c r="A12" s="4">
        <v>10</v>
      </c>
      <c r="B12" s="4" t="s">
        <v>72</v>
      </c>
      <c r="C12" s="4">
        <v>64</v>
      </c>
      <c r="D12" s="4">
        <v>265</v>
      </c>
      <c r="E12" s="4">
        <v>319</v>
      </c>
      <c r="F12" s="4">
        <v>32</v>
      </c>
      <c r="G12" s="4">
        <v>4</v>
      </c>
      <c r="H12" s="4"/>
      <c r="I12" s="4"/>
      <c r="J12" s="4"/>
      <c r="K12" s="4"/>
      <c r="L12" s="4"/>
      <c r="M12" s="4"/>
      <c r="N12" s="10"/>
      <c r="O12" s="10"/>
      <c r="P12">
        <f t="shared" si="0"/>
        <v>684</v>
      </c>
    </row>
    <row r="13" spans="1:16" ht="55.5" customHeight="1" x14ac:dyDescent="0.15">
      <c r="A13" s="4">
        <v>11</v>
      </c>
      <c r="B13" s="4" t="s">
        <v>73</v>
      </c>
      <c r="C13" s="4">
        <v>4</v>
      </c>
      <c r="D13" s="4">
        <v>78</v>
      </c>
      <c r="E13" s="4">
        <v>34</v>
      </c>
      <c r="F13" s="4">
        <v>2</v>
      </c>
      <c r="G13" s="4"/>
      <c r="H13" s="4"/>
      <c r="I13" s="4"/>
      <c r="J13" s="4"/>
      <c r="K13" s="4"/>
      <c r="L13" s="4"/>
      <c r="M13" s="4"/>
      <c r="N13" s="10"/>
      <c r="O13" s="10"/>
      <c r="P13">
        <f t="shared" si="0"/>
        <v>118</v>
      </c>
    </row>
    <row r="14" spans="1:16" ht="55.5" customHeight="1" x14ac:dyDescent="0.15">
      <c r="A14" s="4">
        <v>12</v>
      </c>
      <c r="B14" s="4" t="s">
        <v>74</v>
      </c>
      <c r="C14" s="4"/>
      <c r="D14" s="4">
        <v>2</v>
      </c>
      <c r="E14" s="4"/>
      <c r="F14" s="4"/>
      <c r="G14" s="4"/>
      <c r="H14" s="4"/>
      <c r="I14" s="4"/>
      <c r="J14" s="4"/>
      <c r="K14" s="4"/>
      <c r="L14" s="4"/>
      <c r="M14" s="4"/>
      <c r="N14" s="10"/>
      <c r="O14" s="10"/>
      <c r="P14">
        <f t="shared" si="0"/>
        <v>2</v>
      </c>
    </row>
    <row r="15" spans="1:16" ht="55.5" customHeight="1" x14ac:dyDescent="0.15">
      <c r="A15" s="4">
        <v>13</v>
      </c>
      <c r="B15" s="4" t="s">
        <v>75</v>
      </c>
      <c r="C15" s="4"/>
      <c r="D15" s="4">
        <v>67</v>
      </c>
      <c r="E15" s="4">
        <v>26</v>
      </c>
      <c r="F15" s="4">
        <v>3</v>
      </c>
      <c r="G15" s="4">
        <v>1</v>
      </c>
      <c r="H15" s="4"/>
      <c r="I15" s="4"/>
      <c r="J15" s="4"/>
      <c r="K15" s="4"/>
      <c r="L15" s="4"/>
      <c r="M15" s="4"/>
      <c r="N15" s="10"/>
      <c r="O15" s="10"/>
      <c r="P15">
        <f t="shared" si="0"/>
        <v>97</v>
      </c>
    </row>
    <row r="16" spans="1:16" ht="55.5" customHeight="1" x14ac:dyDescent="0.15">
      <c r="A16" s="4">
        <v>14</v>
      </c>
      <c r="B16" s="4" t="s">
        <v>76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0"/>
      <c r="O16" s="10"/>
      <c r="P16">
        <f t="shared" si="0"/>
        <v>0</v>
      </c>
    </row>
    <row r="17" spans="1:16" ht="55.5" customHeight="1" x14ac:dyDescent="0.15">
      <c r="A17" s="4">
        <v>15</v>
      </c>
      <c r="B17" s="4" t="s">
        <v>77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0"/>
      <c r="O17" s="10"/>
      <c r="P17">
        <f t="shared" si="0"/>
        <v>0</v>
      </c>
    </row>
    <row r="18" spans="1:16" ht="55.5" customHeight="1" x14ac:dyDescent="0.15">
      <c r="A18" s="4">
        <v>16</v>
      </c>
      <c r="B18" s="4" t="s">
        <v>78</v>
      </c>
      <c r="C18" s="4">
        <v>9</v>
      </c>
      <c r="D18" s="4">
        <v>93</v>
      </c>
      <c r="E18" s="4">
        <v>90</v>
      </c>
      <c r="F18" s="4">
        <v>3</v>
      </c>
      <c r="G18" s="4"/>
      <c r="H18" s="4"/>
      <c r="I18" s="4"/>
      <c r="J18" s="4"/>
      <c r="K18" s="4"/>
      <c r="L18" s="4"/>
      <c r="M18" s="4"/>
      <c r="N18" s="10"/>
      <c r="O18" s="10"/>
      <c r="P18">
        <f t="shared" si="0"/>
        <v>195</v>
      </c>
    </row>
    <row r="19" spans="1:16" ht="55.5" customHeight="1" x14ac:dyDescent="0.15">
      <c r="A19" s="4">
        <v>17</v>
      </c>
      <c r="B19" s="4" t="s">
        <v>79</v>
      </c>
      <c r="C19" s="4">
        <v>38</v>
      </c>
      <c r="D19" s="4">
        <v>281</v>
      </c>
      <c r="E19" s="4">
        <v>398</v>
      </c>
      <c r="F19" s="4">
        <v>249</v>
      </c>
      <c r="G19" s="4">
        <v>74</v>
      </c>
      <c r="H19" s="4">
        <v>62</v>
      </c>
      <c r="I19" s="4">
        <v>9</v>
      </c>
      <c r="J19" s="4"/>
      <c r="K19" s="4"/>
      <c r="L19" s="4">
        <v>1</v>
      </c>
      <c r="M19" s="4"/>
      <c r="N19" s="10"/>
      <c r="O19" s="10"/>
      <c r="P19">
        <f t="shared" si="0"/>
        <v>1112</v>
      </c>
    </row>
    <row r="20" spans="1:16" ht="55.5" customHeight="1" x14ac:dyDescent="0.15">
      <c r="A20" s="4">
        <v>18</v>
      </c>
      <c r="B20" s="4" t="s">
        <v>80</v>
      </c>
      <c r="C20" s="4">
        <v>8</v>
      </c>
      <c r="D20" s="4">
        <v>3</v>
      </c>
      <c r="E20" s="4">
        <v>50</v>
      </c>
      <c r="F20" s="4">
        <v>36</v>
      </c>
      <c r="G20" s="4">
        <v>26</v>
      </c>
      <c r="H20" s="4">
        <v>5</v>
      </c>
      <c r="I20" s="4"/>
      <c r="J20" s="4"/>
      <c r="K20" s="4"/>
      <c r="L20" s="4"/>
      <c r="M20" s="4"/>
      <c r="N20" s="10"/>
      <c r="O20" s="10"/>
      <c r="P20">
        <f t="shared" si="0"/>
        <v>128</v>
      </c>
    </row>
    <row r="21" spans="1:16" ht="55.5" customHeight="1" x14ac:dyDescent="0.15">
      <c r="A21" s="4">
        <v>19</v>
      </c>
      <c r="B21" s="4" t="s">
        <v>81</v>
      </c>
      <c r="C21" s="4">
        <v>43</v>
      </c>
      <c r="D21" s="4">
        <v>9</v>
      </c>
      <c r="E21" s="4">
        <v>11</v>
      </c>
      <c r="F21" s="4">
        <v>11</v>
      </c>
      <c r="G21" s="4"/>
      <c r="H21" s="4"/>
      <c r="I21" s="4"/>
      <c r="J21" s="4"/>
      <c r="K21" s="4"/>
      <c r="L21" s="4"/>
      <c r="M21" s="4"/>
      <c r="N21" s="10"/>
      <c r="O21" s="10"/>
      <c r="P21">
        <f t="shared" si="0"/>
        <v>74</v>
      </c>
    </row>
    <row r="22" spans="1:16" ht="55.5" customHeight="1" x14ac:dyDescent="0.15">
      <c r="A22" s="4">
        <v>20</v>
      </c>
      <c r="B22" s="4" t="s">
        <v>82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0"/>
      <c r="O22" s="10"/>
      <c r="P22">
        <f t="shared" si="0"/>
        <v>0</v>
      </c>
    </row>
    <row r="23" spans="1:16" ht="55.5" customHeight="1" x14ac:dyDescent="0.15">
      <c r="A23" s="4">
        <v>21</v>
      </c>
      <c r="B23" s="4" t="s">
        <v>83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0"/>
      <c r="O23" s="10"/>
      <c r="P23">
        <f t="shared" si="0"/>
        <v>0</v>
      </c>
    </row>
    <row r="24" spans="1:16" ht="55.5" customHeight="1" x14ac:dyDescent="0.15">
      <c r="A24" s="4">
        <v>22</v>
      </c>
      <c r="B24" s="4" t="s">
        <v>84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0"/>
      <c r="O24" s="10"/>
      <c r="P24">
        <f t="shared" si="0"/>
        <v>0</v>
      </c>
    </row>
    <row r="25" spans="1:16" ht="55.5" customHeight="1" x14ac:dyDescent="0.15">
      <c r="A25" s="4">
        <v>23</v>
      </c>
      <c r="B25" s="4" t="s">
        <v>85</v>
      </c>
      <c r="C25" s="4"/>
      <c r="D25" s="4">
        <v>22</v>
      </c>
      <c r="E25" s="4"/>
      <c r="F25" s="4"/>
      <c r="G25" s="4"/>
      <c r="H25" s="4"/>
      <c r="I25" s="4"/>
      <c r="J25" s="4"/>
      <c r="K25" s="4"/>
      <c r="L25" s="4"/>
      <c r="M25" s="4"/>
      <c r="N25" s="10"/>
      <c r="O25" s="10"/>
      <c r="P25">
        <f t="shared" si="0"/>
        <v>22</v>
      </c>
    </row>
    <row r="26" spans="1:16" ht="55.5" customHeight="1" x14ac:dyDescent="0.15">
      <c r="A26" s="4">
        <v>24</v>
      </c>
      <c r="B26" s="4" t="s">
        <v>86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0"/>
      <c r="O26" s="10"/>
      <c r="P26">
        <f t="shared" si="0"/>
        <v>0</v>
      </c>
    </row>
    <row r="27" spans="1:16" ht="55.5" customHeight="1" x14ac:dyDescent="0.15">
      <c r="A27" s="4">
        <v>25</v>
      </c>
      <c r="B27" s="4" t="s">
        <v>115</v>
      </c>
      <c r="C27" s="14">
        <v>40</v>
      </c>
      <c r="D27" s="14">
        <v>180</v>
      </c>
      <c r="E27" s="4"/>
      <c r="F27" s="4"/>
      <c r="G27" s="4"/>
      <c r="H27" s="4"/>
      <c r="I27" s="4"/>
      <c r="J27" s="4"/>
      <c r="K27" s="4"/>
      <c r="L27" s="4"/>
      <c r="M27" s="4"/>
      <c r="N27" s="10"/>
      <c r="O27" s="10"/>
      <c r="P27">
        <f t="shared" si="0"/>
        <v>220</v>
      </c>
    </row>
    <row r="28" spans="1:16" ht="55.5" customHeight="1" x14ac:dyDescent="0.15">
      <c r="A28" s="4">
        <v>26</v>
      </c>
      <c r="B28" s="4" t="s">
        <v>116</v>
      </c>
      <c r="C28" s="14">
        <v>57</v>
      </c>
      <c r="D28" s="14">
        <v>56</v>
      </c>
      <c r="E28" s="4"/>
      <c r="F28" s="4"/>
      <c r="G28" s="4"/>
      <c r="H28" s="4"/>
      <c r="I28" s="4"/>
      <c r="J28" s="4"/>
      <c r="K28" s="4"/>
      <c r="L28" s="4"/>
      <c r="M28" s="4"/>
      <c r="N28" s="10"/>
      <c r="O28" s="10"/>
      <c r="P28">
        <f t="shared" si="0"/>
        <v>113</v>
      </c>
    </row>
    <row r="29" spans="1:16" ht="55.5" customHeight="1" x14ac:dyDescent="0.15">
      <c r="A29" s="4">
        <v>27</v>
      </c>
      <c r="B29" s="4" t="s">
        <v>117</v>
      </c>
      <c r="C29" s="14"/>
      <c r="D29" s="14">
        <v>6</v>
      </c>
      <c r="E29" s="4"/>
      <c r="F29" s="4"/>
      <c r="G29" s="4"/>
      <c r="H29" s="4"/>
      <c r="I29" s="4"/>
      <c r="J29" s="4"/>
      <c r="K29" s="4"/>
      <c r="L29" s="4"/>
      <c r="M29" s="4"/>
      <c r="N29" s="10"/>
      <c r="O29" s="10"/>
      <c r="P29">
        <f t="shared" si="0"/>
        <v>6</v>
      </c>
    </row>
    <row r="30" spans="1:16" ht="55.5" customHeight="1" x14ac:dyDescent="0.15">
      <c r="A30" s="4">
        <v>28</v>
      </c>
      <c r="B30" s="4" t="s">
        <v>118</v>
      </c>
      <c r="C30" s="14"/>
      <c r="D30" s="14">
        <v>15</v>
      </c>
      <c r="E30" s="4"/>
      <c r="F30" s="4"/>
      <c r="G30" s="4"/>
      <c r="H30" s="4"/>
      <c r="I30" s="4"/>
      <c r="J30" s="4"/>
      <c r="K30" s="4"/>
      <c r="L30" s="4"/>
      <c r="M30" s="4"/>
      <c r="N30" s="10"/>
      <c r="O30" s="10"/>
      <c r="P30">
        <f t="shared" si="0"/>
        <v>15</v>
      </c>
    </row>
    <row r="31" spans="1:16" ht="55.5" customHeight="1" x14ac:dyDescent="0.15">
      <c r="A31" s="4">
        <v>29</v>
      </c>
      <c r="B31" s="4" t="s">
        <v>119</v>
      </c>
      <c r="C31" s="14"/>
      <c r="D31" s="14">
        <v>4</v>
      </c>
      <c r="E31" s="4"/>
      <c r="F31" s="4"/>
      <c r="G31" s="4"/>
      <c r="H31" s="4"/>
      <c r="I31" s="4"/>
      <c r="J31" s="4"/>
      <c r="K31" s="4"/>
      <c r="L31" s="4"/>
      <c r="M31" s="4"/>
      <c r="N31" s="10"/>
      <c r="O31" s="10"/>
      <c r="P31">
        <f t="shared" si="0"/>
        <v>4</v>
      </c>
    </row>
    <row r="32" spans="1:16" ht="55.5" customHeight="1" x14ac:dyDescent="0.15">
      <c r="A32" s="4">
        <v>30</v>
      </c>
      <c r="B32" s="4" t="s">
        <v>94</v>
      </c>
      <c r="C32" s="4">
        <v>500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10"/>
      <c r="O32" s="10"/>
      <c r="P32">
        <f t="shared" si="0"/>
        <v>500</v>
      </c>
    </row>
    <row r="33" spans="1:16" ht="55.5" customHeight="1" x14ac:dyDescent="0.15">
      <c r="A33" s="4">
        <v>31</v>
      </c>
      <c r="B33" s="4" t="s">
        <v>120</v>
      </c>
      <c r="C33" s="4">
        <v>300</v>
      </c>
      <c r="D33" s="4">
        <v>190</v>
      </c>
      <c r="E33" s="4">
        <v>30</v>
      </c>
      <c r="F33" s="4"/>
      <c r="G33" s="4"/>
      <c r="H33" s="4"/>
      <c r="I33" s="4"/>
      <c r="J33" s="4"/>
      <c r="K33" s="4"/>
      <c r="L33" s="4"/>
      <c r="M33" s="4"/>
      <c r="N33" s="10"/>
      <c r="O33" s="10"/>
      <c r="P33">
        <f t="shared" si="0"/>
        <v>520</v>
      </c>
    </row>
    <row r="34" spans="1:16" ht="55.5" customHeight="1" x14ac:dyDescent="0.15">
      <c r="A34" s="4">
        <v>32</v>
      </c>
      <c r="B34" s="4" t="s">
        <v>121</v>
      </c>
      <c r="C34" s="72" t="s">
        <v>122</v>
      </c>
      <c r="D34" s="76"/>
      <c r="E34" s="76"/>
      <c r="F34" s="76"/>
      <c r="G34" s="76"/>
      <c r="H34" s="76"/>
      <c r="I34" s="76"/>
      <c r="J34" s="76"/>
      <c r="K34" s="76"/>
      <c r="L34" s="76"/>
      <c r="M34" s="73"/>
      <c r="N34" s="10"/>
      <c r="O34" s="10"/>
      <c r="P34">
        <v>2250</v>
      </c>
    </row>
    <row r="35" spans="1:16" ht="55.5" customHeight="1" x14ac:dyDescent="0.15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10"/>
      <c r="O35" s="10"/>
    </row>
    <row r="36" spans="1:16" ht="55.5" customHeight="1" x14ac:dyDescent="0.15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0"/>
      <c r="O36" s="10"/>
    </row>
    <row r="37" spans="1:16" ht="55.5" customHeight="1" x14ac:dyDescent="0.15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0"/>
      <c r="O37" s="10"/>
    </row>
    <row r="38" spans="1:16" ht="55.5" customHeight="1" x14ac:dyDescent="0.15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0"/>
      <c r="O38" s="10"/>
    </row>
    <row r="39" spans="1:16" ht="55.5" customHeight="1" x14ac:dyDescent="0.15">
      <c r="A39" s="4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0"/>
      <c r="O39" s="10"/>
    </row>
    <row r="40" spans="1:16" ht="55.5" customHeight="1" x14ac:dyDescent="0.15">
      <c r="A40" s="4">
        <v>38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0"/>
      <c r="O40" s="10"/>
    </row>
    <row r="41" spans="1:16" ht="55.5" customHeight="1" x14ac:dyDescent="0.15">
      <c r="A41" s="4">
        <v>39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0"/>
      <c r="O41" s="10"/>
    </row>
    <row r="42" spans="1:16" ht="55.5" customHeight="1" x14ac:dyDescent="0.15">
      <c r="A42" s="4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0"/>
      <c r="O42" s="10"/>
    </row>
    <row r="43" spans="1:16" ht="55.5" customHeight="1" x14ac:dyDescent="0.15">
      <c r="A43" s="4">
        <v>41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0"/>
      <c r="O43" s="10"/>
    </row>
    <row r="44" spans="1:16" ht="55.5" customHeight="1" x14ac:dyDescent="0.15">
      <c r="A44" s="4">
        <v>42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0"/>
      <c r="O44" s="10"/>
    </row>
    <row r="45" spans="1:16" ht="55.5" customHeight="1" x14ac:dyDescent="0.15">
      <c r="A45" s="4">
        <v>43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0"/>
      <c r="O45" s="10"/>
    </row>
    <row r="46" spans="1:16" ht="55.5" customHeight="1" x14ac:dyDescent="0.15">
      <c r="A46" s="4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0"/>
      <c r="O46" s="10"/>
    </row>
    <row r="47" spans="1:16" ht="55.5" customHeight="1" x14ac:dyDescent="0.15">
      <c r="A47" s="4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0"/>
      <c r="O47" s="10"/>
    </row>
    <row r="48" spans="1:16" ht="24" customHeight="1" x14ac:dyDescent="0.15">
      <c r="A48" s="4" t="s">
        <v>48</v>
      </c>
      <c r="B48" s="4" t="s">
        <v>49</v>
      </c>
      <c r="C48" s="74" t="s">
        <v>96</v>
      </c>
      <c r="D48" s="74"/>
      <c r="E48" s="72" t="s">
        <v>97</v>
      </c>
      <c r="F48" s="73"/>
      <c r="G48" s="72" t="s">
        <v>98</v>
      </c>
      <c r="H48" s="76"/>
      <c r="I48" s="76"/>
      <c r="J48" s="76"/>
      <c r="K48" s="76"/>
      <c r="L48" s="76"/>
      <c r="M48" s="73"/>
      <c r="N48" s="10"/>
      <c r="O48" s="10"/>
    </row>
    <row r="49" spans="1:16" ht="24" customHeight="1" x14ac:dyDescent="0.15">
      <c r="A49" s="79">
        <v>1</v>
      </c>
      <c r="B49" s="79" t="s">
        <v>99</v>
      </c>
      <c r="C49" s="82"/>
      <c r="D49" s="83"/>
      <c r="E49" s="82"/>
      <c r="F49" s="83"/>
      <c r="G49" s="72" t="s">
        <v>123</v>
      </c>
      <c r="H49" s="76"/>
      <c r="I49" s="76"/>
      <c r="J49" s="76"/>
      <c r="K49" s="76"/>
      <c r="L49" s="76"/>
      <c r="M49" s="73"/>
      <c r="N49" s="10"/>
      <c r="O49" s="10"/>
      <c r="P49">
        <v>1500</v>
      </c>
    </row>
    <row r="50" spans="1:16" ht="24" customHeight="1" x14ac:dyDescent="0.15">
      <c r="A50" s="80"/>
      <c r="B50" s="80"/>
      <c r="C50" s="84"/>
      <c r="D50" s="85"/>
      <c r="E50" s="84"/>
      <c r="F50" s="85"/>
      <c r="G50" s="72" t="s">
        <v>124</v>
      </c>
      <c r="H50" s="76"/>
      <c r="I50" s="76"/>
      <c r="J50" s="76"/>
      <c r="K50" s="76"/>
      <c r="L50" s="76"/>
      <c r="M50" s="73"/>
      <c r="N50" s="10"/>
      <c r="O50" s="10"/>
      <c r="P50">
        <v>300</v>
      </c>
    </row>
    <row r="51" spans="1:16" ht="23.25" customHeight="1" x14ac:dyDescent="0.15">
      <c r="A51" s="81"/>
      <c r="B51" s="81"/>
      <c r="C51" s="86"/>
      <c r="D51" s="87"/>
      <c r="E51" s="86"/>
      <c r="F51" s="87"/>
      <c r="G51" s="72" t="s">
        <v>125</v>
      </c>
      <c r="H51" s="76"/>
      <c r="I51" s="76"/>
      <c r="J51" s="76"/>
      <c r="K51" s="76"/>
      <c r="L51" s="76"/>
      <c r="M51" s="73"/>
      <c r="N51" s="10"/>
      <c r="O51" s="10"/>
      <c r="P51">
        <v>710</v>
      </c>
    </row>
    <row r="52" spans="1:16" ht="46.5" customHeight="1" x14ac:dyDescent="0.15">
      <c r="A52" s="4">
        <v>2</v>
      </c>
      <c r="B52" s="4" t="s">
        <v>101</v>
      </c>
      <c r="C52" s="72"/>
      <c r="D52" s="73"/>
      <c r="E52" s="72"/>
      <c r="F52" s="73"/>
      <c r="G52" s="72"/>
      <c r="H52" s="76"/>
      <c r="I52" s="76"/>
      <c r="J52" s="76"/>
      <c r="K52" s="76"/>
      <c r="L52" s="76"/>
      <c r="M52" s="73"/>
      <c r="N52" s="10"/>
      <c r="O52" s="10"/>
      <c r="P52">
        <f>SUM(P9:P51)</f>
        <v>9160</v>
      </c>
    </row>
    <row r="54" spans="1:16" ht="29.25" customHeight="1" x14ac:dyDescent="0.15">
      <c r="P54">
        <f>P52-P49-P50-P51-P34</f>
        <v>4400</v>
      </c>
    </row>
  </sheetData>
  <mergeCells count="18">
    <mergeCell ref="C48:D48"/>
    <mergeCell ref="E48:F48"/>
    <mergeCell ref="G48:M48"/>
    <mergeCell ref="A1:A2"/>
    <mergeCell ref="B1:B2"/>
    <mergeCell ref="C1:I1"/>
    <mergeCell ref="M1:M2"/>
    <mergeCell ref="C34:M34"/>
    <mergeCell ref="C52:D52"/>
    <mergeCell ref="E52:F52"/>
    <mergeCell ref="G52:M52"/>
    <mergeCell ref="A49:A51"/>
    <mergeCell ref="B49:B51"/>
    <mergeCell ref="C49:D51"/>
    <mergeCell ref="E49:F51"/>
    <mergeCell ref="G49:M49"/>
    <mergeCell ref="G50:M50"/>
    <mergeCell ref="G51:M51"/>
  </mergeCells>
  <phoneticPr fontId="2" type="noConversion"/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A31" workbookViewId="0">
      <selection activeCell="C44" sqref="C44"/>
    </sheetView>
  </sheetViews>
  <sheetFormatPr defaultColWidth="10.25" defaultRowHeight="18.75" customHeight="1" x14ac:dyDescent="0.15"/>
  <sheetData>
    <row r="1" spans="1:13" ht="18.75" customHeight="1" x14ac:dyDescent="0.15">
      <c r="A1" s="74" t="s">
        <v>0</v>
      </c>
      <c r="B1" s="74" t="s">
        <v>1</v>
      </c>
      <c r="C1" s="75" t="s">
        <v>126</v>
      </c>
      <c r="D1" s="88"/>
      <c r="E1" s="88"/>
      <c r="F1" s="88"/>
      <c r="G1" s="88"/>
      <c r="H1" s="88"/>
      <c r="I1" s="88"/>
      <c r="J1" s="88"/>
      <c r="K1" s="88"/>
      <c r="L1" s="88"/>
    </row>
    <row r="2" spans="1:13" ht="18.75" customHeight="1" x14ac:dyDescent="0.15">
      <c r="A2" s="74"/>
      <c r="B2" s="74"/>
      <c r="C2" s="21" t="s">
        <v>3</v>
      </c>
      <c r="D2" s="21" t="s">
        <v>127</v>
      </c>
      <c r="E2" s="21" t="s">
        <v>128</v>
      </c>
      <c r="F2" s="21" t="s">
        <v>129</v>
      </c>
      <c r="G2" s="21" t="s">
        <v>130</v>
      </c>
      <c r="H2" s="21" t="s">
        <v>131</v>
      </c>
      <c r="I2" s="21" t="s">
        <v>132</v>
      </c>
      <c r="J2" s="21" t="s">
        <v>133</v>
      </c>
      <c r="K2" s="21" t="s">
        <v>134</v>
      </c>
      <c r="L2" s="21" t="s">
        <v>135</v>
      </c>
      <c r="M2" s="21" t="s">
        <v>160</v>
      </c>
    </row>
    <row r="3" spans="1:13" ht="18.75" customHeight="1" x14ac:dyDescent="0.15">
      <c r="A3" s="4">
        <v>1</v>
      </c>
      <c r="B3" s="4" t="s">
        <v>14</v>
      </c>
      <c r="C3" s="16">
        <f>'树木（院外）'!C9+'树木（北院）'!C9+'树木（南院）'!C9</f>
        <v>1085</v>
      </c>
      <c r="D3" s="16">
        <f>'树木（院外）'!D9+'树木（北院）'!D9+'树木（南院）'!D9</f>
        <v>309</v>
      </c>
      <c r="E3" s="16">
        <f>'树木（院外）'!E9+'树木（北院）'!E9+'树木（南院）'!E9</f>
        <v>14</v>
      </c>
      <c r="F3" s="16">
        <f>'树木（院外）'!F9+'树木（北院）'!F9+'树木（南院）'!F9</f>
        <v>1</v>
      </c>
      <c r="G3" s="16">
        <f>'树木（院外）'!G9+'树木（北院）'!G9+'树木（南院）'!G9</f>
        <v>0</v>
      </c>
      <c r="H3" s="16">
        <f>'树木（院外）'!H9+'树木（北院）'!H9+'树木（南院）'!H9</f>
        <v>0</v>
      </c>
      <c r="I3" s="16">
        <f>'树木（院外）'!I9+'树木（北院）'!I9+'树木（南院）'!I9</f>
        <v>0</v>
      </c>
      <c r="J3" s="16">
        <f>'树木（院外）'!J9+'树木（北院）'!J9+'树木（南院）'!J9</f>
        <v>0</v>
      </c>
      <c r="K3" s="16">
        <f>'树木（院外）'!K9+'树木（北院）'!K9+'树木（南院）'!K9</f>
        <v>0</v>
      </c>
      <c r="L3" s="16">
        <f>'树木（院外）'!L9+'树木（北院）'!L9+'树木（南院）'!L9</f>
        <v>0</v>
      </c>
      <c r="M3" s="16">
        <f t="shared" ref="M3:M34" si="0">SUM(C3:L3)</f>
        <v>1409</v>
      </c>
    </row>
    <row r="4" spans="1:13" ht="18.75" customHeight="1" x14ac:dyDescent="0.15">
      <c r="A4" s="4">
        <v>2</v>
      </c>
      <c r="B4" s="4" t="s">
        <v>15</v>
      </c>
      <c r="C4" s="16">
        <f>'树木（院外）'!C10+'树木（北院）'!C10+'树木（南院）'!C10</f>
        <v>1543</v>
      </c>
      <c r="D4" s="16">
        <f>'树木（院外）'!D10+'树木（北院）'!D10+'树木（南院）'!D10</f>
        <v>667</v>
      </c>
      <c r="E4" s="16">
        <f>'树木（院外）'!E10+'树木（北院）'!E10+'树木（南院）'!E10</f>
        <v>83</v>
      </c>
      <c r="F4" s="16">
        <f>'树木（院外）'!F10+'树木（北院）'!F10+'树木（南院）'!F10</f>
        <v>52</v>
      </c>
      <c r="G4" s="16">
        <f>'树木（院外）'!G10+'树木（北院）'!G10+'树木（南院）'!G10</f>
        <v>7</v>
      </c>
      <c r="H4" s="16">
        <f>'树木（院外）'!H10+'树木（北院）'!H10+'树木（南院）'!H10</f>
        <v>0</v>
      </c>
      <c r="I4" s="16">
        <f>'树木（院外）'!I10+'树木（北院）'!I10+'树木（南院）'!I10</f>
        <v>0</v>
      </c>
      <c r="J4" s="16">
        <f>'树木（院外）'!J10+'树木（北院）'!J10+'树木（南院）'!J10</f>
        <v>0</v>
      </c>
      <c r="K4" s="16">
        <f>'树木（院外）'!K10+'树木（北院）'!K10+'树木（南院）'!K10</f>
        <v>0</v>
      </c>
      <c r="L4" s="16">
        <f>'树木（院外）'!L10+'树木（北院）'!L10+'树木（南院）'!L10</f>
        <v>0</v>
      </c>
      <c r="M4" s="16">
        <f t="shared" si="0"/>
        <v>2352</v>
      </c>
    </row>
    <row r="5" spans="1:13" ht="18.75" customHeight="1" x14ac:dyDescent="0.15">
      <c r="A5" s="4">
        <v>3</v>
      </c>
      <c r="B5" s="4" t="s">
        <v>16</v>
      </c>
      <c r="C5" s="16">
        <f>'树木（院外）'!C11+'树木（北院）'!C11+'树木（南院）'!C11</f>
        <v>162</v>
      </c>
      <c r="D5" s="16">
        <f>'树木（院外）'!D11+'树木（北院）'!D11+'树木（南院）'!D11</f>
        <v>19</v>
      </c>
      <c r="E5" s="16">
        <f>'树木（院外）'!E11+'树木（北院）'!E11+'树木（南院）'!E11</f>
        <v>83</v>
      </c>
      <c r="F5" s="16">
        <f>'树木（院外）'!F11+'树木（北院）'!F11+'树木（南院）'!F11</f>
        <v>47</v>
      </c>
      <c r="G5" s="16">
        <f>'树木（院外）'!G11+'树木（北院）'!G11+'树木（南院）'!G11</f>
        <v>3</v>
      </c>
      <c r="H5" s="16">
        <f>'树木（院外）'!H11+'树木（北院）'!H11+'树木（南院）'!H11</f>
        <v>0</v>
      </c>
      <c r="I5" s="16">
        <f>'树木（院外）'!I11+'树木（北院）'!I11+'树木（南院）'!I11</f>
        <v>0</v>
      </c>
      <c r="J5" s="16">
        <f>'树木（院外）'!J11+'树木（北院）'!J11+'树木（南院）'!J11</f>
        <v>0</v>
      </c>
      <c r="K5" s="16">
        <f>'树木（院外）'!K11+'树木（北院）'!K11+'树木（南院）'!K11</f>
        <v>0</v>
      </c>
      <c r="L5" s="16">
        <f>'树木（院外）'!L11+'树木（北院）'!L11+'树木（南院）'!L11</f>
        <v>0</v>
      </c>
      <c r="M5" s="16">
        <f t="shared" si="0"/>
        <v>314</v>
      </c>
    </row>
    <row r="6" spans="1:13" ht="18.75" customHeight="1" x14ac:dyDescent="0.15">
      <c r="A6" s="4">
        <v>4</v>
      </c>
      <c r="B6" s="4" t="s">
        <v>17</v>
      </c>
      <c r="C6" s="16">
        <f>'树木（院外）'!C12+'树木（北院）'!C12+'树木（南院）'!C12</f>
        <v>1703</v>
      </c>
      <c r="D6" s="16">
        <f>'树木（院外）'!D12+'树木（北院）'!D12+'树木（南院）'!D12</f>
        <v>336</v>
      </c>
      <c r="E6" s="16">
        <f>'树木（院外）'!E12+'树木（北院）'!E12+'树木（南院）'!E12</f>
        <v>323</v>
      </c>
      <c r="F6" s="16">
        <f>'树木（院外）'!F12+'树木（北院）'!F12+'树木（南院）'!F12</f>
        <v>32</v>
      </c>
      <c r="G6" s="16">
        <f>'树木（院外）'!G12+'树木（北院）'!G12+'树木（南院）'!G12</f>
        <v>4</v>
      </c>
      <c r="H6" s="16">
        <f>'树木（院外）'!H12+'树木（北院）'!H12+'树木（南院）'!H12</f>
        <v>0</v>
      </c>
      <c r="I6" s="16">
        <f>'树木（院外）'!I12+'树木（北院）'!I12+'树木（南院）'!I12</f>
        <v>1</v>
      </c>
      <c r="J6" s="16">
        <f>'树木（院外）'!J12+'树木（北院）'!J12+'树木（南院）'!J12</f>
        <v>0</v>
      </c>
      <c r="K6" s="16">
        <f>'树木（院外）'!K12+'树木（北院）'!K12+'树木（南院）'!K12</f>
        <v>0</v>
      </c>
      <c r="L6" s="16">
        <f>'树木（院外）'!L12+'树木（北院）'!L12+'树木（南院）'!L12</f>
        <v>0</v>
      </c>
      <c r="M6" s="16">
        <f t="shared" si="0"/>
        <v>2399</v>
      </c>
    </row>
    <row r="7" spans="1:13" ht="18.75" customHeight="1" x14ac:dyDescent="0.15">
      <c r="A7" s="4">
        <v>5</v>
      </c>
      <c r="B7" s="4" t="s">
        <v>18</v>
      </c>
      <c r="C7" s="16">
        <f>'树木（院外）'!C13+'树木（北院）'!C13+'树木（南院）'!C13</f>
        <v>18</v>
      </c>
      <c r="D7" s="16">
        <f>'树木（院外）'!D13+'树木（北院）'!D13+'树木（南院）'!D13</f>
        <v>93</v>
      </c>
      <c r="E7" s="16">
        <f>'树木（院外）'!E13+'树木（北院）'!E13+'树木（南院）'!E13</f>
        <v>34</v>
      </c>
      <c r="F7" s="16">
        <f>'树木（院外）'!F13+'树木（北院）'!F13+'树木（南院）'!F13</f>
        <v>2</v>
      </c>
      <c r="G7" s="16">
        <f>'树木（院外）'!G13+'树木（北院）'!G13+'树木（南院）'!G13</f>
        <v>0</v>
      </c>
      <c r="H7" s="16">
        <f>'树木（院外）'!H13+'树木（北院）'!H13+'树木（南院）'!H13</f>
        <v>0</v>
      </c>
      <c r="I7" s="16">
        <f>'树木（院外）'!I13+'树木（北院）'!I13+'树木（南院）'!I13</f>
        <v>0</v>
      </c>
      <c r="J7" s="16">
        <f>'树木（院外）'!J13+'树木（北院）'!J13+'树木（南院）'!J13</f>
        <v>0</v>
      </c>
      <c r="K7" s="16">
        <f>'树木（院外）'!K13+'树木（北院）'!K13+'树木（南院）'!K13</f>
        <v>0</v>
      </c>
      <c r="L7" s="16">
        <f>'树木（院外）'!L13+'树木（北院）'!L13+'树木（南院）'!L13</f>
        <v>0</v>
      </c>
      <c r="M7" s="16">
        <f t="shared" si="0"/>
        <v>147</v>
      </c>
    </row>
    <row r="8" spans="1:13" ht="18.75" customHeight="1" x14ac:dyDescent="0.15">
      <c r="A8" s="4">
        <v>6</v>
      </c>
      <c r="B8" s="4" t="s">
        <v>19</v>
      </c>
      <c r="C8" s="16">
        <f>'树木（院外）'!C14+'树木（北院）'!C14+'树木（南院）'!C14</f>
        <v>0</v>
      </c>
      <c r="D8" s="16">
        <f>'树木（院外）'!D14+'树木（北院）'!D14+'树木（南院）'!D14</f>
        <v>14</v>
      </c>
      <c r="E8" s="16">
        <f>'树木（院外）'!E14+'树木（北院）'!E14+'树木（南院）'!E14</f>
        <v>6</v>
      </c>
      <c r="F8" s="16">
        <f>'树木（院外）'!F14+'树木（北院）'!F14+'树木（南院）'!F14</f>
        <v>0</v>
      </c>
      <c r="G8" s="16">
        <f>'树木（院外）'!G14+'树木（北院）'!G14+'树木（南院）'!G14</f>
        <v>0</v>
      </c>
      <c r="H8" s="16">
        <f>'树木（院外）'!H14+'树木（北院）'!H14+'树木（南院）'!H14</f>
        <v>0</v>
      </c>
      <c r="I8" s="16">
        <f>'树木（院外）'!I14+'树木（北院）'!I14+'树木（南院）'!I14</f>
        <v>0</v>
      </c>
      <c r="J8" s="16">
        <f>'树木（院外）'!J14+'树木（北院）'!J14+'树木（南院）'!J14</f>
        <v>0</v>
      </c>
      <c r="K8" s="16">
        <f>'树木（院外）'!K14+'树木（北院）'!K14+'树木（南院）'!K14</f>
        <v>0</v>
      </c>
      <c r="L8" s="16">
        <f>'树木（院外）'!L14+'树木（北院）'!L14+'树木（南院）'!L14</f>
        <v>0</v>
      </c>
      <c r="M8" s="16">
        <f t="shared" si="0"/>
        <v>20</v>
      </c>
    </row>
    <row r="9" spans="1:13" ht="18.75" customHeight="1" x14ac:dyDescent="0.15">
      <c r="A9" s="4">
        <v>7</v>
      </c>
      <c r="B9" s="4" t="s">
        <v>20</v>
      </c>
      <c r="C9" s="16">
        <f>'树木（院外）'!C15+'树木（北院）'!C15+'树木（南院）'!C15</f>
        <v>126</v>
      </c>
      <c r="D9" s="16">
        <f>'树木（院外）'!D15+'树木（北院）'!D15+'树木（南院）'!D15</f>
        <v>231</v>
      </c>
      <c r="E9" s="16">
        <f>'树木（院外）'!E15+'树木（北院）'!E15+'树木（南院）'!E15</f>
        <v>59</v>
      </c>
      <c r="F9" s="16">
        <f>'树木（院外）'!F15+'树木（北院）'!F15+'树木（南院）'!F15</f>
        <v>3</v>
      </c>
      <c r="G9" s="16">
        <f>'树木（院外）'!G15+'树木（北院）'!G15+'树木（南院）'!G15</f>
        <v>1</v>
      </c>
      <c r="H9" s="16">
        <f>'树木（院外）'!H15+'树木（北院）'!H15+'树木（南院）'!H15</f>
        <v>0</v>
      </c>
      <c r="I9" s="16">
        <f>'树木（院外）'!I15+'树木（北院）'!I15+'树木（南院）'!I15</f>
        <v>0</v>
      </c>
      <c r="J9" s="16">
        <f>'树木（院外）'!J15+'树木（北院）'!J15+'树木（南院）'!J15</f>
        <v>0</v>
      </c>
      <c r="K9" s="16">
        <f>'树木（院外）'!K15+'树木（北院）'!K15+'树木（南院）'!K15</f>
        <v>0</v>
      </c>
      <c r="L9" s="16">
        <f>'树木（院外）'!L15+'树木（北院）'!L15+'树木（南院）'!L15</f>
        <v>0</v>
      </c>
      <c r="M9" s="16">
        <f t="shared" si="0"/>
        <v>420</v>
      </c>
    </row>
    <row r="10" spans="1:13" ht="18.75" customHeight="1" x14ac:dyDescent="0.15">
      <c r="A10" s="4">
        <v>8</v>
      </c>
      <c r="B10" s="4" t="s">
        <v>21</v>
      </c>
      <c r="C10" s="16">
        <f>'树木（院外）'!C16+'树木（北院）'!C16+'树木（南院）'!C16</f>
        <v>0</v>
      </c>
      <c r="D10" s="16">
        <f>'树木（院外）'!D16+'树木（北院）'!D16+'树木（南院）'!D16</f>
        <v>0</v>
      </c>
      <c r="E10" s="16">
        <f>'树木（院外）'!E16+'树木（北院）'!E16+'树木（南院）'!E16</f>
        <v>0</v>
      </c>
      <c r="F10" s="16">
        <f>'树木（院外）'!F16+'树木（北院）'!F16+'树木（南院）'!F16</f>
        <v>0</v>
      </c>
      <c r="G10" s="16">
        <f>'树木（院外）'!G16+'树木（北院）'!G16+'树木（南院）'!G16</f>
        <v>0</v>
      </c>
      <c r="H10" s="16">
        <f>'树木（院外）'!H16+'树木（北院）'!H16+'树木（南院）'!H16</f>
        <v>0</v>
      </c>
      <c r="I10" s="16">
        <f>'树木（院外）'!I16+'树木（北院）'!I16+'树木（南院）'!I16</f>
        <v>0</v>
      </c>
      <c r="J10" s="16">
        <f>'树木（院外）'!J16+'树木（北院）'!J16+'树木（南院）'!J16</f>
        <v>0</v>
      </c>
      <c r="K10" s="16">
        <f>'树木（院外）'!K16+'树木（北院）'!K16+'树木（南院）'!K16</f>
        <v>0</v>
      </c>
      <c r="L10" s="16">
        <f>'树木（院外）'!L16+'树木（北院）'!L16+'树木（南院）'!L16</f>
        <v>0</v>
      </c>
      <c r="M10" s="16">
        <f t="shared" si="0"/>
        <v>0</v>
      </c>
    </row>
    <row r="11" spans="1:13" ht="18.75" customHeight="1" x14ac:dyDescent="0.15">
      <c r="A11" s="4">
        <v>9</v>
      </c>
      <c r="B11" s="4" t="s">
        <v>22</v>
      </c>
      <c r="C11" s="16">
        <f>'树木（院外）'!C17+'树木（北院）'!C17+'树木（南院）'!C17</f>
        <v>0</v>
      </c>
      <c r="D11" s="16">
        <f>'树木（院外）'!D17+'树木（北院）'!D17+'树木（南院）'!D17</f>
        <v>0</v>
      </c>
      <c r="E11" s="16">
        <f>'树木（院外）'!E17+'树木（北院）'!E17+'树木（南院）'!E17</f>
        <v>0</v>
      </c>
      <c r="F11" s="16">
        <f>'树木（院外）'!F17+'树木（北院）'!F17+'树木（南院）'!F17</f>
        <v>0</v>
      </c>
      <c r="G11" s="16">
        <f>'树木（院外）'!G17+'树木（北院）'!G17+'树木（南院）'!G17</f>
        <v>0</v>
      </c>
      <c r="H11" s="16">
        <f>'树木（院外）'!H17+'树木（北院）'!H17+'树木（南院）'!H17</f>
        <v>0</v>
      </c>
      <c r="I11" s="16">
        <f>'树木（院外）'!I17+'树木（北院）'!I17+'树木（南院）'!I17</f>
        <v>0</v>
      </c>
      <c r="J11" s="16">
        <f>'树木（院外）'!J17+'树木（北院）'!J17+'树木（南院）'!J17</f>
        <v>0</v>
      </c>
      <c r="K11" s="16">
        <f>'树木（院外）'!K17+'树木（北院）'!K17+'树木（南院）'!K17</f>
        <v>0</v>
      </c>
      <c r="L11" s="16">
        <f>'树木（院外）'!L17+'树木（北院）'!L17+'树木（南院）'!L17</f>
        <v>0</v>
      </c>
      <c r="M11" s="16">
        <f t="shared" si="0"/>
        <v>0</v>
      </c>
    </row>
    <row r="12" spans="1:13" ht="18.75" customHeight="1" x14ac:dyDescent="0.15">
      <c r="A12" s="4">
        <v>10</v>
      </c>
      <c r="B12" s="4" t="s">
        <v>23</v>
      </c>
      <c r="C12" s="16">
        <f>'树木（院外）'!C18+'树木（北院）'!C18+'树木（南院）'!C18</f>
        <v>244</v>
      </c>
      <c r="D12" s="16">
        <f>'树木（院外）'!D18+'树木（北院）'!D18+'树木（南院）'!D18</f>
        <v>176</v>
      </c>
      <c r="E12" s="16">
        <f>'树木（院外）'!E18+'树木（北院）'!E18+'树木（南院）'!E18</f>
        <v>109</v>
      </c>
      <c r="F12" s="16">
        <f>'树木（院外）'!F18+'树木（北院）'!F18+'树木（南院）'!F18</f>
        <v>25</v>
      </c>
      <c r="G12" s="16">
        <f>'树木（院外）'!G18+'树木（北院）'!G18+'树木（南院）'!G18</f>
        <v>4</v>
      </c>
      <c r="H12" s="16">
        <f>'树木（院外）'!H18+'树木（北院）'!H18+'树木（南院）'!H18</f>
        <v>0</v>
      </c>
      <c r="I12" s="16">
        <f>'树木（院外）'!I18+'树木（北院）'!I18+'树木（南院）'!I18</f>
        <v>0</v>
      </c>
      <c r="J12" s="16">
        <f>'树木（院外）'!J18+'树木（北院）'!J18+'树木（南院）'!J18</f>
        <v>0</v>
      </c>
      <c r="K12" s="16">
        <f>'树木（院外）'!K18+'树木（北院）'!K18+'树木（南院）'!K18</f>
        <v>0</v>
      </c>
      <c r="L12" s="16">
        <f>'树木（院外）'!L18+'树木（北院）'!L18+'树木（南院）'!L18</f>
        <v>0</v>
      </c>
      <c r="M12" s="16">
        <f t="shared" si="0"/>
        <v>558</v>
      </c>
    </row>
    <row r="13" spans="1:13" ht="18.75" customHeight="1" x14ac:dyDescent="0.15">
      <c r="A13" s="4">
        <v>11</v>
      </c>
      <c r="B13" s="4" t="s">
        <v>24</v>
      </c>
      <c r="C13" s="16">
        <f>'树木（院外）'!C19+'树木（北院）'!C19+'树木（南院）'!C19</f>
        <v>320</v>
      </c>
      <c r="D13" s="16">
        <f>'树木（院外）'!D19+'树木（北院）'!D19+'树木（南院）'!D19</f>
        <v>675</v>
      </c>
      <c r="E13" s="16">
        <f>'树木（院外）'!E19+'树木（北院）'!E19+'树木（南院）'!E19</f>
        <v>604</v>
      </c>
      <c r="F13" s="16">
        <f>'树木（院外）'!F19+'树木（北院）'!F19+'树木（南院）'!F19</f>
        <v>502</v>
      </c>
      <c r="G13" s="16">
        <f>'树木（院外）'!G19+'树木（北院）'!G19+'树木（南院）'!G19</f>
        <v>301</v>
      </c>
      <c r="H13" s="16">
        <f>'树木（院外）'!H19+'树木（北院）'!H19+'树木（南院）'!H19</f>
        <v>214</v>
      </c>
      <c r="I13" s="16">
        <f>'树木（院外）'!I19+'树木（北院）'!I19+'树木（南院）'!I19</f>
        <v>44</v>
      </c>
      <c r="J13" s="16">
        <f>'树木（院外）'!J19+'树木（北院）'!J19+'树木（南院）'!J19</f>
        <v>1</v>
      </c>
      <c r="K13" s="16">
        <f>'树木（院外）'!K19+'树木（北院）'!K19+'树木（南院）'!K19</f>
        <v>2</v>
      </c>
      <c r="L13" s="16">
        <f>'树木（院外）'!L19+'树木（北院）'!L19+'树木（南院）'!L19</f>
        <v>2</v>
      </c>
      <c r="M13" s="16">
        <f t="shared" si="0"/>
        <v>2665</v>
      </c>
    </row>
    <row r="14" spans="1:13" ht="18.75" customHeight="1" x14ac:dyDescent="0.15">
      <c r="A14" s="4">
        <v>12</v>
      </c>
      <c r="B14" s="4" t="s">
        <v>25</v>
      </c>
      <c r="C14" s="16">
        <f>'树木（院外）'!C20+'树木（北院）'!C20+'树木（南院）'!C20</f>
        <v>36</v>
      </c>
      <c r="D14" s="16">
        <f>'树木（院外）'!D20+'树木（北院）'!D20+'树木（南院）'!D20</f>
        <v>39</v>
      </c>
      <c r="E14" s="16">
        <f>'树木（院外）'!E20+'树木（北院）'!E20+'树木（南院）'!E20</f>
        <v>102</v>
      </c>
      <c r="F14" s="16">
        <f>'树木（院外）'!F20+'树木（北院）'!F20+'树木（南院）'!F20</f>
        <v>55</v>
      </c>
      <c r="G14" s="16">
        <f>'树木（院外）'!G20+'树木（北院）'!G20+'树木（南院）'!G20</f>
        <v>65</v>
      </c>
      <c r="H14" s="16">
        <f>'树木（院外）'!H20+'树木（北院）'!H20+'树木（南院）'!H20</f>
        <v>49</v>
      </c>
      <c r="I14" s="16">
        <f>'树木（院外）'!I20+'树木（北院）'!I20+'树木（南院）'!I20</f>
        <v>8</v>
      </c>
      <c r="J14" s="16">
        <f>'树木（院外）'!J20+'树木（北院）'!J20+'树木（南院）'!J20</f>
        <v>1</v>
      </c>
      <c r="K14" s="16">
        <f>'树木（院外）'!K20+'树木（北院）'!K20+'树木（南院）'!K20</f>
        <v>0</v>
      </c>
      <c r="L14" s="16">
        <f>'树木（院外）'!L20+'树木（北院）'!L20+'树木（南院）'!L20</f>
        <v>0</v>
      </c>
      <c r="M14" s="16">
        <f t="shared" si="0"/>
        <v>355</v>
      </c>
    </row>
    <row r="15" spans="1:13" ht="18.75" customHeight="1" x14ac:dyDescent="0.15">
      <c r="A15" s="4">
        <v>13</v>
      </c>
      <c r="B15" s="4" t="s">
        <v>26</v>
      </c>
      <c r="C15" s="16">
        <f>'树木（院外）'!C21+'树木（北院）'!C21+'树木（南院）'!C21</f>
        <v>60</v>
      </c>
      <c r="D15" s="16">
        <f>'树木（院外）'!D21+'树木（北院）'!D21+'树木（南院）'!D21</f>
        <v>33</v>
      </c>
      <c r="E15" s="16">
        <f>'树木（院外）'!E21+'树木（北院）'!E21+'树木（南院）'!E21</f>
        <v>29</v>
      </c>
      <c r="F15" s="16">
        <f>'树木（院外）'!F21+'树木（北院）'!F21+'树木（南院）'!F21</f>
        <v>33</v>
      </c>
      <c r="G15" s="16">
        <f>'树木（院外）'!G21+'树木（北院）'!G21+'树木（南院）'!G21</f>
        <v>17</v>
      </c>
      <c r="H15" s="16">
        <f>'树木（院外）'!H21+'树木（北院）'!H21+'树木（南院）'!H21</f>
        <v>3</v>
      </c>
      <c r="I15" s="16">
        <f>'树木（院外）'!I21+'树木（北院）'!I21+'树木（南院）'!I21</f>
        <v>0</v>
      </c>
      <c r="J15" s="16">
        <f>'树木（院外）'!J21+'树木（北院）'!J21+'树木（南院）'!J21</f>
        <v>0</v>
      </c>
      <c r="K15" s="16">
        <f>'树木（院外）'!K21+'树木（北院）'!K21+'树木（南院）'!K21</f>
        <v>0</v>
      </c>
      <c r="L15" s="16">
        <f>'树木（院外）'!L21+'树木（北院）'!L21+'树木（南院）'!L21</f>
        <v>0</v>
      </c>
      <c r="M15" s="16">
        <f t="shared" si="0"/>
        <v>175</v>
      </c>
    </row>
    <row r="16" spans="1:13" ht="18.75" customHeight="1" x14ac:dyDescent="0.15">
      <c r="A16" s="4">
        <v>14</v>
      </c>
      <c r="B16" s="4" t="s">
        <v>27</v>
      </c>
      <c r="C16" s="16">
        <f>'树木（院外）'!C22+'树木（北院）'!C22+'树木（南院）'!C22</f>
        <v>80</v>
      </c>
      <c r="D16" s="16">
        <f>'树木（院外）'!D22+'树木（北院）'!D22+'树木（南院）'!D22</f>
        <v>21</v>
      </c>
      <c r="E16" s="16">
        <f>'树木（院外）'!E22+'树木（北院）'!E22+'树木（南院）'!E22</f>
        <v>16</v>
      </c>
      <c r="F16" s="16">
        <f>'树木（院外）'!F22+'树木（北院）'!F22+'树木（南院）'!F22</f>
        <v>0</v>
      </c>
      <c r="G16" s="16">
        <f>'树木（院外）'!G22+'树木（北院）'!G22+'树木（南院）'!G22</f>
        <v>0</v>
      </c>
      <c r="H16" s="16">
        <f>'树木（院外）'!H22+'树木（北院）'!H22+'树木（南院）'!H22</f>
        <v>0</v>
      </c>
      <c r="I16" s="16">
        <f>'树木（院外）'!I22+'树木（北院）'!I22+'树木（南院）'!I22</f>
        <v>0</v>
      </c>
      <c r="J16" s="16">
        <f>'树木（院外）'!J22+'树木（北院）'!J22+'树木（南院）'!J22</f>
        <v>0</v>
      </c>
      <c r="K16" s="16">
        <f>'树木（院外）'!K22+'树木（北院）'!K22+'树木（南院）'!K22</f>
        <v>0</v>
      </c>
      <c r="L16" s="16">
        <f>'树木（院外）'!L22+'树木（北院）'!L22+'树木（南院）'!L22</f>
        <v>0</v>
      </c>
      <c r="M16" s="16">
        <f t="shared" si="0"/>
        <v>117</v>
      </c>
    </row>
    <row r="17" spans="1:13" ht="18.75" customHeight="1" x14ac:dyDescent="0.15">
      <c r="A17" s="4">
        <v>15</v>
      </c>
      <c r="B17" s="4" t="s">
        <v>28</v>
      </c>
      <c r="C17" s="16">
        <f>'树木（院外）'!C23+'树木（北院）'!C23+'树木（南院）'!C23</f>
        <v>0</v>
      </c>
      <c r="D17" s="16">
        <f>'树木（院外）'!D23+'树木（北院）'!D23+'树木（南院）'!D23</f>
        <v>0</v>
      </c>
      <c r="E17" s="16">
        <f>'树木（院外）'!E23+'树木（北院）'!E23+'树木（南院）'!E23</f>
        <v>0</v>
      </c>
      <c r="F17" s="16">
        <f>'树木（院外）'!F23+'树木（北院）'!F23+'树木（南院）'!F23</f>
        <v>0</v>
      </c>
      <c r="G17" s="16">
        <f>'树木（院外）'!G23+'树木（北院）'!G23+'树木（南院）'!G23</f>
        <v>0</v>
      </c>
      <c r="H17" s="16">
        <f>'树木（院外）'!H23+'树木（北院）'!H23+'树木（南院）'!H23</f>
        <v>0</v>
      </c>
      <c r="I17" s="16">
        <f>'树木（院外）'!I23+'树木（北院）'!I23+'树木（南院）'!I23</f>
        <v>0</v>
      </c>
      <c r="J17" s="16">
        <f>'树木（院外）'!J23+'树木（北院）'!J23+'树木（南院）'!J23</f>
        <v>0</v>
      </c>
      <c r="K17" s="16">
        <f>'树木（院外）'!K23+'树木（北院）'!K23+'树木（南院）'!K23</f>
        <v>0</v>
      </c>
      <c r="L17" s="16">
        <f>'树木（院外）'!L23+'树木（北院）'!L23+'树木（南院）'!L23</f>
        <v>0</v>
      </c>
      <c r="M17" s="16">
        <f t="shared" si="0"/>
        <v>0</v>
      </c>
    </row>
    <row r="18" spans="1:13" ht="18.75" customHeight="1" x14ac:dyDescent="0.15">
      <c r="A18" s="4">
        <v>16</v>
      </c>
      <c r="B18" s="4" t="s">
        <v>31</v>
      </c>
      <c r="C18" s="16">
        <f>'树木（院外）'!C24+'树木（北院）'!C24+'树木（南院）'!C24</f>
        <v>0</v>
      </c>
      <c r="D18" s="16">
        <f>'树木（院外）'!D24+'树木（北院）'!D24+'树木（南院）'!D24</f>
        <v>1</v>
      </c>
      <c r="E18" s="16">
        <f>'树木（院外）'!E24+'树木（北院）'!E24+'树木（南院）'!E24</f>
        <v>0</v>
      </c>
      <c r="F18" s="16">
        <f>'树木（院外）'!F24+'树木（北院）'!F24+'树木（南院）'!F24</f>
        <v>0</v>
      </c>
      <c r="G18" s="16">
        <f>'树木（院外）'!G24+'树木（北院）'!G24+'树木（南院）'!G24</f>
        <v>0</v>
      </c>
      <c r="H18" s="16">
        <f>'树木（院外）'!H24+'树木（北院）'!H24+'树木（南院）'!H24</f>
        <v>0</v>
      </c>
      <c r="I18" s="16">
        <f>'树木（院外）'!I24+'树木（北院）'!I24+'树木（南院）'!I24</f>
        <v>0</v>
      </c>
      <c r="J18" s="16">
        <f>'树木（院外）'!J24+'树木（北院）'!J24+'树木（南院）'!J24</f>
        <v>0</v>
      </c>
      <c r="K18" s="16">
        <f>'树木（院外）'!K24+'树木（北院）'!K24+'树木（南院）'!K24</f>
        <v>0</v>
      </c>
      <c r="L18" s="16">
        <f>'树木（院外）'!L24+'树木（北院）'!L24+'树木（南院）'!L24</f>
        <v>0</v>
      </c>
      <c r="M18" s="16">
        <f t="shared" si="0"/>
        <v>1</v>
      </c>
    </row>
    <row r="19" spans="1:13" ht="18.75" customHeight="1" x14ac:dyDescent="0.15">
      <c r="A19" s="4">
        <v>17</v>
      </c>
      <c r="B19" s="4" t="s">
        <v>29</v>
      </c>
      <c r="C19" s="16">
        <f>'树木（院外）'!C25+'树木（北院）'!C25+'树木（南院）'!C25</f>
        <v>138</v>
      </c>
      <c r="D19" s="16">
        <f>'树木（院外）'!D25+'树木（北院）'!D25+'树木（南院）'!D25</f>
        <v>107</v>
      </c>
      <c r="E19" s="16">
        <f>'树木（院外）'!E25+'树木（北院）'!E25+'树木（南院）'!E25</f>
        <v>0</v>
      </c>
      <c r="F19" s="16">
        <f>'树木（院外）'!F25+'树木（北院）'!F25+'树木（南院）'!F25</f>
        <v>5</v>
      </c>
      <c r="G19" s="16">
        <f>'树木（院外）'!G25+'树木（北院）'!G25+'树木（南院）'!G25</f>
        <v>0</v>
      </c>
      <c r="H19" s="16">
        <f>'树木（院外）'!H25+'树木（北院）'!H25+'树木（南院）'!H25</f>
        <v>0</v>
      </c>
      <c r="I19" s="16">
        <f>'树木（院外）'!I25+'树木（北院）'!I25+'树木（南院）'!I25</f>
        <v>0</v>
      </c>
      <c r="J19" s="16">
        <f>'树木（院外）'!J25+'树木（北院）'!J25+'树木（南院）'!J25</f>
        <v>0</v>
      </c>
      <c r="K19" s="16">
        <f>'树木（院外）'!K25+'树木（北院）'!K25+'树木（南院）'!K25</f>
        <v>0</v>
      </c>
      <c r="L19" s="16">
        <f>'树木（院外）'!L25+'树木（北院）'!L25+'树木（南院）'!L25</f>
        <v>0</v>
      </c>
      <c r="M19" s="16">
        <f t="shared" si="0"/>
        <v>250</v>
      </c>
    </row>
    <row r="20" spans="1:13" ht="18.75" customHeight="1" x14ac:dyDescent="0.15">
      <c r="A20" s="4">
        <v>18</v>
      </c>
      <c r="B20" s="4" t="s">
        <v>30</v>
      </c>
      <c r="C20" s="16">
        <f>'树木（院外）'!C26+'树木（北院）'!C26+'树木（南院）'!C26</f>
        <v>0</v>
      </c>
      <c r="D20" s="16">
        <f>'树木（院外）'!D26+'树木（北院）'!D26+'树木（南院）'!D26</f>
        <v>0</v>
      </c>
      <c r="E20" s="16">
        <f>'树木（院外）'!E26+'树木（北院）'!E26+'树木（南院）'!E26</f>
        <v>0</v>
      </c>
      <c r="F20" s="16">
        <f>'树木（院外）'!F26+'树木（北院）'!F26+'树木（南院）'!F26</f>
        <v>0</v>
      </c>
      <c r="G20" s="16">
        <f>'树木（院外）'!G26+'树木（北院）'!G26+'树木（南院）'!G26</f>
        <v>0</v>
      </c>
      <c r="H20" s="16">
        <f>'树木（院外）'!H26+'树木（北院）'!H26+'树木（南院）'!H26</f>
        <v>0</v>
      </c>
      <c r="I20" s="16">
        <f>'树木（院外）'!I26+'树木（北院）'!I26+'树木（南院）'!I26</f>
        <v>0</v>
      </c>
      <c r="J20" s="16">
        <f>'树木（院外）'!J26+'树木（北院）'!J26+'树木（南院）'!J26</f>
        <v>0</v>
      </c>
      <c r="K20" s="16">
        <f>'树木（院外）'!K26+'树木（北院）'!K26+'树木（南院）'!K26</f>
        <v>0</v>
      </c>
      <c r="L20" s="16">
        <f>'树木（院外）'!L26+'树木（北院）'!L26+'树木（南院）'!L26</f>
        <v>0</v>
      </c>
      <c r="M20" s="16">
        <f t="shared" si="0"/>
        <v>0</v>
      </c>
    </row>
    <row r="21" spans="1:13" ht="18.75" customHeight="1" x14ac:dyDescent="0.15">
      <c r="A21" s="4">
        <v>19</v>
      </c>
      <c r="B21" s="5" t="s">
        <v>39</v>
      </c>
      <c r="C21" s="16">
        <f>'树木（院外）'!C27+'树木（北院）'!C31+'树木（南院）'!C31</f>
        <v>2235</v>
      </c>
      <c r="D21" s="16">
        <f>'树木（院外）'!D27+'树木（北院）'!D31+'树木（南院）'!D31</f>
        <v>695</v>
      </c>
      <c r="E21" s="16">
        <f>'树木（院外）'!E27+'树木（北院）'!E31+'树木（南院）'!E31</f>
        <v>5</v>
      </c>
      <c r="F21" s="16">
        <f>'树木（院外）'!F27+'树木（北院）'!F31+'树木（南院）'!F31</f>
        <v>3</v>
      </c>
      <c r="G21" s="16">
        <f>'树木（院外）'!G27+'树木（北院）'!G31+'树木（南院）'!G31</f>
        <v>0</v>
      </c>
      <c r="H21" s="16">
        <f>'树木（院外）'!H27+'树木（北院）'!H31+'树木（南院）'!H31</f>
        <v>0</v>
      </c>
      <c r="I21" s="16">
        <f>'树木（院外）'!I27+'树木（北院）'!I31+'树木（南院）'!I31</f>
        <v>0</v>
      </c>
      <c r="J21" s="16">
        <f>'树木（院外）'!J27+'树木（北院）'!J31+'树木（南院）'!J31</f>
        <v>0</v>
      </c>
      <c r="K21" s="16">
        <f>'树木（院外）'!K27+'树木（北院）'!K31+'树木（南院）'!K31</f>
        <v>0</v>
      </c>
      <c r="L21" s="16">
        <f>'树木（院外）'!L27+'树木（北院）'!L31+'树木（南院）'!L31</f>
        <v>0</v>
      </c>
      <c r="M21" s="16">
        <f t="shared" si="0"/>
        <v>2938</v>
      </c>
    </row>
    <row r="22" spans="1:13" ht="18.75" customHeight="1" x14ac:dyDescent="0.15">
      <c r="A22" s="4">
        <v>20</v>
      </c>
      <c r="B22" s="5" t="s">
        <v>40</v>
      </c>
      <c r="C22" s="16">
        <f>'树木（院外）'!C28+'树木（北院）'!C30+'树木（南院）'!C27</f>
        <v>669</v>
      </c>
      <c r="D22" s="16">
        <f>'树木（院外）'!D28+'树木（北院）'!D30+'树木（南院）'!D27</f>
        <v>782</v>
      </c>
      <c r="E22" s="16">
        <f>'树木（院外）'!E28+'树木（北院）'!E30+'树木（南院）'!E27</f>
        <v>110</v>
      </c>
      <c r="F22" s="16">
        <f>'树木（院外）'!F28+'树木（北院）'!F30+'树木（南院）'!F27</f>
        <v>0</v>
      </c>
      <c r="G22" s="16">
        <f>'树木（院外）'!G28+'树木（北院）'!G30+'树木（南院）'!G27</f>
        <v>0</v>
      </c>
      <c r="H22" s="16">
        <f>'树木（院外）'!H28+'树木（北院）'!H30+'树木（南院）'!H27</f>
        <v>0</v>
      </c>
      <c r="I22" s="16">
        <f>'树木（院外）'!I28+'树木（北院）'!I30+'树木（南院）'!I27</f>
        <v>0</v>
      </c>
      <c r="J22" s="16">
        <f>'树木（院外）'!J28+'树木（北院）'!J30+'树木（南院）'!J27</f>
        <v>0</v>
      </c>
      <c r="K22" s="16">
        <f>'树木（院外）'!K28+'树木（北院）'!K30+'树木（南院）'!K27</f>
        <v>0</v>
      </c>
      <c r="L22" s="16">
        <f>'树木（院外）'!L28+'树木（北院）'!L30+'树木（南院）'!L27</f>
        <v>0</v>
      </c>
      <c r="M22" s="16">
        <f t="shared" si="0"/>
        <v>1561</v>
      </c>
    </row>
    <row r="23" spans="1:13" ht="18.75" customHeight="1" x14ac:dyDescent="0.15">
      <c r="A23" s="4">
        <v>21</v>
      </c>
      <c r="B23" s="5" t="s">
        <v>41</v>
      </c>
      <c r="C23" s="16">
        <f>'树木（院外）'!C29+'树木（北院）'!C28+'树木（南院）'!C28</f>
        <v>979</v>
      </c>
      <c r="D23" s="16">
        <f>'树木（院外）'!D29+'树木（北院）'!D28+'树木（南院）'!D28</f>
        <v>197</v>
      </c>
      <c r="E23" s="16">
        <f>'树木（院外）'!E29+'树木（北院）'!E28+'树木（南院）'!E28</f>
        <v>1</v>
      </c>
      <c r="F23" s="16">
        <f>'树木（院外）'!F29+'树木（北院）'!F28+'树木（南院）'!F28</f>
        <v>1</v>
      </c>
      <c r="G23" s="16">
        <f>'树木（院外）'!G29+'树木（北院）'!G28+'树木（南院）'!G28</f>
        <v>0</v>
      </c>
      <c r="H23" s="16">
        <f>'树木（院外）'!H29+'树木（北院）'!H28+'树木（南院）'!H28</f>
        <v>0</v>
      </c>
      <c r="I23" s="16">
        <f>'树木（院外）'!I29+'树木（北院）'!I28+'树木（南院）'!I28</f>
        <v>0</v>
      </c>
      <c r="J23" s="16">
        <f>'树木（院外）'!J29+'树木（北院）'!J28+'树木（南院）'!J28</f>
        <v>0</v>
      </c>
      <c r="K23" s="16">
        <f>'树木（院外）'!K29+'树木（北院）'!K28+'树木（南院）'!K28</f>
        <v>0</v>
      </c>
      <c r="L23" s="16">
        <f>'树木（院外）'!L29+'树木（北院）'!L28+'树木（南院）'!L28</f>
        <v>0</v>
      </c>
      <c r="M23" s="16">
        <f t="shared" si="0"/>
        <v>1178</v>
      </c>
    </row>
    <row r="24" spans="1:13" ht="18.75" customHeight="1" x14ac:dyDescent="0.15">
      <c r="A24" s="4">
        <v>22</v>
      </c>
      <c r="B24" s="5" t="s">
        <v>42</v>
      </c>
      <c r="C24" s="16">
        <f>'树木（院外）'!C30+'树木（南院）'!C30</f>
        <v>25</v>
      </c>
      <c r="D24" s="16">
        <f>'树木（院外）'!D30+'树木（南院）'!D30</f>
        <v>15</v>
      </c>
      <c r="E24" s="16">
        <f>'树木（院外）'!E30+'树木（南院）'!E30</f>
        <v>0</v>
      </c>
      <c r="F24" s="16">
        <f>'树木（院外）'!F30+'树木（南院）'!F30</f>
        <v>0</v>
      </c>
      <c r="G24" s="16">
        <f>'树木（院外）'!G30+'树木（南院）'!G30</f>
        <v>0</v>
      </c>
      <c r="H24" s="16">
        <f>'树木（院外）'!H30+'树木（南院）'!H30</f>
        <v>0</v>
      </c>
      <c r="I24" s="16">
        <f>'树木（院外）'!I30+'树木（南院）'!I30</f>
        <v>0</v>
      </c>
      <c r="J24" s="16">
        <f>'树木（院外）'!J30+'树木（南院）'!J30</f>
        <v>0</v>
      </c>
      <c r="K24" s="16">
        <f>'树木（院外）'!K30+'树木（南院）'!K30</f>
        <v>0</v>
      </c>
      <c r="L24" s="16">
        <f>'树木（院外）'!L30+'树木（南院）'!L30</f>
        <v>0</v>
      </c>
      <c r="M24" s="16">
        <f t="shared" si="0"/>
        <v>40</v>
      </c>
    </row>
    <row r="25" spans="1:13" ht="18.75" customHeight="1" x14ac:dyDescent="0.15">
      <c r="A25" s="4">
        <v>23</v>
      </c>
      <c r="B25" s="5" t="s">
        <v>43</v>
      </c>
      <c r="C25" s="16">
        <f>'树木（院外）'!C31+'树木（南院）'!C33</f>
        <v>1281</v>
      </c>
      <c r="D25" s="16">
        <f>'树木（院外）'!D31+'树木（南院）'!D33</f>
        <v>596</v>
      </c>
      <c r="E25" s="16">
        <f>'树木（院外）'!E31+'树木（南院）'!E33</f>
        <v>45</v>
      </c>
      <c r="F25" s="16">
        <f>'树木（院外）'!F31+'树木（南院）'!F33</f>
        <v>2</v>
      </c>
      <c r="G25" s="16">
        <f>'树木（院外）'!G31+'树木（南院）'!G33</f>
        <v>1</v>
      </c>
      <c r="H25" s="16">
        <f>'树木（院外）'!H31+'树木（南院）'!H33</f>
        <v>0</v>
      </c>
      <c r="I25" s="16">
        <f>'树木（院外）'!I31+'树木（南院）'!I33</f>
        <v>0</v>
      </c>
      <c r="J25" s="16">
        <f>'树木（院外）'!J31+'树木（南院）'!J33</f>
        <v>0</v>
      </c>
      <c r="K25" s="16">
        <f>'树木（院外）'!K31+'树木（南院）'!K33</f>
        <v>0</v>
      </c>
      <c r="L25" s="16">
        <f>'树木（院外）'!L31+'树木（南院）'!L33</f>
        <v>0</v>
      </c>
      <c r="M25" s="16">
        <f t="shared" si="0"/>
        <v>1925</v>
      </c>
    </row>
    <row r="26" spans="1:13" ht="18.75" customHeight="1" x14ac:dyDescent="0.15">
      <c r="A26" s="4">
        <v>24</v>
      </c>
      <c r="B26" s="4" t="s">
        <v>32</v>
      </c>
      <c r="C26" s="16">
        <f>'树木（院外）'!C32+'树木（北院）'!C33+'树木（南院）'!C32</f>
        <v>1206</v>
      </c>
      <c r="D26" s="16">
        <f>'树木（院外）'!D32+'树木（北院）'!D33+'树木（南院）'!D32</f>
        <v>50</v>
      </c>
      <c r="E26" s="16">
        <f>'树木（院外）'!E32+'树木（北院）'!E33+'树木（南院）'!E32</f>
        <v>0</v>
      </c>
      <c r="F26" s="16">
        <f>'树木（院外）'!F32+'树木（北院）'!F33+'树木（南院）'!F32</f>
        <v>0</v>
      </c>
      <c r="G26" s="16">
        <f>'树木（院外）'!G32+'树木（北院）'!G33+'树木（南院）'!G32</f>
        <v>0</v>
      </c>
      <c r="H26" s="16">
        <f>'树木（院外）'!H32+'树木（北院）'!H33+'树木（南院）'!H32</f>
        <v>0</v>
      </c>
      <c r="I26" s="16">
        <f>'树木（院外）'!I32+'树木（北院）'!I33+'树木（南院）'!I32</f>
        <v>0</v>
      </c>
      <c r="J26" s="16">
        <f>'树木（院外）'!J32+'树木（北院）'!J33+'树木（南院）'!J32</f>
        <v>0</v>
      </c>
      <c r="K26" s="16">
        <f>'树木（院外）'!K32+'树木（北院）'!K33+'树木（南院）'!K32</f>
        <v>0</v>
      </c>
      <c r="L26" s="16">
        <f>'树木（院外）'!L32+'树木（北院）'!L33+'树木（南院）'!L32</f>
        <v>0</v>
      </c>
      <c r="M26" s="16">
        <f t="shared" si="0"/>
        <v>1256</v>
      </c>
    </row>
    <row r="27" spans="1:13" ht="18.75" customHeight="1" x14ac:dyDescent="0.15">
      <c r="A27" s="4">
        <v>25</v>
      </c>
      <c r="B27" s="4" t="s">
        <v>44</v>
      </c>
      <c r="C27" s="16">
        <f>'树木（院外）'!C33+'树木（北院）'!C32</f>
        <v>885</v>
      </c>
      <c r="D27" s="16">
        <f>'树木（院外）'!D33+'树木（北院）'!D32</f>
        <v>345</v>
      </c>
      <c r="E27" s="16">
        <f>'树木（院外）'!E33+'树木（北院）'!E32</f>
        <v>20</v>
      </c>
      <c r="F27" s="16">
        <f>'树木（院外）'!F33+'树木（北院）'!F32</f>
        <v>0</v>
      </c>
      <c r="G27" s="16">
        <f>'树木（院外）'!G33+'树木（北院）'!G32</f>
        <v>2</v>
      </c>
      <c r="H27" s="16">
        <f>'树木（院外）'!H33+'树木（北院）'!H32</f>
        <v>0</v>
      </c>
      <c r="I27" s="16">
        <f>'树木（院外）'!I33+'树木（北院）'!I32</f>
        <v>0</v>
      </c>
      <c r="J27" s="16">
        <f>'树木（院外）'!J33+'树木（北院）'!J32</f>
        <v>0</v>
      </c>
      <c r="K27" s="16">
        <f>'树木（院外）'!K33+'树木（北院）'!K32</f>
        <v>0</v>
      </c>
      <c r="L27" s="16">
        <f>'树木（院外）'!L33+'树木（北院）'!L32</f>
        <v>0</v>
      </c>
      <c r="M27" s="16">
        <f t="shared" si="0"/>
        <v>1252</v>
      </c>
    </row>
    <row r="28" spans="1:13" ht="18.75" customHeight="1" x14ac:dyDescent="0.15">
      <c r="A28" s="4">
        <v>26</v>
      </c>
      <c r="B28" s="4" t="s">
        <v>45</v>
      </c>
      <c r="C28" s="16">
        <f>'树木（院外）'!C34</f>
        <v>1</v>
      </c>
      <c r="D28" s="16">
        <f>'树木（院外）'!D34</f>
        <v>0</v>
      </c>
      <c r="E28" s="16">
        <f>'树木（院外）'!E34</f>
        <v>0</v>
      </c>
      <c r="F28" s="16">
        <f>'树木（院外）'!F34</f>
        <v>1</v>
      </c>
      <c r="G28" s="16">
        <f>'树木（院外）'!G34</f>
        <v>0</v>
      </c>
      <c r="H28" s="16">
        <f>'树木（院外）'!H34</f>
        <v>0</v>
      </c>
      <c r="I28" s="16">
        <f>'树木（院外）'!I34</f>
        <v>0</v>
      </c>
      <c r="J28" s="16">
        <f>'树木（院外）'!J34</f>
        <v>0</v>
      </c>
      <c r="K28" s="16">
        <f>'树木（院外）'!K34</f>
        <v>0</v>
      </c>
      <c r="L28" s="16">
        <f>'树木（院外）'!L34</f>
        <v>0</v>
      </c>
      <c r="M28" s="16">
        <f t="shared" si="0"/>
        <v>2</v>
      </c>
    </row>
    <row r="29" spans="1:13" ht="18.75" customHeight="1" x14ac:dyDescent="0.15">
      <c r="A29" s="4">
        <v>27</v>
      </c>
      <c r="B29" s="4" t="s">
        <v>46</v>
      </c>
      <c r="C29" s="16">
        <f>'树木（院外）'!C35+'树木（北院）'!C29</f>
        <v>227</v>
      </c>
      <c r="D29" s="16">
        <f>'树木（院外）'!D35+'树木（北院）'!D29</f>
        <v>29</v>
      </c>
      <c r="E29" s="16">
        <f>'树木（院外）'!E35+'树木（北院）'!E29</f>
        <v>0</v>
      </c>
      <c r="F29" s="16">
        <f>'树木（院外）'!F35+'树木（北院）'!F29</f>
        <v>0</v>
      </c>
      <c r="G29" s="16">
        <f>'树木（院外）'!G35+'树木（北院）'!G29</f>
        <v>0</v>
      </c>
      <c r="H29" s="16">
        <f>'树木（院外）'!H35+'树木（北院）'!H29</f>
        <v>0</v>
      </c>
      <c r="I29" s="16">
        <f>'树木（院外）'!I35+'树木（北院）'!I29</f>
        <v>0</v>
      </c>
      <c r="J29" s="16">
        <f>'树木（院外）'!J35+'树木（北院）'!J29</f>
        <v>0</v>
      </c>
      <c r="K29" s="16">
        <f>'树木（院外）'!K35+'树木（北院）'!K29</f>
        <v>0</v>
      </c>
      <c r="L29" s="16">
        <f>'树木（院外）'!L35+'树木（北院）'!L29</f>
        <v>0</v>
      </c>
      <c r="M29" s="16">
        <f t="shared" si="0"/>
        <v>256</v>
      </c>
    </row>
    <row r="30" spans="1:13" ht="18.75" customHeight="1" x14ac:dyDescent="0.15">
      <c r="A30" s="4">
        <v>28</v>
      </c>
      <c r="B30" s="4" t="s">
        <v>47</v>
      </c>
      <c r="C30" s="16">
        <f>'树木（院外）'!C36</f>
        <v>163</v>
      </c>
      <c r="D30" s="16">
        <f>'树木（院外）'!D36</f>
        <v>75</v>
      </c>
      <c r="E30" s="16">
        <f>'树木（院外）'!E36</f>
        <v>11</v>
      </c>
      <c r="F30" s="16">
        <f>'树木（院外）'!F36</f>
        <v>0</v>
      </c>
      <c r="G30" s="16">
        <f>'树木（院外）'!G36</f>
        <v>0</v>
      </c>
      <c r="H30" s="16">
        <f>'树木（院外）'!H36</f>
        <v>0</v>
      </c>
      <c r="I30" s="16">
        <f>'树木（院外）'!I36</f>
        <v>0</v>
      </c>
      <c r="J30" s="16">
        <f>'树木（院外）'!J36</f>
        <v>0</v>
      </c>
      <c r="K30" s="16">
        <f>'树木（院外）'!K36</f>
        <v>0</v>
      </c>
      <c r="L30" s="16">
        <f>'树木（院外）'!L36</f>
        <v>0</v>
      </c>
      <c r="M30" s="16">
        <f t="shared" si="0"/>
        <v>249</v>
      </c>
    </row>
    <row r="31" spans="1:13" ht="18.75" customHeight="1" x14ac:dyDescent="0.15">
      <c r="A31" s="4">
        <v>29</v>
      </c>
      <c r="B31" s="4" t="s">
        <v>136</v>
      </c>
      <c r="C31" s="16">
        <f>'树木（北院）'!C27</f>
        <v>2</v>
      </c>
      <c r="D31" s="16">
        <f>'树木（北院）'!D27</f>
        <v>0</v>
      </c>
      <c r="E31" s="16">
        <f>'树木（北院）'!E27</f>
        <v>0</v>
      </c>
      <c r="F31" s="16">
        <f>'树木（北院）'!F27</f>
        <v>0</v>
      </c>
      <c r="G31" s="16">
        <f>'树木（北院）'!G27</f>
        <v>0</v>
      </c>
      <c r="H31" s="16">
        <f>'树木（北院）'!H27</f>
        <v>0</v>
      </c>
      <c r="I31" s="16">
        <f>'树木（北院）'!I27</f>
        <v>0</v>
      </c>
      <c r="J31" s="16">
        <f>'树木（北院）'!J27</f>
        <v>0</v>
      </c>
      <c r="K31" s="16">
        <f>'树木（北院）'!K27</f>
        <v>0</v>
      </c>
      <c r="L31" s="16">
        <f>'树木（北院）'!L27</f>
        <v>0</v>
      </c>
      <c r="M31" s="16">
        <f t="shared" si="0"/>
        <v>2</v>
      </c>
    </row>
    <row r="32" spans="1:13" ht="18.75" customHeight="1" x14ac:dyDescent="0.15">
      <c r="A32" s="4">
        <v>30</v>
      </c>
      <c r="B32" s="4" t="s">
        <v>137</v>
      </c>
      <c r="C32" s="16">
        <f>'树木（北院）'!C34</f>
        <v>0</v>
      </c>
      <c r="D32" s="16">
        <f>'树木（北院）'!D34</f>
        <v>3</v>
      </c>
      <c r="E32" s="16">
        <f>'树木（北院）'!E34</f>
        <v>0</v>
      </c>
      <c r="F32" s="16">
        <f>'树木（北院）'!F34</f>
        <v>0</v>
      </c>
      <c r="G32" s="16">
        <f>'树木（北院）'!G34</f>
        <v>0</v>
      </c>
      <c r="H32" s="16">
        <f>'树木（北院）'!H34</f>
        <v>0</v>
      </c>
      <c r="I32" s="16">
        <f>'树木（北院）'!I34</f>
        <v>0</v>
      </c>
      <c r="J32" s="16">
        <f>'树木（北院）'!J34</f>
        <v>0</v>
      </c>
      <c r="K32" s="16">
        <f>'树木（北院）'!K34</f>
        <v>0</v>
      </c>
      <c r="L32" s="16">
        <f>'树木（北院）'!L34</f>
        <v>0</v>
      </c>
      <c r="M32" s="16">
        <f t="shared" si="0"/>
        <v>3</v>
      </c>
    </row>
    <row r="33" spans="1:13" ht="18.75" customHeight="1" x14ac:dyDescent="0.15">
      <c r="A33" s="4">
        <v>31</v>
      </c>
      <c r="B33" s="4" t="s">
        <v>138</v>
      </c>
      <c r="C33" s="16">
        <f>'树木（南院）'!C29</f>
        <v>0</v>
      </c>
      <c r="D33" s="16">
        <f>'树木（南院）'!D29</f>
        <v>6</v>
      </c>
      <c r="E33" s="16">
        <f>'树木（南院）'!E29</f>
        <v>0</v>
      </c>
      <c r="F33" s="16">
        <f>'树木（南院）'!F29</f>
        <v>0</v>
      </c>
      <c r="G33" s="16">
        <f>'树木（南院）'!G29</f>
        <v>0</v>
      </c>
      <c r="H33" s="16">
        <f>'树木（南院）'!H29</f>
        <v>0</v>
      </c>
      <c r="I33" s="16">
        <f>'树木（南院）'!I29</f>
        <v>0</v>
      </c>
      <c r="J33" s="16">
        <f>'树木（南院）'!J29</f>
        <v>0</v>
      </c>
      <c r="K33" s="16">
        <f>'树木（南院）'!K29</f>
        <v>0</v>
      </c>
      <c r="L33" s="16">
        <f>'树木（南院）'!L29</f>
        <v>0</v>
      </c>
      <c r="M33" s="16">
        <f t="shared" si="0"/>
        <v>6</v>
      </c>
    </row>
    <row r="34" spans="1:13" ht="18.75" customHeight="1" x14ac:dyDescent="0.15">
      <c r="C34" s="16">
        <f t="shared" ref="C34:L34" si="1">SUM(C3:C33)</f>
        <v>13188</v>
      </c>
      <c r="D34" s="16">
        <f t="shared" si="1"/>
        <v>5514</v>
      </c>
      <c r="E34" s="16">
        <f t="shared" si="1"/>
        <v>1654</v>
      </c>
      <c r="F34" s="16">
        <f t="shared" si="1"/>
        <v>764</v>
      </c>
      <c r="G34" s="16">
        <f t="shared" si="1"/>
        <v>405</v>
      </c>
      <c r="H34" s="16">
        <f t="shared" si="1"/>
        <v>266</v>
      </c>
      <c r="I34" s="16">
        <f t="shared" si="1"/>
        <v>53</v>
      </c>
      <c r="J34" s="16">
        <f t="shared" si="1"/>
        <v>2</v>
      </c>
      <c r="K34" s="16">
        <f t="shared" si="1"/>
        <v>2</v>
      </c>
      <c r="L34" s="16">
        <f t="shared" si="1"/>
        <v>2</v>
      </c>
      <c r="M34" s="22">
        <f t="shared" si="0"/>
        <v>21850</v>
      </c>
    </row>
    <row r="35" spans="1:13" ht="18.75" customHeight="1" x14ac:dyDescent="0.15">
      <c r="A35" s="12">
        <v>32</v>
      </c>
      <c r="B35" s="12" t="s">
        <v>141</v>
      </c>
      <c r="C35">
        <f>39+200*2</f>
        <v>439</v>
      </c>
    </row>
    <row r="36" spans="1:13" ht="18.75" customHeight="1" x14ac:dyDescent="0.15">
      <c r="A36" s="12">
        <v>33</v>
      </c>
      <c r="B36" s="12" t="s">
        <v>143</v>
      </c>
      <c r="C36">
        <f>300+1500</f>
        <v>1800</v>
      </c>
    </row>
    <row r="37" spans="1:13" ht="18.75" customHeight="1" x14ac:dyDescent="0.15">
      <c r="A37" s="12">
        <v>34</v>
      </c>
      <c r="B37" s="12" t="s">
        <v>144</v>
      </c>
      <c r="C37">
        <f>130+710</f>
        <v>840</v>
      </c>
    </row>
    <row r="38" spans="1:13" ht="18.75" customHeight="1" x14ac:dyDescent="0.15">
      <c r="A38" s="12">
        <v>35</v>
      </c>
      <c r="B38" s="12" t="s">
        <v>145</v>
      </c>
      <c r="C38">
        <v>730</v>
      </c>
    </row>
    <row r="39" spans="1:13" ht="18.75" customHeight="1" x14ac:dyDescent="0.15">
      <c r="A39" s="12">
        <v>36</v>
      </c>
      <c r="B39" s="12" t="s">
        <v>146</v>
      </c>
      <c r="C39">
        <v>70</v>
      </c>
    </row>
    <row r="40" spans="1:13" ht="18.75" customHeight="1" x14ac:dyDescent="0.15">
      <c r="A40" s="12">
        <v>37</v>
      </c>
      <c r="B40" s="12" t="s">
        <v>147</v>
      </c>
      <c r="C40" s="17">
        <f>300+8000</f>
        <v>8300</v>
      </c>
      <c r="D40" s="17"/>
    </row>
    <row r="42" spans="1:13" ht="18.75" customHeight="1" x14ac:dyDescent="0.15">
      <c r="A42" s="12">
        <v>38</v>
      </c>
      <c r="B42" s="12" t="s">
        <v>139</v>
      </c>
      <c r="C42">
        <f>('树木（院外）'!C51+'树木（北院）'!C43+225)*10</f>
        <v>3900</v>
      </c>
    </row>
    <row r="43" spans="1:13" ht="34.5" customHeight="1" x14ac:dyDescent="0.15">
      <c r="A43" s="12">
        <v>39</v>
      </c>
      <c r="B43" s="13" t="s">
        <v>148</v>
      </c>
      <c r="C43">
        <v>6</v>
      </c>
    </row>
    <row r="44" spans="1:13" ht="18.75" customHeight="1" x14ac:dyDescent="0.15">
      <c r="A44" s="12">
        <v>40</v>
      </c>
      <c r="B44" s="15" t="s">
        <v>149</v>
      </c>
      <c r="C44">
        <f>'树木（北院）'!C45</f>
        <v>117</v>
      </c>
    </row>
    <row r="45" spans="1:13" ht="18.75" customHeight="1" x14ac:dyDescent="0.15">
      <c r="A45" s="12">
        <v>41</v>
      </c>
      <c r="B45" s="15" t="str">
        <f>'树木（北院）'!B46</f>
        <v>紫叶小檗</v>
      </c>
      <c r="C45">
        <f>'树木（北院）'!C46</f>
        <v>118</v>
      </c>
    </row>
    <row r="46" spans="1:13" ht="18.75" customHeight="1" x14ac:dyDescent="0.15">
      <c r="A46" s="12">
        <v>42</v>
      </c>
      <c r="B46" s="15" t="str">
        <f>'树木（北院）'!B47</f>
        <v>侧柏</v>
      </c>
      <c r="C46">
        <f>'树木（北院）'!C47</f>
        <v>32</v>
      </c>
    </row>
  </sheetData>
  <mergeCells count="3">
    <mergeCell ref="A1:A2"/>
    <mergeCell ref="B1:B2"/>
    <mergeCell ref="C1:L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>
      <selection activeCell="G12" sqref="G12"/>
    </sheetView>
  </sheetViews>
  <sheetFormatPr defaultRowHeight="12" x14ac:dyDescent="0.15"/>
  <cols>
    <col min="1" max="1" width="9" style="36"/>
    <col min="2" max="5" width="9" style="23"/>
    <col min="6" max="6" width="17.25" style="23" bestFit="1" customWidth="1"/>
    <col min="7" max="7" width="14.125" style="23" bestFit="1" customWidth="1"/>
    <col min="8" max="16384" width="9" style="23"/>
  </cols>
  <sheetData>
    <row r="1" spans="1:7" x14ac:dyDescent="0.15">
      <c r="A1" s="34" t="s">
        <v>219</v>
      </c>
      <c r="B1" s="34" t="s">
        <v>220</v>
      </c>
      <c r="C1" s="34" t="s">
        <v>221</v>
      </c>
      <c r="D1" s="34" t="s">
        <v>222</v>
      </c>
      <c r="E1" s="34" t="s">
        <v>225</v>
      </c>
      <c r="F1" s="34" t="s">
        <v>223</v>
      </c>
      <c r="G1" s="34" t="s">
        <v>224</v>
      </c>
    </row>
    <row r="2" spans="1:7" x14ac:dyDescent="0.15">
      <c r="A2" s="35">
        <v>1</v>
      </c>
      <c r="B2" s="30" t="s">
        <v>245</v>
      </c>
      <c r="C2" s="30" t="s">
        <v>161</v>
      </c>
      <c r="D2" s="30">
        <v>5</v>
      </c>
      <c r="E2" s="30">
        <f>汇总!C3</f>
        <v>1085</v>
      </c>
      <c r="F2" s="30">
        <f>VLOOKUP(C2,补偿标准!A:G,VLOOKUP(D2,补偿标准!K:L,2,1),0)</f>
        <v>12</v>
      </c>
      <c r="G2" s="30">
        <f>F2*E2</f>
        <v>13020</v>
      </c>
    </row>
    <row r="3" spans="1:7" x14ac:dyDescent="0.15">
      <c r="A3" s="35">
        <v>2</v>
      </c>
      <c r="B3" s="30" t="s">
        <v>245</v>
      </c>
      <c r="C3" s="30" t="s">
        <v>161</v>
      </c>
      <c r="D3" s="30">
        <v>15</v>
      </c>
      <c r="E3" s="30">
        <f>汇总!D3</f>
        <v>309</v>
      </c>
      <c r="F3" s="30">
        <f>VLOOKUP(C3,补偿标准!A:G,VLOOKUP(D3,补偿标准!K:L,2,1),0)</f>
        <v>20</v>
      </c>
      <c r="G3" s="30">
        <f t="shared" ref="G3:G26" si="0">F3*E3</f>
        <v>6180</v>
      </c>
    </row>
    <row r="4" spans="1:7" x14ac:dyDescent="0.15">
      <c r="A4" s="35">
        <v>3</v>
      </c>
      <c r="B4" s="30" t="s">
        <v>245</v>
      </c>
      <c r="C4" s="30" t="s">
        <v>161</v>
      </c>
      <c r="D4" s="30">
        <v>25</v>
      </c>
      <c r="E4" s="30">
        <f>汇总!E3</f>
        <v>14</v>
      </c>
      <c r="F4" s="30">
        <f>VLOOKUP(C4,补偿标准!A:G,VLOOKUP(D4,补偿标准!K:L,2,1),0)</f>
        <v>32</v>
      </c>
      <c r="G4" s="30">
        <f t="shared" si="0"/>
        <v>448</v>
      </c>
    </row>
    <row r="5" spans="1:7" x14ac:dyDescent="0.15">
      <c r="A5" s="35">
        <v>4</v>
      </c>
      <c r="B5" s="30" t="s">
        <v>245</v>
      </c>
      <c r="C5" s="30" t="s">
        <v>161</v>
      </c>
      <c r="D5" s="30">
        <v>35</v>
      </c>
      <c r="E5" s="30">
        <f>汇总!F3</f>
        <v>1</v>
      </c>
      <c r="F5" s="30">
        <f>VLOOKUP(C5,补偿标准!A:G,VLOOKUP(D5,补偿标准!K:L,2,1),0)</f>
        <v>48</v>
      </c>
      <c r="G5" s="30">
        <f t="shared" si="0"/>
        <v>48</v>
      </c>
    </row>
    <row r="6" spans="1:7" x14ac:dyDescent="0.15">
      <c r="A6" s="35">
        <v>5</v>
      </c>
      <c r="B6" s="30" t="s">
        <v>245</v>
      </c>
      <c r="C6" s="30" t="s">
        <v>162</v>
      </c>
      <c r="D6" s="30">
        <v>5</v>
      </c>
      <c r="E6" s="30">
        <f>汇总!C4</f>
        <v>1543</v>
      </c>
      <c r="F6" s="30">
        <f>VLOOKUP(C6,补偿标准!A:G,VLOOKUP(D6,补偿标准!K:L,2,1),0)</f>
        <v>12</v>
      </c>
      <c r="G6" s="30">
        <f t="shared" si="0"/>
        <v>18516</v>
      </c>
    </row>
    <row r="7" spans="1:7" x14ac:dyDescent="0.15">
      <c r="A7" s="35">
        <v>6</v>
      </c>
      <c r="B7" s="30" t="s">
        <v>245</v>
      </c>
      <c r="C7" s="30" t="s">
        <v>162</v>
      </c>
      <c r="D7" s="30">
        <v>15</v>
      </c>
      <c r="E7" s="30">
        <f>汇总!D4</f>
        <v>667</v>
      </c>
      <c r="F7" s="30">
        <f>VLOOKUP(C7,补偿标准!A:G,VLOOKUP(D7,补偿标准!K:L,2,1),0)</f>
        <v>20</v>
      </c>
      <c r="G7" s="30">
        <f t="shared" si="0"/>
        <v>13340</v>
      </c>
    </row>
    <row r="8" spans="1:7" x14ac:dyDescent="0.15">
      <c r="A8" s="35">
        <v>7</v>
      </c>
      <c r="B8" s="30" t="s">
        <v>245</v>
      </c>
      <c r="C8" s="30" t="s">
        <v>162</v>
      </c>
      <c r="D8" s="30">
        <v>25</v>
      </c>
      <c r="E8" s="30">
        <f>汇总!E4</f>
        <v>83</v>
      </c>
      <c r="F8" s="30">
        <f>VLOOKUP(C8,补偿标准!A:G,VLOOKUP(D8,补偿标准!K:L,2,1),0)</f>
        <v>32</v>
      </c>
      <c r="G8" s="30">
        <f t="shared" si="0"/>
        <v>2656</v>
      </c>
    </row>
    <row r="9" spans="1:7" x14ac:dyDescent="0.15">
      <c r="A9" s="35">
        <v>8</v>
      </c>
      <c r="B9" s="30" t="s">
        <v>245</v>
      </c>
      <c r="C9" s="30" t="s">
        <v>162</v>
      </c>
      <c r="D9" s="30">
        <v>35</v>
      </c>
      <c r="E9" s="30">
        <f>汇总!F5</f>
        <v>47</v>
      </c>
      <c r="F9" s="30">
        <f>VLOOKUP(C9,补偿标准!A:G,VLOOKUP(D9,补偿标准!K:L,2,1),0)</f>
        <v>48</v>
      </c>
      <c r="G9" s="30">
        <f t="shared" si="0"/>
        <v>2256</v>
      </c>
    </row>
    <row r="10" spans="1:7" x14ac:dyDescent="0.15">
      <c r="A10" s="35">
        <v>9</v>
      </c>
      <c r="B10" s="30" t="s">
        <v>245</v>
      </c>
      <c r="C10" s="30" t="s">
        <v>162</v>
      </c>
      <c r="D10" s="30">
        <v>45</v>
      </c>
      <c r="E10" s="30">
        <f>汇总!G5</f>
        <v>3</v>
      </c>
      <c r="F10" s="30">
        <f>VLOOKUP(C10,补偿标准!A:G,VLOOKUP(D10,补偿标准!K:L,2,1),0)</f>
        <v>100</v>
      </c>
      <c r="G10" s="30">
        <f t="shared" si="0"/>
        <v>300</v>
      </c>
    </row>
    <row r="11" spans="1:7" x14ac:dyDescent="0.15">
      <c r="A11" s="35">
        <v>10</v>
      </c>
      <c r="B11" s="30" t="s">
        <v>245</v>
      </c>
      <c r="C11" s="30" t="s">
        <v>163</v>
      </c>
      <c r="D11" s="30">
        <v>5</v>
      </c>
      <c r="E11" s="30">
        <f>汇总!C5</f>
        <v>162</v>
      </c>
      <c r="F11" s="30">
        <f>VLOOKUP(C11,补偿标准!A:G,VLOOKUP(D11,补偿标准!K:L,2,1),0)</f>
        <v>12</v>
      </c>
      <c r="G11" s="30">
        <f t="shared" si="0"/>
        <v>1944</v>
      </c>
    </row>
    <row r="12" spans="1:7" x14ac:dyDescent="0.15">
      <c r="A12" s="35">
        <v>11</v>
      </c>
      <c r="B12" s="30" t="s">
        <v>245</v>
      </c>
      <c r="C12" s="30" t="s">
        <v>163</v>
      </c>
      <c r="D12" s="30">
        <v>15</v>
      </c>
      <c r="E12" s="30">
        <f>汇总!D5</f>
        <v>19</v>
      </c>
      <c r="F12" s="30">
        <f>VLOOKUP(C12,补偿标准!A:G,VLOOKUP(D12,补偿标准!K:L,2,1),0)</f>
        <v>20</v>
      </c>
      <c r="G12" s="30">
        <f t="shared" si="0"/>
        <v>380</v>
      </c>
    </row>
    <row r="13" spans="1:7" x14ac:dyDescent="0.15">
      <c r="A13" s="35">
        <v>12</v>
      </c>
      <c r="B13" s="30" t="s">
        <v>245</v>
      </c>
      <c r="C13" s="30" t="s">
        <v>163</v>
      </c>
      <c r="D13" s="30">
        <v>25</v>
      </c>
      <c r="E13" s="30">
        <f>汇总!E5</f>
        <v>83</v>
      </c>
      <c r="F13" s="30">
        <f>VLOOKUP(C13,补偿标准!A:G,VLOOKUP(D13,补偿标准!K:L,2,1),0)</f>
        <v>32</v>
      </c>
      <c r="G13" s="30">
        <f t="shared" si="0"/>
        <v>2656</v>
      </c>
    </row>
    <row r="14" spans="1:7" x14ac:dyDescent="0.15">
      <c r="A14" s="35">
        <v>13</v>
      </c>
      <c r="B14" s="30" t="s">
        <v>245</v>
      </c>
      <c r="C14" s="30" t="s">
        <v>163</v>
      </c>
      <c r="D14" s="30">
        <v>35</v>
      </c>
      <c r="E14" s="30">
        <f>汇总!F5</f>
        <v>47</v>
      </c>
      <c r="F14" s="30">
        <f>VLOOKUP(C14,补偿标准!A:G,VLOOKUP(D14,补偿标准!K:L,2,1),0)</f>
        <v>48</v>
      </c>
      <c r="G14" s="30">
        <f t="shared" si="0"/>
        <v>2256</v>
      </c>
    </row>
    <row r="15" spans="1:7" x14ac:dyDescent="0.15">
      <c r="A15" s="35">
        <v>14</v>
      </c>
      <c r="B15" s="30" t="s">
        <v>245</v>
      </c>
      <c r="C15" s="30" t="s">
        <v>163</v>
      </c>
      <c r="D15" s="30">
        <v>45</v>
      </c>
      <c r="E15" s="30">
        <f>汇总!G5</f>
        <v>3</v>
      </c>
      <c r="F15" s="30">
        <f>VLOOKUP(C15,补偿标准!A:G,VLOOKUP(D15,补偿标准!K:L,2,1),0)</f>
        <v>100</v>
      </c>
      <c r="G15" s="30">
        <f t="shared" si="0"/>
        <v>300</v>
      </c>
    </row>
    <row r="16" spans="1:7" x14ac:dyDescent="0.15">
      <c r="A16" s="35">
        <v>15</v>
      </c>
      <c r="B16" s="30" t="s">
        <v>245</v>
      </c>
      <c r="C16" s="30" t="s">
        <v>164</v>
      </c>
      <c r="D16" s="30">
        <v>5</v>
      </c>
      <c r="E16" s="30">
        <f>汇总!C6</f>
        <v>1703</v>
      </c>
      <c r="F16" s="30">
        <f>VLOOKUP(C16,补偿标准!A:G,VLOOKUP(D16,补偿标准!K:L,2,1),0)</f>
        <v>12</v>
      </c>
      <c r="G16" s="30">
        <f t="shared" si="0"/>
        <v>20436</v>
      </c>
    </row>
    <row r="17" spans="1:7" x14ac:dyDescent="0.15">
      <c r="A17" s="35">
        <v>16</v>
      </c>
      <c r="B17" s="30" t="s">
        <v>245</v>
      </c>
      <c r="C17" s="30" t="s">
        <v>164</v>
      </c>
      <c r="D17" s="30">
        <v>15</v>
      </c>
      <c r="E17" s="30">
        <f>汇总!D6</f>
        <v>336</v>
      </c>
      <c r="F17" s="30">
        <f>VLOOKUP(C17,补偿标准!A:G,VLOOKUP(D17,补偿标准!K:L,2,1),0)</f>
        <v>20</v>
      </c>
      <c r="G17" s="30">
        <f t="shared" si="0"/>
        <v>6720</v>
      </c>
    </row>
    <row r="18" spans="1:7" x14ac:dyDescent="0.15">
      <c r="A18" s="35">
        <v>17</v>
      </c>
      <c r="B18" s="30" t="s">
        <v>245</v>
      </c>
      <c r="C18" s="30" t="s">
        <v>164</v>
      </c>
      <c r="D18" s="30">
        <v>25</v>
      </c>
      <c r="E18" s="30">
        <f>汇总!E6</f>
        <v>323</v>
      </c>
      <c r="F18" s="30">
        <f>VLOOKUP(C18,补偿标准!A:G,VLOOKUP(D18,补偿标准!K:L,2,1),0)</f>
        <v>32</v>
      </c>
      <c r="G18" s="30">
        <f t="shared" si="0"/>
        <v>10336</v>
      </c>
    </row>
    <row r="19" spans="1:7" x14ac:dyDescent="0.15">
      <c r="A19" s="35">
        <v>18</v>
      </c>
      <c r="B19" s="30" t="s">
        <v>245</v>
      </c>
      <c r="C19" s="30" t="s">
        <v>164</v>
      </c>
      <c r="D19" s="30">
        <v>35</v>
      </c>
      <c r="E19" s="30">
        <f>汇总!F6</f>
        <v>32</v>
      </c>
      <c r="F19" s="30">
        <f>VLOOKUP(C19,补偿标准!A:G,VLOOKUP(D19,补偿标准!K:L,2,1),0)</f>
        <v>48</v>
      </c>
      <c r="G19" s="30">
        <f t="shared" si="0"/>
        <v>1536</v>
      </c>
    </row>
    <row r="20" spans="1:7" x14ac:dyDescent="0.15">
      <c r="A20" s="35">
        <v>19</v>
      </c>
      <c r="B20" s="30" t="s">
        <v>245</v>
      </c>
      <c r="C20" s="30" t="s">
        <v>164</v>
      </c>
      <c r="D20" s="30">
        <v>45</v>
      </c>
      <c r="E20" s="30">
        <f>汇总!G6</f>
        <v>4</v>
      </c>
      <c r="F20" s="30">
        <f>VLOOKUP(C20,补偿标准!A:G,VLOOKUP(D20,补偿标准!K:L,2,1),0)</f>
        <v>100</v>
      </c>
      <c r="G20" s="30">
        <f t="shared" si="0"/>
        <v>400</v>
      </c>
    </row>
    <row r="21" spans="1:7" x14ac:dyDescent="0.15">
      <c r="A21" s="35">
        <v>20</v>
      </c>
      <c r="B21" s="30" t="s">
        <v>245</v>
      </c>
      <c r="C21" s="30" t="s">
        <v>164</v>
      </c>
      <c r="D21" s="30">
        <v>65</v>
      </c>
      <c r="E21" s="30">
        <f>汇总!I6</f>
        <v>1</v>
      </c>
      <c r="F21" s="30">
        <f>VLOOKUP(C21,补偿标准!A:G,VLOOKUP(D21,补偿标准!K:L,2,1),0)</f>
        <v>100</v>
      </c>
      <c r="G21" s="30">
        <f t="shared" si="0"/>
        <v>100</v>
      </c>
    </row>
    <row r="22" spans="1:7" x14ac:dyDescent="0.15">
      <c r="A22" s="35">
        <v>21</v>
      </c>
      <c r="B22" s="30" t="s">
        <v>245</v>
      </c>
      <c r="C22" s="30"/>
      <c r="D22" s="30"/>
      <c r="E22" s="30"/>
      <c r="F22" s="30" t="e">
        <f>VLOOKUP(C22,补偿标准!A:G,VLOOKUP(D22,补偿标准!K:L,2,1),0)</f>
        <v>#N/A</v>
      </c>
      <c r="G22" s="30" t="e">
        <f t="shared" si="0"/>
        <v>#N/A</v>
      </c>
    </row>
    <row r="23" spans="1:7" x14ac:dyDescent="0.15">
      <c r="A23" s="35">
        <v>22</v>
      </c>
      <c r="B23" s="30" t="s">
        <v>245</v>
      </c>
      <c r="C23" s="30"/>
      <c r="D23" s="30"/>
      <c r="E23" s="30"/>
      <c r="F23" s="30" t="e">
        <f>VLOOKUP(C23,补偿标准!A:G,VLOOKUP(D23,补偿标准!K:L,2,1),0)</f>
        <v>#N/A</v>
      </c>
      <c r="G23" s="30" t="e">
        <f t="shared" si="0"/>
        <v>#N/A</v>
      </c>
    </row>
    <row r="24" spans="1:7" x14ac:dyDescent="0.15">
      <c r="A24" s="35">
        <v>23</v>
      </c>
      <c r="B24" s="30" t="s">
        <v>245</v>
      </c>
      <c r="C24" s="30"/>
      <c r="D24" s="30"/>
      <c r="E24" s="30"/>
      <c r="F24" s="30" t="e">
        <f>VLOOKUP(C24,补偿标准!A:G,VLOOKUP(D24,补偿标准!K:L,2,1),0)</f>
        <v>#N/A</v>
      </c>
      <c r="G24" s="30" t="e">
        <f t="shared" si="0"/>
        <v>#N/A</v>
      </c>
    </row>
    <row r="25" spans="1:7" x14ac:dyDescent="0.15">
      <c r="A25" s="35">
        <v>24</v>
      </c>
      <c r="B25" s="30" t="s">
        <v>245</v>
      </c>
      <c r="C25" s="30"/>
      <c r="D25" s="30"/>
      <c r="E25" s="30"/>
      <c r="F25" s="30" t="e">
        <f>VLOOKUP(C25,补偿标准!A:G,VLOOKUP(D25,补偿标准!K:L,2,1),0)</f>
        <v>#N/A</v>
      </c>
      <c r="G25" s="30" t="e">
        <f t="shared" si="0"/>
        <v>#N/A</v>
      </c>
    </row>
    <row r="26" spans="1:7" x14ac:dyDescent="0.15">
      <c r="A26" s="35">
        <v>25</v>
      </c>
      <c r="B26" s="30" t="s">
        <v>245</v>
      </c>
      <c r="C26" s="30"/>
      <c r="D26" s="30"/>
      <c r="E26" s="30"/>
      <c r="F26" s="30" t="e">
        <f>VLOOKUP(C26,补偿标准!A:G,VLOOKUP(D26,补偿标准!K:L,2,1),0)</f>
        <v>#N/A</v>
      </c>
      <c r="G26" s="30" t="e">
        <f t="shared" si="0"/>
        <v>#N/A</v>
      </c>
    </row>
  </sheetData>
  <phoneticPr fontId="2" type="noConversion"/>
  <dataValidations count="1">
    <dataValidation type="list" allowBlank="1" showInputMessage="1" showErrorMessage="1" sqref="C2:C26" xr:uid="{00000000-0002-0000-0400-000000000000}">
      <formula1>INDIRECT(B2)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下拉菜单!$A$1:$C$1</xm:f>
          </x14:formula1>
          <xm:sqref>B2:B26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2"/>
  <sheetViews>
    <sheetView topLeftCell="A31" workbookViewId="0">
      <selection activeCell="G57" sqref="G57"/>
    </sheetView>
  </sheetViews>
  <sheetFormatPr defaultRowHeight="12" x14ac:dyDescent="0.15"/>
  <cols>
    <col min="1" max="7" width="9" style="39"/>
    <col min="8" max="16384" width="9" style="31"/>
  </cols>
  <sheetData>
    <row r="1" spans="1:12" x14ac:dyDescent="0.15">
      <c r="A1" s="40" t="s">
        <v>199</v>
      </c>
      <c r="B1" s="40" t="s">
        <v>226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7</v>
      </c>
      <c r="K1" s="33">
        <v>0</v>
      </c>
      <c r="L1" s="33">
        <v>2</v>
      </c>
    </row>
    <row r="2" spans="1:12" x14ac:dyDescent="0.15">
      <c r="A2" s="37" t="s">
        <v>209</v>
      </c>
      <c r="B2" s="37">
        <v>20</v>
      </c>
      <c r="C2" s="37">
        <v>20</v>
      </c>
      <c r="D2" s="37">
        <v>44</v>
      </c>
      <c r="E2" s="37">
        <v>84</v>
      </c>
      <c r="F2" s="37">
        <v>144</v>
      </c>
      <c r="G2" s="37">
        <v>240</v>
      </c>
      <c r="K2" s="33">
        <v>1.01</v>
      </c>
      <c r="L2" s="33">
        <v>3</v>
      </c>
    </row>
    <row r="3" spans="1:12" x14ac:dyDescent="0.15">
      <c r="A3" s="37" t="s">
        <v>210</v>
      </c>
      <c r="B3" s="37">
        <v>20</v>
      </c>
      <c r="C3" s="37">
        <v>20</v>
      </c>
      <c r="D3" s="37">
        <v>44</v>
      </c>
      <c r="E3" s="37">
        <v>84</v>
      </c>
      <c r="F3" s="37">
        <v>144</v>
      </c>
      <c r="G3" s="37">
        <v>240</v>
      </c>
      <c r="K3" s="32">
        <v>9.01</v>
      </c>
      <c r="L3" s="33">
        <v>4</v>
      </c>
    </row>
    <row r="4" spans="1:12" x14ac:dyDescent="0.15">
      <c r="A4" s="37" t="s">
        <v>211</v>
      </c>
      <c r="B4" s="37">
        <v>20</v>
      </c>
      <c r="C4" s="37">
        <v>20</v>
      </c>
      <c r="D4" s="37">
        <v>44</v>
      </c>
      <c r="E4" s="37">
        <v>84</v>
      </c>
      <c r="F4" s="37">
        <v>144</v>
      </c>
      <c r="G4" s="37">
        <v>240</v>
      </c>
      <c r="K4" s="32">
        <v>19.010000000000002</v>
      </c>
      <c r="L4" s="33">
        <v>5</v>
      </c>
    </row>
    <row r="5" spans="1:12" x14ac:dyDescent="0.15">
      <c r="A5" s="37" t="s">
        <v>212</v>
      </c>
      <c r="B5" s="37">
        <v>20</v>
      </c>
      <c r="C5" s="37">
        <v>20</v>
      </c>
      <c r="D5" s="37">
        <v>44</v>
      </c>
      <c r="E5" s="37">
        <v>84</v>
      </c>
      <c r="F5" s="37">
        <v>144</v>
      </c>
      <c r="G5" s="37">
        <v>240</v>
      </c>
      <c r="K5" s="32">
        <v>29.01</v>
      </c>
      <c r="L5" s="33">
        <v>6</v>
      </c>
    </row>
    <row r="6" spans="1:12" x14ac:dyDescent="0.15">
      <c r="A6" s="37" t="s">
        <v>213</v>
      </c>
      <c r="B6" s="37">
        <v>20</v>
      </c>
      <c r="C6" s="37">
        <v>20</v>
      </c>
      <c r="D6" s="37">
        <v>44</v>
      </c>
      <c r="E6" s="37">
        <v>84</v>
      </c>
      <c r="F6" s="37">
        <v>144</v>
      </c>
      <c r="G6" s="37">
        <v>240</v>
      </c>
      <c r="K6" s="32">
        <v>39.01</v>
      </c>
      <c r="L6" s="33">
        <v>7</v>
      </c>
    </row>
    <row r="7" spans="1:12" x14ac:dyDescent="0.15">
      <c r="A7" s="37" t="s">
        <v>214</v>
      </c>
      <c r="B7" s="37">
        <v>20</v>
      </c>
      <c r="C7" s="37">
        <v>20</v>
      </c>
      <c r="D7" s="37">
        <v>44</v>
      </c>
      <c r="E7" s="37">
        <v>84</v>
      </c>
      <c r="F7" s="37">
        <v>144</v>
      </c>
      <c r="G7" s="37">
        <v>240</v>
      </c>
      <c r="K7" s="32"/>
      <c r="L7" s="33"/>
    </row>
    <row r="8" spans="1:12" x14ac:dyDescent="0.15">
      <c r="A8" s="38" t="s">
        <v>190</v>
      </c>
      <c r="B8" s="37">
        <v>20</v>
      </c>
      <c r="C8" s="37">
        <v>20</v>
      </c>
      <c r="D8" s="37">
        <v>44</v>
      </c>
      <c r="E8" s="37">
        <v>84</v>
      </c>
      <c r="F8" s="37">
        <v>144</v>
      </c>
      <c r="G8" s="37">
        <v>240</v>
      </c>
    </row>
    <row r="9" spans="1:12" x14ac:dyDescent="0.15">
      <c r="A9" s="37" t="s">
        <v>161</v>
      </c>
      <c r="B9" s="37">
        <v>12</v>
      </c>
      <c r="C9" s="37">
        <v>12</v>
      </c>
      <c r="D9" s="37">
        <v>20</v>
      </c>
      <c r="E9" s="37">
        <v>32</v>
      </c>
      <c r="F9" s="37">
        <v>48</v>
      </c>
      <c r="G9" s="37">
        <v>100</v>
      </c>
    </row>
    <row r="10" spans="1:12" x14ac:dyDescent="0.15">
      <c r="A10" s="37" t="s">
        <v>162</v>
      </c>
      <c r="B10" s="37">
        <v>12</v>
      </c>
      <c r="C10" s="37">
        <v>12</v>
      </c>
      <c r="D10" s="37">
        <v>20</v>
      </c>
      <c r="E10" s="37">
        <v>32</v>
      </c>
      <c r="F10" s="37">
        <v>48</v>
      </c>
      <c r="G10" s="37">
        <v>100</v>
      </c>
    </row>
    <row r="11" spans="1:12" x14ac:dyDescent="0.15">
      <c r="A11" s="37" t="s">
        <v>163</v>
      </c>
      <c r="B11" s="37">
        <v>12</v>
      </c>
      <c r="C11" s="37">
        <v>12</v>
      </c>
      <c r="D11" s="37">
        <v>20</v>
      </c>
      <c r="E11" s="37">
        <v>32</v>
      </c>
      <c r="F11" s="37">
        <v>48</v>
      </c>
      <c r="G11" s="37">
        <v>100</v>
      </c>
    </row>
    <row r="12" spans="1:12" x14ac:dyDescent="0.15">
      <c r="A12" s="37" t="s">
        <v>164</v>
      </c>
      <c r="B12" s="37">
        <v>12</v>
      </c>
      <c r="C12" s="37">
        <v>12</v>
      </c>
      <c r="D12" s="37">
        <v>20</v>
      </c>
      <c r="E12" s="37">
        <v>32</v>
      </c>
      <c r="F12" s="37">
        <v>48</v>
      </c>
      <c r="G12" s="37">
        <v>100</v>
      </c>
    </row>
    <row r="13" spans="1:12" x14ac:dyDescent="0.15">
      <c r="A13" s="37" t="s">
        <v>165</v>
      </c>
      <c r="B13" s="37">
        <v>12</v>
      </c>
      <c r="C13" s="37">
        <v>12</v>
      </c>
      <c r="D13" s="37">
        <v>20</v>
      </c>
      <c r="E13" s="37">
        <v>32</v>
      </c>
      <c r="F13" s="37">
        <v>48</v>
      </c>
      <c r="G13" s="37">
        <v>100</v>
      </c>
    </row>
    <row r="14" spans="1:12" x14ac:dyDescent="0.15">
      <c r="A14" s="37" t="s">
        <v>166</v>
      </c>
      <c r="B14" s="37">
        <v>12</v>
      </c>
      <c r="C14" s="37">
        <v>12</v>
      </c>
      <c r="D14" s="37">
        <v>20</v>
      </c>
      <c r="E14" s="37">
        <v>32</v>
      </c>
      <c r="F14" s="37">
        <v>48</v>
      </c>
      <c r="G14" s="37">
        <v>100</v>
      </c>
    </row>
    <row r="15" spans="1:12" x14ac:dyDescent="0.15">
      <c r="A15" s="37" t="s">
        <v>167</v>
      </c>
      <c r="B15" s="37">
        <v>12</v>
      </c>
      <c r="C15" s="37">
        <v>12</v>
      </c>
      <c r="D15" s="37">
        <v>20</v>
      </c>
      <c r="E15" s="37">
        <v>32</v>
      </c>
      <c r="F15" s="37">
        <v>48</v>
      </c>
      <c r="G15" s="37">
        <v>100</v>
      </c>
    </row>
    <row r="16" spans="1:12" x14ac:dyDescent="0.15">
      <c r="A16" s="37" t="s">
        <v>168</v>
      </c>
      <c r="B16" s="37">
        <v>12</v>
      </c>
      <c r="C16" s="37">
        <v>12</v>
      </c>
      <c r="D16" s="37">
        <v>20</v>
      </c>
      <c r="E16" s="37">
        <v>32</v>
      </c>
      <c r="F16" s="37">
        <v>48</v>
      </c>
      <c r="G16" s="37">
        <v>100</v>
      </c>
    </row>
    <row r="17" spans="1:7" x14ac:dyDescent="0.15">
      <c r="A17" s="37" t="s">
        <v>169</v>
      </c>
      <c r="B17" s="37">
        <v>12</v>
      </c>
      <c r="C17" s="37">
        <v>12</v>
      </c>
      <c r="D17" s="37">
        <v>20</v>
      </c>
      <c r="E17" s="37">
        <v>32</v>
      </c>
      <c r="F17" s="37">
        <v>48</v>
      </c>
      <c r="G17" s="37">
        <v>100</v>
      </c>
    </row>
    <row r="18" spans="1:7" x14ac:dyDescent="0.15">
      <c r="A18" s="37" t="s">
        <v>170</v>
      </c>
      <c r="B18" s="37">
        <v>12</v>
      </c>
      <c r="C18" s="37">
        <v>12</v>
      </c>
      <c r="D18" s="37">
        <v>20</v>
      </c>
      <c r="E18" s="37">
        <v>32</v>
      </c>
      <c r="F18" s="37">
        <v>48</v>
      </c>
      <c r="G18" s="37">
        <v>100</v>
      </c>
    </row>
    <row r="19" spans="1:7" x14ac:dyDescent="0.15">
      <c r="A19" s="38" t="s">
        <v>184</v>
      </c>
      <c r="B19" s="37">
        <v>12</v>
      </c>
      <c r="C19" s="37">
        <v>12</v>
      </c>
      <c r="D19" s="37">
        <v>20</v>
      </c>
      <c r="E19" s="37">
        <v>32</v>
      </c>
      <c r="F19" s="37">
        <v>48</v>
      </c>
      <c r="G19" s="37">
        <v>100</v>
      </c>
    </row>
    <row r="20" spans="1:7" x14ac:dyDescent="0.15">
      <c r="A20" s="37" t="s">
        <v>171</v>
      </c>
      <c r="B20" s="37">
        <v>6</v>
      </c>
      <c r="C20" s="37">
        <v>6</v>
      </c>
      <c r="D20" s="37">
        <v>12</v>
      </c>
      <c r="E20" s="37">
        <v>20</v>
      </c>
      <c r="F20" s="37">
        <v>32</v>
      </c>
      <c r="G20" s="37">
        <v>56</v>
      </c>
    </row>
    <row r="21" spans="1:7" x14ac:dyDescent="0.15">
      <c r="A21" s="37" t="s">
        <v>172</v>
      </c>
      <c r="B21" s="37">
        <v>6</v>
      </c>
      <c r="C21" s="37">
        <v>6</v>
      </c>
      <c r="D21" s="37">
        <v>12</v>
      </c>
      <c r="E21" s="37">
        <v>20</v>
      </c>
      <c r="F21" s="37">
        <v>32</v>
      </c>
      <c r="G21" s="37">
        <v>56</v>
      </c>
    </row>
    <row r="22" spans="1:7" x14ac:dyDescent="0.15">
      <c r="A22" s="37" t="s">
        <v>173</v>
      </c>
      <c r="B22" s="37">
        <v>6</v>
      </c>
      <c r="C22" s="37">
        <v>6</v>
      </c>
      <c r="D22" s="37">
        <v>12</v>
      </c>
      <c r="E22" s="37">
        <v>20</v>
      </c>
      <c r="F22" s="37">
        <v>32</v>
      </c>
      <c r="G22" s="37">
        <v>56</v>
      </c>
    </row>
    <row r="23" spans="1:7" x14ac:dyDescent="0.15">
      <c r="A23" s="37" t="s">
        <v>174</v>
      </c>
      <c r="B23" s="37">
        <v>6</v>
      </c>
      <c r="C23" s="37">
        <v>6</v>
      </c>
      <c r="D23" s="37">
        <v>12</v>
      </c>
      <c r="E23" s="37">
        <v>20</v>
      </c>
      <c r="F23" s="37">
        <v>32</v>
      </c>
      <c r="G23" s="37">
        <v>56</v>
      </c>
    </row>
    <row r="24" spans="1:7" x14ac:dyDescent="0.15">
      <c r="A24" s="37" t="s">
        <v>175</v>
      </c>
      <c r="B24" s="37">
        <v>6</v>
      </c>
      <c r="C24" s="37">
        <v>6</v>
      </c>
      <c r="D24" s="37">
        <v>12</v>
      </c>
      <c r="E24" s="37">
        <v>20</v>
      </c>
      <c r="F24" s="37">
        <v>32</v>
      </c>
      <c r="G24" s="37">
        <v>56</v>
      </c>
    </row>
    <row r="25" spans="1:7" x14ac:dyDescent="0.15">
      <c r="A25" s="37" t="s">
        <v>215</v>
      </c>
      <c r="B25" s="37">
        <v>28</v>
      </c>
      <c r="C25" s="37">
        <v>28</v>
      </c>
      <c r="D25" s="37">
        <v>52</v>
      </c>
      <c r="E25" s="37">
        <v>76</v>
      </c>
      <c r="F25" s="37">
        <v>104</v>
      </c>
      <c r="G25" s="37">
        <v>150</v>
      </c>
    </row>
    <row r="26" spans="1:7" x14ac:dyDescent="0.15">
      <c r="A26" s="37" t="s">
        <v>177</v>
      </c>
      <c r="B26" s="37">
        <v>28</v>
      </c>
      <c r="C26" s="37">
        <v>28</v>
      </c>
      <c r="D26" s="37">
        <v>52</v>
      </c>
      <c r="E26" s="37">
        <v>76</v>
      </c>
      <c r="F26" s="37">
        <v>104</v>
      </c>
      <c r="G26" s="37">
        <v>150</v>
      </c>
    </row>
    <row r="27" spans="1:7" x14ac:dyDescent="0.15">
      <c r="A27" s="37" t="s">
        <v>178</v>
      </c>
      <c r="B27" s="37">
        <v>28</v>
      </c>
      <c r="C27" s="37">
        <v>28</v>
      </c>
      <c r="D27" s="37">
        <v>52</v>
      </c>
      <c r="E27" s="37">
        <v>76</v>
      </c>
      <c r="F27" s="37">
        <v>104</v>
      </c>
      <c r="G27" s="37">
        <v>150</v>
      </c>
    </row>
    <row r="28" spans="1:7" x14ac:dyDescent="0.15">
      <c r="A28" s="37" t="s">
        <v>176</v>
      </c>
      <c r="B28" s="37">
        <v>28</v>
      </c>
      <c r="C28" s="37">
        <v>28</v>
      </c>
      <c r="D28" s="37">
        <v>52</v>
      </c>
      <c r="E28" s="37">
        <v>76</v>
      </c>
      <c r="F28" s="37">
        <v>104</v>
      </c>
      <c r="G28" s="37">
        <v>150</v>
      </c>
    </row>
    <row r="29" spans="1:7" x14ac:dyDescent="0.15">
      <c r="A29" s="38" t="s">
        <v>179</v>
      </c>
      <c r="B29" s="37">
        <v>28</v>
      </c>
      <c r="C29" s="37">
        <v>28</v>
      </c>
      <c r="D29" s="37">
        <v>52</v>
      </c>
      <c r="E29" s="37">
        <v>76</v>
      </c>
      <c r="F29" s="37">
        <v>104</v>
      </c>
      <c r="G29" s="37">
        <v>150</v>
      </c>
    </row>
    <row r="30" spans="1:7" x14ac:dyDescent="0.15">
      <c r="A30" s="38" t="s">
        <v>180</v>
      </c>
      <c r="B30" s="37">
        <v>28</v>
      </c>
      <c r="C30" s="37">
        <v>28</v>
      </c>
      <c r="D30" s="37">
        <v>52</v>
      </c>
      <c r="E30" s="37">
        <v>76</v>
      </c>
      <c r="F30" s="37">
        <v>104</v>
      </c>
      <c r="G30" s="37">
        <v>150</v>
      </c>
    </row>
    <row r="31" spans="1:7" x14ac:dyDescent="0.15">
      <c r="A31" s="38" t="s">
        <v>181</v>
      </c>
      <c r="B31" s="37">
        <v>28</v>
      </c>
      <c r="C31" s="37">
        <v>28</v>
      </c>
      <c r="D31" s="37">
        <v>52</v>
      </c>
      <c r="E31" s="37">
        <v>76</v>
      </c>
      <c r="F31" s="37">
        <v>104</v>
      </c>
      <c r="G31" s="37">
        <v>150</v>
      </c>
    </row>
    <row r="32" spans="1:7" x14ac:dyDescent="0.15">
      <c r="A32" s="38" t="s">
        <v>182</v>
      </c>
      <c r="B32" s="37">
        <v>28</v>
      </c>
      <c r="C32" s="37">
        <v>28</v>
      </c>
      <c r="D32" s="37">
        <v>52</v>
      </c>
      <c r="E32" s="37">
        <v>76</v>
      </c>
      <c r="F32" s="37">
        <v>104</v>
      </c>
      <c r="G32" s="37">
        <v>150</v>
      </c>
    </row>
    <row r="33" spans="1:7" x14ac:dyDescent="0.15">
      <c r="A33" s="38" t="s">
        <v>183</v>
      </c>
      <c r="B33" s="37">
        <v>28</v>
      </c>
      <c r="C33" s="37">
        <v>28</v>
      </c>
      <c r="D33" s="37">
        <v>52</v>
      </c>
      <c r="E33" s="37">
        <v>76</v>
      </c>
      <c r="F33" s="37">
        <v>104</v>
      </c>
      <c r="G33" s="37">
        <v>150</v>
      </c>
    </row>
    <row r="34" spans="1:7" x14ac:dyDescent="0.15">
      <c r="A34" s="38" t="s">
        <v>185</v>
      </c>
      <c r="B34" s="37">
        <v>28</v>
      </c>
      <c r="C34" s="37">
        <v>28</v>
      </c>
      <c r="D34" s="37">
        <v>52</v>
      </c>
      <c r="E34" s="37">
        <v>76</v>
      </c>
      <c r="F34" s="37">
        <v>104</v>
      </c>
      <c r="G34" s="37">
        <v>150</v>
      </c>
    </row>
    <row r="35" spans="1:7" x14ac:dyDescent="0.15">
      <c r="A35" s="38" t="s">
        <v>191</v>
      </c>
      <c r="B35" s="37">
        <v>28</v>
      </c>
      <c r="C35" s="37">
        <v>28</v>
      </c>
      <c r="D35" s="37">
        <v>52</v>
      </c>
      <c r="E35" s="37">
        <v>76</v>
      </c>
      <c r="F35" s="37">
        <v>104</v>
      </c>
      <c r="G35" s="37">
        <v>150</v>
      </c>
    </row>
    <row r="36" spans="1:7" x14ac:dyDescent="0.15">
      <c r="A36" s="38" t="s">
        <v>187</v>
      </c>
      <c r="B36" s="37">
        <v>28</v>
      </c>
      <c r="C36" s="37">
        <v>28</v>
      </c>
      <c r="D36" s="37">
        <v>52</v>
      </c>
      <c r="E36" s="37">
        <v>76</v>
      </c>
      <c r="F36" s="37">
        <v>104</v>
      </c>
      <c r="G36" s="37">
        <v>150</v>
      </c>
    </row>
    <row r="37" spans="1:7" x14ac:dyDescent="0.15">
      <c r="A37" s="38" t="s">
        <v>188</v>
      </c>
      <c r="B37" s="37">
        <v>28</v>
      </c>
      <c r="C37" s="37">
        <v>28</v>
      </c>
      <c r="D37" s="37">
        <v>52</v>
      </c>
      <c r="E37" s="37">
        <v>76</v>
      </c>
      <c r="F37" s="37">
        <v>104</v>
      </c>
      <c r="G37" s="37">
        <v>150</v>
      </c>
    </row>
    <row r="38" spans="1:7" x14ac:dyDescent="0.15">
      <c r="A38" s="38" t="s">
        <v>189</v>
      </c>
      <c r="B38" s="37">
        <v>28</v>
      </c>
      <c r="C38" s="37">
        <v>28</v>
      </c>
      <c r="D38" s="37">
        <v>52</v>
      </c>
      <c r="E38" s="37">
        <v>76</v>
      </c>
      <c r="F38" s="37">
        <v>104</v>
      </c>
      <c r="G38" s="37">
        <v>150</v>
      </c>
    </row>
    <row r="39" spans="1:7" x14ac:dyDescent="0.15">
      <c r="A39" s="38" t="s">
        <v>207</v>
      </c>
      <c r="B39" s="37">
        <v>5</v>
      </c>
      <c r="C39" s="37">
        <v>5</v>
      </c>
      <c r="D39" s="37">
        <v>5</v>
      </c>
      <c r="E39" s="37">
        <v>5</v>
      </c>
      <c r="F39" s="37">
        <v>5</v>
      </c>
      <c r="G39" s="37">
        <v>5</v>
      </c>
    </row>
    <row r="40" spans="1:7" x14ac:dyDescent="0.15">
      <c r="A40" s="41" t="s">
        <v>105</v>
      </c>
      <c r="B40" s="37">
        <v>100</v>
      </c>
      <c r="C40" s="37">
        <v>100</v>
      </c>
      <c r="D40" s="37">
        <v>100</v>
      </c>
      <c r="E40" s="37">
        <v>100</v>
      </c>
      <c r="F40" s="37">
        <v>100</v>
      </c>
      <c r="G40" s="37">
        <v>100</v>
      </c>
    </row>
    <row r="41" spans="1:7" x14ac:dyDescent="0.15">
      <c r="A41" s="38" t="s">
        <v>208</v>
      </c>
      <c r="B41" s="39">
        <v>350</v>
      </c>
      <c r="C41" s="39">
        <v>350</v>
      </c>
      <c r="D41" s="39">
        <v>350</v>
      </c>
      <c r="E41" s="39">
        <v>350</v>
      </c>
      <c r="F41" s="39">
        <v>350</v>
      </c>
      <c r="G41" s="39">
        <v>350</v>
      </c>
    </row>
    <row r="42" spans="1:7" x14ac:dyDescent="0.15">
      <c r="A42" s="38" t="s">
        <v>109</v>
      </c>
      <c r="B42" s="37">
        <v>100</v>
      </c>
      <c r="C42" s="37">
        <v>100</v>
      </c>
      <c r="D42" s="37">
        <v>100</v>
      </c>
      <c r="E42" s="37">
        <v>100</v>
      </c>
      <c r="F42" s="37">
        <v>100</v>
      </c>
      <c r="G42" s="37">
        <v>100</v>
      </c>
    </row>
    <row r="43" spans="1:7" x14ac:dyDescent="0.15">
      <c r="A43" s="38" t="s">
        <v>194</v>
      </c>
      <c r="B43" s="38">
        <v>8</v>
      </c>
      <c r="C43" s="37">
        <v>16</v>
      </c>
      <c r="D43" s="37">
        <v>16</v>
      </c>
      <c r="E43" s="37">
        <v>16</v>
      </c>
      <c r="F43" s="37">
        <v>16</v>
      </c>
      <c r="G43" s="37">
        <v>16</v>
      </c>
    </row>
    <row r="44" spans="1:7" x14ac:dyDescent="0.15">
      <c r="A44" s="38" t="s">
        <v>195</v>
      </c>
      <c r="B44" s="38">
        <v>8</v>
      </c>
      <c r="C44" s="37">
        <v>16</v>
      </c>
      <c r="D44" s="37">
        <v>16</v>
      </c>
      <c r="E44" s="37">
        <v>16</v>
      </c>
      <c r="F44" s="37">
        <v>16</v>
      </c>
      <c r="G44" s="37">
        <v>16</v>
      </c>
    </row>
    <row r="45" spans="1:7" x14ac:dyDescent="0.15">
      <c r="A45" s="38" t="s">
        <v>196</v>
      </c>
      <c r="B45" s="38">
        <v>8</v>
      </c>
      <c r="C45" s="37">
        <v>16</v>
      </c>
      <c r="D45" s="37">
        <v>16</v>
      </c>
      <c r="E45" s="37">
        <v>16</v>
      </c>
      <c r="F45" s="37">
        <v>16</v>
      </c>
      <c r="G45" s="37">
        <v>16</v>
      </c>
    </row>
    <row r="46" spans="1:7" x14ac:dyDescent="0.15">
      <c r="A46" s="38" t="s">
        <v>197</v>
      </c>
      <c r="B46" s="38">
        <v>8</v>
      </c>
      <c r="C46" s="37">
        <v>16</v>
      </c>
      <c r="D46" s="37">
        <v>16</v>
      </c>
      <c r="E46" s="37">
        <v>16</v>
      </c>
      <c r="F46" s="37">
        <v>16</v>
      </c>
      <c r="G46" s="37">
        <v>16</v>
      </c>
    </row>
    <row r="47" spans="1:7" x14ac:dyDescent="0.15">
      <c r="A47" s="38" t="s">
        <v>198</v>
      </c>
      <c r="B47" s="38">
        <v>8</v>
      </c>
      <c r="C47" s="37">
        <v>16</v>
      </c>
      <c r="D47" s="37">
        <v>16</v>
      </c>
      <c r="E47" s="37">
        <v>16</v>
      </c>
      <c r="F47" s="37">
        <v>16</v>
      </c>
      <c r="G47" s="37">
        <v>16</v>
      </c>
    </row>
    <row r="48" spans="1:7" x14ac:dyDescent="0.15">
      <c r="A48" s="42" t="s">
        <v>228</v>
      </c>
      <c r="B48" s="38">
        <v>40</v>
      </c>
      <c r="C48" s="37">
        <v>60</v>
      </c>
      <c r="D48" s="37">
        <v>60</v>
      </c>
      <c r="E48" s="37">
        <v>60</v>
      </c>
      <c r="F48" s="37">
        <v>60</v>
      </c>
      <c r="G48" s="37">
        <v>60</v>
      </c>
    </row>
    <row r="49" spans="1:7" x14ac:dyDescent="0.15">
      <c r="A49" s="42" t="s">
        <v>230</v>
      </c>
      <c r="B49" s="38">
        <v>40</v>
      </c>
      <c r="C49" s="37">
        <v>60</v>
      </c>
      <c r="D49" s="37">
        <v>60</v>
      </c>
      <c r="E49" s="37">
        <v>60</v>
      </c>
      <c r="F49" s="37">
        <v>60</v>
      </c>
      <c r="G49" s="37">
        <v>60</v>
      </c>
    </row>
    <row r="50" spans="1:7" x14ac:dyDescent="0.15">
      <c r="A50" s="42" t="s">
        <v>232</v>
      </c>
      <c r="B50" s="38">
        <v>40</v>
      </c>
      <c r="C50" s="37">
        <v>60</v>
      </c>
      <c r="D50" s="37">
        <v>60</v>
      </c>
      <c r="E50" s="37">
        <v>60</v>
      </c>
      <c r="F50" s="37">
        <v>60</v>
      </c>
      <c r="G50" s="37">
        <v>60</v>
      </c>
    </row>
    <row r="51" spans="1:7" x14ac:dyDescent="0.15">
      <c r="A51" s="42" t="s">
        <v>234</v>
      </c>
      <c r="B51" s="38">
        <v>40</v>
      </c>
      <c r="C51" s="37">
        <v>60</v>
      </c>
      <c r="D51" s="37">
        <v>60</v>
      </c>
      <c r="E51" s="37">
        <v>60</v>
      </c>
      <c r="F51" s="37">
        <v>60</v>
      </c>
      <c r="G51" s="37">
        <v>60</v>
      </c>
    </row>
    <row r="52" spans="1:7" x14ac:dyDescent="0.15">
      <c r="A52" s="42" t="s">
        <v>141</v>
      </c>
      <c r="B52" s="38">
        <v>40</v>
      </c>
      <c r="C52" s="37">
        <v>60</v>
      </c>
      <c r="D52" s="37">
        <v>60</v>
      </c>
      <c r="E52" s="37">
        <v>60</v>
      </c>
      <c r="F52" s="37">
        <v>60</v>
      </c>
      <c r="G52" s="37">
        <v>60</v>
      </c>
    </row>
    <row r="53" spans="1:7" x14ac:dyDescent="0.15">
      <c r="A53" s="42" t="s">
        <v>236</v>
      </c>
      <c r="B53" s="38">
        <v>40</v>
      </c>
      <c r="C53" s="37">
        <v>60</v>
      </c>
      <c r="D53" s="37">
        <v>60</v>
      </c>
      <c r="E53" s="37">
        <v>60</v>
      </c>
      <c r="F53" s="37">
        <v>60</v>
      </c>
      <c r="G53" s="37">
        <v>60</v>
      </c>
    </row>
    <row r="54" spans="1:7" x14ac:dyDescent="0.15">
      <c r="A54" s="42" t="s">
        <v>238</v>
      </c>
      <c r="B54" s="38">
        <v>40</v>
      </c>
      <c r="C54" s="37">
        <v>60</v>
      </c>
      <c r="D54" s="37">
        <v>60</v>
      </c>
      <c r="E54" s="37">
        <v>60</v>
      </c>
      <c r="F54" s="37">
        <v>60</v>
      </c>
      <c r="G54" s="37">
        <v>60</v>
      </c>
    </row>
    <row r="55" spans="1:7" x14ac:dyDescent="0.15">
      <c r="A55" s="42" t="s">
        <v>240</v>
      </c>
      <c r="B55" s="38">
        <v>40</v>
      </c>
      <c r="C55" s="37">
        <v>60</v>
      </c>
      <c r="D55" s="37">
        <v>60</v>
      </c>
      <c r="E55" s="37">
        <v>60</v>
      </c>
      <c r="F55" s="37">
        <v>60</v>
      </c>
      <c r="G55" s="37">
        <v>60</v>
      </c>
    </row>
    <row r="56" spans="1:7" x14ac:dyDescent="0.15">
      <c r="A56" s="42" t="s">
        <v>242</v>
      </c>
      <c r="B56" s="38">
        <v>40</v>
      </c>
      <c r="C56" s="37">
        <v>60</v>
      </c>
      <c r="D56" s="37">
        <v>60</v>
      </c>
      <c r="E56" s="37">
        <v>60</v>
      </c>
      <c r="F56" s="37">
        <v>60</v>
      </c>
      <c r="G56" s="37">
        <v>60</v>
      </c>
    </row>
    <row r="57" spans="1:7" x14ac:dyDescent="0.15">
      <c r="A57" s="42" t="s">
        <v>244</v>
      </c>
      <c r="B57" s="38">
        <v>40</v>
      </c>
      <c r="C57" s="37">
        <v>60</v>
      </c>
      <c r="D57" s="37">
        <v>60</v>
      </c>
      <c r="E57" s="37">
        <v>60</v>
      </c>
      <c r="F57" s="37">
        <v>60</v>
      </c>
      <c r="G57" s="37">
        <v>60</v>
      </c>
    </row>
    <row r="58" spans="1:7" x14ac:dyDescent="0.15">
      <c r="A58" s="39" t="s">
        <v>375</v>
      </c>
      <c r="B58" s="39">
        <v>53.04</v>
      </c>
      <c r="C58" s="39">
        <v>53.04</v>
      </c>
      <c r="D58" s="39">
        <v>53.04</v>
      </c>
      <c r="E58" s="39">
        <v>53.04</v>
      </c>
      <c r="F58" s="39">
        <v>53.04</v>
      </c>
      <c r="G58" s="39">
        <v>53.04</v>
      </c>
    </row>
    <row r="59" spans="1:7" x14ac:dyDescent="0.15">
      <c r="A59" s="39" t="str">
        <f>下拉菜单!C7</f>
        <v>大叶黄杨</v>
      </c>
      <c r="B59" s="39">
        <v>4.59</v>
      </c>
      <c r="C59" s="39">
        <v>4.59</v>
      </c>
      <c r="D59" s="39">
        <v>4.59</v>
      </c>
      <c r="E59" s="39">
        <v>4.59</v>
      </c>
      <c r="F59" s="39">
        <v>4.59</v>
      </c>
      <c r="G59" s="39">
        <v>4.59</v>
      </c>
    </row>
    <row r="60" spans="1:7" x14ac:dyDescent="0.15">
      <c r="A60" s="39" t="s">
        <v>380</v>
      </c>
      <c r="B60" s="39">
        <v>61.2</v>
      </c>
    </row>
    <row r="61" spans="1:7" x14ac:dyDescent="0.15">
      <c r="A61" s="39" t="s">
        <v>388</v>
      </c>
    </row>
    <row r="62" spans="1:7" x14ac:dyDescent="0.15">
      <c r="A62" s="39" t="s">
        <v>400</v>
      </c>
      <c r="B62" s="37">
        <v>28</v>
      </c>
      <c r="C62" s="37">
        <v>28</v>
      </c>
      <c r="D62" s="37">
        <v>52</v>
      </c>
      <c r="E62" s="37">
        <v>76</v>
      </c>
      <c r="F62" s="37">
        <v>104</v>
      </c>
      <c r="G62" s="37">
        <v>150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68"/>
  <sheetViews>
    <sheetView workbookViewId="0">
      <selection sqref="A1:H16"/>
    </sheetView>
  </sheetViews>
  <sheetFormatPr defaultRowHeight="13.5" x14ac:dyDescent="0.15"/>
  <cols>
    <col min="2" max="2" width="15.125" customWidth="1"/>
  </cols>
  <sheetData>
    <row r="2" spans="1:8" x14ac:dyDescent="0.15">
      <c r="A2" s="89" t="s">
        <v>152</v>
      </c>
      <c r="B2" s="89" t="s">
        <v>150</v>
      </c>
      <c r="C2" s="90" t="s">
        <v>151</v>
      </c>
      <c r="D2" s="92"/>
      <c r="E2" s="92"/>
      <c r="F2" s="92"/>
      <c r="G2" s="91"/>
    </row>
    <row r="3" spans="1:8" x14ac:dyDescent="0.15">
      <c r="A3" s="89"/>
      <c r="B3" s="89"/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9"/>
    </row>
    <row r="4" spans="1:8" ht="40.5" x14ac:dyDescent="0.15">
      <c r="A4" s="89"/>
      <c r="B4" s="20" t="s">
        <v>217</v>
      </c>
      <c r="C4" s="18">
        <v>20</v>
      </c>
      <c r="D4" s="18">
        <v>44</v>
      </c>
      <c r="E4" s="18">
        <v>84</v>
      </c>
      <c r="F4" s="18">
        <v>144</v>
      </c>
      <c r="G4" s="18">
        <v>240</v>
      </c>
    </row>
    <row r="5" spans="1:8" ht="67.5" x14ac:dyDescent="0.15">
      <c r="A5" s="89"/>
      <c r="B5" s="20" t="s">
        <v>218</v>
      </c>
      <c r="C5" s="18">
        <v>12</v>
      </c>
      <c r="D5" s="18">
        <v>20</v>
      </c>
      <c r="E5" s="18">
        <v>32</v>
      </c>
      <c r="F5" s="18">
        <v>48</v>
      </c>
      <c r="G5" s="18">
        <v>100</v>
      </c>
    </row>
    <row r="6" spans="1:8" ht="27" x14ac:dyDescent="0.15">
      <c r="A6" s="89"/>
      <c r="B6" s="20" t="s">
        <v>153</v>
      </c>
      <c r="C6" s="18">
        <v>6</v>
      </c>
      <c r="D6" s="18">
        <v>12</v>
      </c>
      <c r="E6" s="18">
        <v>20</v>
      </c>
      <c r="F6" s="18">
        <v>32</v>
      </c>
      <c r="G6" s="18">
        <v>56</v>
      </c>
    </row>
    <row r="7" spans="1:8" ht="27" x14ac:dyDescent="0.15">
      <c r="A7" s="89"/>
      <c r="B7" s="20" t="s">
        <v>154</v>
      </c>
      <c r="C7" s="18">
        <v>28</v>
      </c>
      <c r="D7" s="18">
        <v>52</v>
      </c>
      <c r="E7" s="18">
        <v>76</v>
      </c>
      <c r="F7" s="18">
        <v>104</v>
      </c>
      <c r="G7" s="18">
        <v>150</v>
      </c>
    </row>
    <row r="8" spans="1:8" x14ac:dyDescent="0.15">
      <c r="A8" s="89" t="s">
        <v>157</v>
      </c>
      <c r="B8" s="18" t="s">
        <v>155</v>
      </c>
      <c r="C8" s="18" t="s">
        <v>156</v>
      </c>
      <c r="D8" s="90" t="s">
        <v>36</v>
      </c>
      <c r="E8" s="91"/>
      <c r="F8" s="90" t="s">
        <v>37</v>
      </c>
      <c r="G8" s="91"/>
    </row>
    <row r="9" spans="1:8" x14ac:dyDescent="0.15">
      <c r="A9" s="89"/>
      <c r="B9" s="18" t="s">
        <v>33</v>
      </c>
      <c r="C9" s="18" t="s">
        <v>158</v>
      </c>
      <c r="D9" s="90">
        <v>8</v>
      </c>
      <c r="E9" s="91"/>
      <c r="F9" s="90">
        <v>16</v>
      </c>
      <c r="G9" s="91"/>
    </row>
    <row r="10" spans="1:8" x14ac:dyDescent="0.15">
      <c r="A10" s="89"/>
      <c r="B10" s="18" t="s">
        <v>34</v>
      </c>
      <c r="C10" s="18" t="s">
        <v>159</v>
      </c>
      <c r="D10" s="90">
        <v>40</v>
      </c>
      <c r="E10" s="91"/>
      <c r="F10" s="90">
        <v>60</v>
      </c>
      <c r="G10" s="91"/>
    </row>
    <row r="13" spans="1:8" x14ac:dyDescent="0.15">
      <c r="A13" t="s">
        <v>199</v>
      </c>
      <c r="B13" t="s">
        <v>200</v>
      </c>
      <c r="C13" t="s">
        <v>201</v>
      </c>
      <c r="D13" t="s">
        <v>202</v>
      </c>
      <c r="E13" t="s">
        <v>203</v>
      </c>
    </row>
    <row r="14" spans="1:8" x14ac:dyDescent="0.15">
      <c r="A14" t="s">
        <v>204</v>
      </c>
      <c r="B14">
        <v>4</v>
      </c>
      <c r="C14">
        <v>9</v>
      </c>
      <c r="D14">
        <v>20</v>
      </c>
    </row>
    <row r="15" spans="1:8" x14ac:dyDescent="0.15">
      <c r="B15">
        <v>10</v>
      </c>
      <c r="C15">
        <v>19</v>
      </c>
      <c r="D15">
        <v>44</v>
      </c>
    </row>
    <row r="16" spans="1:8" x14ac:dyDescent="0.15">
      <c r="B16">
        <v>20</v>
      </c>
      <c r="C16">
        <v>29</v>
      </c>
      <c r="D16">
        <v>84</v>
      </c>
    </row>
    <row r="17" spans="1:7" x14ac:dyDescent="0.15">
      <c r="B17">
        <v>30</v>
      </c>
      <c r="C17">
        <v>39</v>
      </c>
      <c r="D17">
        <v>144</v>
      </c>
    </row>
    <row r="18" spans="1:7" x14ac:dyDescent="0.15">
      <c r="B18">
        <v>40</v>
      </c>
      <c r="D18">
        <v>240</v>
      </c>
    </row>
    <row r="20" spans="1:7" x14ac:dyDescent="0.15">
      <c r="C20">
        <v>9</v>
      </c>
      <c r="D20">
        <v>19</v>
      </c>
      <c r="E20">
        <v>29</v>
      </c>
      <c r="F20">
        <v>39</v>
      </c>
      <c r="G20">
        <v>40</v>
      </c>
    </row>
    <row r="21" spans="1:7" x14ac:dyDescent="0.15">
      <c r="C21" s="19" t="s">
        <v>3</v>
      </c>
      <c r="D21" s="19" t="s">
        <v>4</v>
      </c>
      <c r="E21" s="19" t="s">
        <v>5</v>
      </c>
      <c r="F21" s="19" t="s">
        <v>6</v>
      </c>
      <c r="G21" s="19" t="s">
        <v>7</v>
      </c>
    </row>
    <row r="22" spans="1:7" x14ac:dyDescent="0.15">
      <c r="A22" t="s">
        <v>209</v>
      </c>
      <c r="C22" s="18">
        <v>20</v>
      </c>
      <c r="D22" s="18">
        <v>44</v>
      </c>
      <c r="E22" s="18">
        <v>84</v>
      </c>
      <c r="F22" s="18">
        <v>144</v>
      </c>
      <c r="G22" s="18">
        <v>240</v>
      </c>
    </row>
    <row r="23" spans="1:7" x14ac:dyDescent="0.15">
      <c r="A23" t="s">
        <v>210</v>
      </c>
      <c r="C23" s="18">
        <v>20</v>
      </c>
      <c r="D23" s="18">
        <v>44</v>
      </c>
      <c r="E23" s="18">
        <v>84</v>
      </c>
      <c r="F23" s="18">
        <v>144</v>
      </c>
      <c r="G23" s="18">
        <v>240</v>
      </c>
    </row>
    <row r="24" spans="1:7" x14ac:dyDescent="0.15">
      <c r="A24" t="s">
        <v>211</v>
      </c>
      <c r="C24" s="18">
        <v>20</v>
      </c>
      <c r="D24" s="18">
        <v>44</v>
      </c>
      <c r="E24" s="18">
        <v>84</v>
      </c>
      <c r="F24" s="18">
        <v>144</v>
      </c>
      <c r="G24" s="18">
        <v>240</v>
      </c>
    </row>
    <row r="25" spans="1:7" x14ac:dyDescent="0.15">
      <c r="A25" t="s">
        <v>212</v>
      </c>
      <c r="C25" s="18">
        <v>20</v>
      </c>
      <c r="D25" s="18">
        <v>44</v>
      </c>
      <c r="E25" s="18">
        <v>84</v>
      </c>
      <c r="F25" s="18">
        <v>144</v>
      </c>
      <c r="G25" s="18">
        <v>240</v>
      </c>
    </row>
    <row r="26" spans="1:7" x14ac:dyDescent="0.15">
      <c r="A26" t="s">
        <v>213</v>
      </c>
      <c r="C26" s="18">
        <v>20</v>
      </c>
      <c r="D26" s="18">
        <v>44</v>
      </c>
      <c r="E26" s="18">
        <v>84</v>
      </c>
      <c r="F26" s="18">
        <v>144</v>
      </c>
      <c r="G26" s="18">
        <v>240</v>
      </c>
    </row>
    <row r="27" spans="1:7" x14ac:dyDescent="0.15">
      <c r="A27" t="s">
        <v>214</v>
      </c>
      <c r="C27" s="18">
        <v>20</v>
      </c>
      <c r="D27" s="18">
        <v>44</v>
      </c>
      <c r="E27" s="18">
        <v>84</v>
      </c>
      <c r="F27" s="18">
        <v>144</v>
      </c>
      <c r="G27" s="18">
        <v>240</v>
      </c>
    </row>
    <row r="28" spans="1:7" x14ac:dyDescent="0.15">
      <c r="A28" s="24" t="s">
        <v>190</v>
      </c>
      <c r="C28" s="18">
        <v>20</v>
      </c>
      <c r="D28" s="18">
        <v>44</v>
      </c>
      <c r="E28" s="18">
        <v>84</v>
      </c>
      <c r="F28" s="18">
        <v>144</v>
      </c>
      <c r="G28" s="18">
        <v>240</v>
      </c>
    </row>
    <row r="29" spans="1:7" x14ac:dyDescent="0.15">
      <c r="A29" t="s">
        <v>161</v>
      </c>
      <c r="C29" s="18">
        <v>12</v>
      </c>
      <c r="D29" s="18">
        <v>20</v>
      </c>
      <c r="E29" s="18">
        <v>32</v>
      </c>
      <c r="F29" s="18">
        <v>48</v>
      </c>
      <c r="G29" s="18">
        <v>100</v>
      </c>
    </row>
    <row r="30" spans="1:7" x14ac:dyDescent="0.15">
      <c r="A30" t="s">
        <v>162</v>
      </c>
      <c r="C30" s="18">
        <v>12</v>
      </c>
      <c r="D30" s="18">
        <v>20</v>
      </c>
      <c r="E30" s="18">
        <v>32</v>
      </c>
      <c r="F30" s="18">
        <v>48</v>
      </c>
      <c r="G30" s="18">
        <v>100</v>
      </c>
    </row>
    <row r="31" spans="1:7" x14ac:dyDescent="0.15">
      <c r="A31" t="s">
        <v>163</v>
      </c>
      <c r="C31" s="18">
        <v>12</v>
      </c>
      <c r="D31" s="18">
        <v>20</v>
      </c>
      <c r="E31" s="18">
        <v>32</v>
      </c>
      <c r="F31" s="18">
        <v>48</v>
      </c>
      <c r="G31" s="18">
        <v>100</v>
      </c>
    </row>
    <row r="32" spans="1:7" x14ac:dyDescent="0.15">
      <c r="A32" t="s">
        <v>164</v>
      </c>
      <c r="C32" s="18">
        <v>12</v>
      </c>
      <c r="D32" s="18">
        <v>20</v>
      </c>
      <c r="E32" s="18">
        <v>32</v>
      </c>
      <c r="F32" s="18">
        <v>48</v>
      </c>
      <c r="G32" s="18">
        <v>100</v>
      </c>
    </row>
    <row r="33" spans="1:7" x14ac:dyDescent="0.15">
      <c r="A33" t="s">
        <v>165</v>
      </c>
      <c r="C33" s="18">
        <v>12</v>
      </c>
      <c r="D33" s="18">
        <v>20</v>
      </c>
      <c r="E33" s="18">
        <v>32</v>
      </c>
      <c r="F33" s="18">
        <v>48</v>
      </c>
      <c r="G33" s="18">
        <v>100</v>
      </c>
    </row>
    <row r="34" spans="1:7" x14ac:dyDescent="0.15">
      <c r="A34" t="s">
        <v>166</v>
      </c>
      <c r="C34" s="18">
        <v>12</v>
      </c>
      <c r="D34" s="18">
        <v>20</v>
      </c>
      <c r="E34" s="18">
        <v>32</v>
      </c>
      <c r="F34" s="18">
        <v>48</v>
      </c>
      <c r="G34" s="18">
        <v>100</v>
      </c>
    </row>
    <row r="35" spans="1:7" x14ac:dyDescent="0.15">
      <c r="A35" t="s">
        <v>167</v>
      </c>
      <c r="C35" s="18">
        <v>12</v>
      </c>
      <c r="D35" s="18">
        <v>20</v>
      </c>
      <c r="E35" s="18">
        <v>32</v>
      </c>
      <c r="F35" s="18">
        <v>48</v>
      </c>
      <c r="G35" s="18">
        <v>100</v>
      </c>
    </row>
    <row r="36" spans="1:7" x14ac:dyDescent="0.15">
      <c r="A36" t="s">
        <v>168</v>
      </c>
      <c r="C36" s="18">
        <v>12</v>
      </c>
      <c r="D36" s="18">
        <v>20</v>
      </c>
      <c r="E36" s="18">
        <v>32</v>
      </c>
      <c r="F36" s="18">
        <v>48</v>
      </c>
      <c r="G36" s="18">
        <v>100</v>
      </c>
    </row>
    <row r="37" spans="1:7" x14ac:dyDescent="0.15">
      <c r="A37" t="s">
        <v>169</v>
      </c>
      <c r="C37" s="18">
        <v>12</v>
      </c>
      <c r="D37" s="18">
        <v>20</v>
      </c>
      <c r="E37" s="18">
        <v>32</v>
      </c>
      <c r="F37" s="18">
        <v>48</v>
      </c>
      <c r="G37" s="18">
        <v>100</v>
      </c>
    </row>
    <row r="38" spans="1:7" x14ac:dyDescent="0.15">
      <c r="A38" t="s">
        <v>170</v>
      </c>
      <c r="C38" s="18">
        <v>12</v>
      </c>
      <c r="D38" s="18">
        <v>20</v>
      </c>
      <c r="E38" s="18">
        <v>32</v>
      </c>
      <c r="F38" s="18">
        <v>48</v>
      </c>
      <c r="G38" s="18">
        <v>100</v>
      </c>
    </row>
    <row r="39" spans="1:7" x14ac:dyDescent="0.15">
      <c r="A39" s="24" t="s">
        <v>184</v>
      </c>
      <c r="C39" s="18">
        <v>12</v>
      </c>
      <c r="D39" s="18">
        <v>20</v>
      </c>
      <c r="E39" s="18">
        <v>32</v>
      </c>
      <c r="F39" s="18">
        <v>48</v>
      </c>
      <c r="G39" s="18">
        <v>100</v>
      </c>
    </row>
    <row r="40" spans="1:7" x14ac:dyDescent="0.15">
      <c r="A40" t="s">
        <v>171</v>
      </c>
      <c r="C40" s="18">
        <v>6</v>
      </c>
      <c r="D40" s="18">
        <v>12</v>
      </c>
      <c r="E40" s="18">
        <v>20</v>
      </c>
      <c r="F40" s="18">
        <v>32</v>
      </c>
      <c r="G40" s="18">
        <v>56</v>
      </c>
    </row>
    <row r="41" spans="1:7" x14ac:dyDescent="0.15">
      <c r="A41" t="s">
        <v>172</v>
      </c>
      <c r="C41" s="18">
        <v>6</v>
      </c>
      <c r="D41" s="18">
        <v>12</v>
      </c>
      <c r="E41" s="18">
        <v>20</v>
      </c>
      <c r="F41" s="18">
        <v>32</v>
      </c>
      <c r="G41" s="18">
        <v>56</v>
      </c>
    </row>
    <row r="42" spans="1:7" x14ac:dyDescent="0.15">
      <c r="A42" t="s">
        <v>173</v>
      </c>
      <c r="C42" s="18">
        <v>6</v>
      </c>
      <c r="D42" s="18">
        <v>12</v>
      </c>
      <c r="E42" s="18">
        <v>20</v>
      </c>
      <c r="F42" s="18">
        <v>32</v>
      </c>
      <c r="G42" s="18">
        <v>56</v>
      </c>
    </row>
    <row r="43" spans="1:7" x14ac:dyDescent="0.15">
      <c r="A43" t="s">
        <v>174</v>
      </c>
      <c r="C43" s="18">
        <v>6</v>
      </c>
      <c r="D43" s="18">
        <v>12</v>
      </c>
      <c r="E43" s="18">
        <v>20</v>
      </c>
      <c r="F43" s="18">
        <v>32</v>
      </c>
      <c r="G43" s="18">
        <v>56</v>
      </c>
    </row>
    <row r="44" spans="1:7" x14ac:dyDescent="0.15">
      <c r="A44" t="s">
        <v>175</v>
      </c>
      <c r="C44" s="18">
        <v>6</v>
      </c>
      <c r="D44" s="18">
        <v>12</v>
      </c>
      <c r="E44" s="18">
        <v>20</v>
      </c>
      <c r="F44" s="18">
        <v>32</v>
      </c>
      <c r="G44" s="18">
        <v>56</v>
      </c>
    </row>
    <row r="45" spans="1:7" x14ac:dyDescent="0.15">
      <c r="A45" t="s">
        <v>215</v>
      </c>
      <c r="C45" s="18">
        <v>28</v>
      </c>
      <c r="D45" s="18">
        <v>52</v>
      </c>
      <c r="E45" s="18">
        <v>76</v>
      </c>
      <c r="F45" s="18">
        <v>104</v>
      </c>
      <c r="G45" s="18">
        <v>150</v>
      </c>
    </row>
    <row r="46" spans="1:7" x14ac:dyDescent="0.15">
      <c r="A46" t="s">
        <v>177</v>
      </c>
      <c r="C46" s="18">
        <v>28</v>
      </c>
      <c r="D46" s="18">
        <v>52</v>
      </c>
      <c r="E46" s="18">
        <v>76</v>
      </c>
      <c r="F46" s="18">
        <v>104</v>
      </c>
      <c r="G46" s="18">
        <v>150</v>
      </c>
    </row>
    <row r="47" spans="1:7" x14ac:dyDescent="0.15">
      <c r="A47" t="s">
        <v>178</v>
      </c>
      <c r="C47" s="18">
        <v>28</v>
      </c>
      <c r="D47" s="18">
        <v>52</v>
      </c>
      <c r="E47" s="18">
        <v>76</v>
      </c>
      <c r="F47" s="18">
        <v>104</v>
      </c>
      <c r="G47" s="18">
        <v>150</v>
      </c>
    </row>
    <row r="48" spans="1:7" x14ac:dyDescent="0.15">
      <c r="A48" t="s">
        <v>176</v>
      </c>
      <c r="C48" s="18">
        <v>28</v>
      </c>
      <c r="D48" s="18">
        <v>52</v>
      </c>
      <c r="E48" s="18">
        <v>76</v>
      </c>
      <c r="F48" s="18">
        <v>104</v>
      </c>
      <c r="G48" s="18">
        <v>150</v>
      </c>
    </row>
    <row r="49" spans="1:7" x14ac:dyDescent="0.15">
      <c r="A49" s="27" t="s">
        <v>179</v>
      </c>
      <c r="C49" s="18">
        <v>28</v>
      </c>
      <c r="D49" s="18">
        <v>52</v>
      </c>
      <c r="E49" s="18">
        <v>76</v>
      </c>
      <c r="F49" s="18">
        <v>104</v>
      </c>
      <c r="G49" s="18">
        <v>150</v>
      </c>
    </row>
    <row r="50" spans="1:7" x14ac:dyDescent="0.15">
      <c r="A50" s="27" t="s">
        <v>180</v>
      </c>
      <c r="C50" s="18">
        <v>28</v>
      </c>
      <c r="D50" s="18">
        <v>52</v>
      </c>
      <c r="E50" s="18">
        <v>76</v>
      </c>
      <c r="F50" s="18">
        <v>104</v>
      </c>
      <c r="G50" s="18">
        <v>150</v>
      </c>
    </row>
    <row r="51" spans="1:7" x14ac:dyDescent="0.15">
      <c r="A51" s="27" t="s">
        <v>181</v>
      </c>
      <c r="C51" s="18">
        <v>28</v>
      </c>
      <c r="D51" s="18">
        <v>52</v>
      </c>
      <c r="E51" s="18">
        <v>76</v>
      </c>
      <c r="F51" s="18">
        <v>104</v>
      </c>
      <c r="G51" s="18">
        <v>150</v>
      </c>
    </row>
    <row r="52" spans="1:7" x14ac:dyDescent="0.15">
      <c r="A52" s="27" t="s">
        <v>182</v>
      </c>
      <c r="C52" s="18">
        <v>28</v>
      </c>
      <c r="D52" s="18">
        <v>52</v>
      </c>
      <c r="E52" s="18">
        <v>76</v>
      </c>
      <c r="F52" s="18">
        <v>104</v>
      </c>
      <c r="G52" s="18">
        <v>150</v>
      </c>
    </row>
    <row r="53" spans="1:7" x14ac:dyDescent="0.15">
      <c r="A53" s="27" t="s">
        <v>183</v>
      </c>
      <c r="C53" s="18">
        <v>28</v>
      </c>
      <c r="D53" s="18">
        <v>52</v>
      </c>
      <c r="E53" s="18">
        <v>76</v>
      </c>
      <c r="F53" s="18">
        <v>104</v>
      </c>
      <c r="G53" s="18">
        <v>150</v>
      </c>
    </row>
    <row r="54" spans="1:7" x14ac:dyDescent="0.15">
      <c r="A54" s="27" t="s">
        <v>185</v>
      </c>
      <c r="C54" s="18">
        <v>28</v>
      </c>
      <c r="D54" s="18">
        <v>52</v>
      </c>
      <c r="E54" s="18">
        <v>76</v>
      </c>
      <c r="F54" s="18">
        <v>104</v>
      </c>
      <c r="G54" s="18">
        <v>150</v>
      </c>
    </row>
    <row r="55" spans="1:7" x14ac:dyDescent="0.15">
      <c r="A55" s="27" t="s">
        <v>191</v>
      </c>
      <c r="C55" s="18">
        <v>28</v>
      </c>
      <c r="D55" s="18">
        <v>52</v>
      </c>
      <c r="E55" s="18">
        <v>76</v>
      </c>
      <c r="F55" s="18">
        <v>104</v>
      </c>
      <c r="G55" s="18">
        <v>150</v>
      </c>
    </row>
    <row r="56" spans="1:7" x14ac:dyDescent="0.15">
      <c r="A56" s="27" t="s">
        <v>187</v>
      </c>
      <c r="C56" s="18">
        <v>28</v>
      </c>
      <c r="D56" s="18">
        <v>52</v>
      </c>
      <c r="E56" s="18">
        <v>76</v>
      </c>
      <c r="F56" s="18">
        <v>104</v>
      </c>
      <c r="G56" s="18">
        <v>150</v>
      </c>
    </row>
    <row r="57" spans="1:7" x14ac:dyDescent="0.15">
      <c r="A57" s="27" t="s">
        <v>188</v>
      </c>
      <c r="C57" s="18">
        <v>28</v>
      </c>
      <c r="D57" s="18">
        <v>52</v>
      </c>
      <c r="E57" s="18">
        <v>76</v>
      </c>
      <c r="F57" s="18">
        <v>104</v>
      </c>
      <c r="G57" s="18">
        <v>150</v>
      </c>
    </row>
    <row r="58" spans="1:7" x14ac:dyDescent="0.15">
      <c r="A58" s="27" t="s">
        <v>189</v>
      </c>
      <c r="C58" s="18">
        <v>28</v>
      </c>
      <c r="D58" s="18">
        <v>52</v>
      </c>
      <c r="E58" s="18">
        <v>76</v>
      </c>
      <c r="F58" s="18">
        <v>104</v>
      </c>
      <c r="G58" s="18">
        <v>150</v>
      </c>
    </row>
    <row r="59" spans="1:7" x14ac:dyDescent="0.15">
      <c r="A59" s="28" t="s">
        <v>207</v>
      </c>
      <c r="C59">
        <v>50</v>
      </c>
    </row>
    <row r="60" spans="1:7" x14ac:dyDescent="0.15">
      <c r="A60" s="29" t="s">
        <v>105</v>
      </c>
      <c r="C60">
        <v>100</v>
      </c>
    </row>
    <row r="61" spans="1:7" x14ac:dyDescent="0.15">
      <c r="A61" s="28" t="s">
        <v>208</v>
      </c>
      <c r="C61">
        <v>80</v>
      </c>
    </row>
    <row r="62" spans="1:7" x14ac:dyDescent="0.15">
      <c r="A62" s="28" t="s">
        <v>216</v>
      </c>
      <c r="C62">
        <v>100</v>
      </c>
    </row>
    <row r="63" spans="1:7" x14ac:dyDescent="0.15">
      <c r="A63" s="24" t="s">
        <v>194</v>
      </c>
    </row>
    <row r="64" spans="1:7" x14ac:dyDescent="0.15">
      <c r="A64" s="24" t="s">
        <v>195</v>
      </c>
    </row>
    <row r="65" spans="1:1" x14ac:dyDescent="0.15">
      <c r="A65" s="24" t="s">
        <v>196</v>
      </c>
    </row>
    <row r="66" spans="1:1" x14ac:dyDescent="0.15">
      <c r="A66" s="24" t="s">
        <v>197</v>
      </c>
    </row>
    <row r="67" spans="1:1" x14ac:dyDescent="0.15">
      <c r="A67" s="24" t="s">
        <v>198</v>
      </c>
    </row>
    <row r="68" spans="1:1" x14ac:dyDescent="0.15">
      <c r="A68" s="24" t="s">
        <v>193</v>
      </c>
    </row>
  </sheetData>
  <mergeCells count="10">
    <mergeCell ref="A8:A10"/>
    <mergeCell ref="A2:A7"/>
    <mergeCell ref="B2:B3"/>
    <mergeCell ref="D8:E8"/>
    <mergeCell ref="F8:G8"/>
    <mergeCell ref="C2:G2"/>
    <mergeCell ref="D9:E9"/>
    <mergeCell ref="D10:E10"/>
    <mergeCell ref="F9:G9"/>
    <mergeCell ref="F10:G10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7"/>
  <sheetViews>
    <sheetView topLeftCell="A19" workbookViewId="0">
      <selection activeCell="A48" sqref="A48"/>
    </sheetView>
  </sheetViews>
  <sheetFormatPr defaultRowHeight="13.5" x14ac:dyDescent="0.15"/>
  <sheetData>
    <row r="1" spans="1:3" x14ac:dyDescent="0.15">
      <c r="A1" s="24" t="s">
        <v>192</v>
      </c>
      <c r="B1" s="24" t="s">
        <v>205</v>
      </c>
      <c r="C1" s="24" t="s">
        <v>206</v>
      </c>
    </row>
    <row r="2" spans="1:3" x14ac:dyDescent="0.15">
      <c r="A2" s="24" t="s">
        <v>161</v>
      </c>
      <c r="B2" s="24" t="s">
        <v>194</v>
      </c>
      <c r="C2" s="25" t="s">
        <v>207</v>
      </c>
    </row>
    <row r="3" spans="1:3" x14ac:dyDescent="0.15">
      <c r="A3" s="24" t="s">
        <v>162</v>
      </c>
      <c r="B3" s="24" t="s">
        <v>195</v>
      </c>
      <c r="C3" s="26" t="s">
        <v>105</v>
      </c>
    </row>
    <row r="4" spans="1:3" x14ac:dyDescent="0.15">
      <c r="A4" s="24" t="s">
        <v>163</v>
      </c>
      <c r="B4" s="24" t="s">
        <v>196</v>
      </c>
      <c r="C4" s="25" t="s">
        <v>208</v>
      </c>
    </row>
    <row r="5" spans="1:3" x14ac:dyDescent="0.15">
      <c r="A5" s="24" t="s">
        <v>164</v>
      </c>
      <c r="B5" s="24" t="s">
        <v>197</v>
      </c>
      <c r="C5" s="25" t="s">
        <v>109</v>
      </c>
    </row>
    <row r="6" spans="1:3" x14ac:dyDescent="0.15">
      <c r="A6" s="24" t="s">
        <v>165</v>
      </c>
      <c r="B6" s="24" t="s">
        <v>198</v>
      </c>
      <c r="C6" s="25" t="s">
        <v>375</v>
      </c>
    </row>
    <row r="7" spans="1:3" x14ac:dyDescent="0.15">
      <c r="A7" s="24" t="s">
        <v>166</v>
      </c>
      <c r="B7" s="24" t="s">
        <v>227</v>
      </c>
      <c r="C7" s="62" t="s">
        <v>376</v>
      </c>
    </row>
    <row r="8" spans="1:3" x14ac:dyDescent="0.15">
      <c r="A8" s="24" t="s">
        <v>167</v>
      </c>
      <c r="B8" s="24" t="s">
        <v>229</v>
      </c>
      <c r="C8" s="24" t="s">
        <v>394</v>
      </c>
    </row>
    <row r="9" spans="1:3" x14ac:dyDescent="0.15">
      <c r="A9" s="24" t="s">
        <v>168</v>
      </c>
      <c r="B9" s="24" t="s">
        <v>231</v>
      </c>
      <c r="C9" s="24"/>
    </row>
    <row r="10" spans="1:3" x14ac:dyDescent="0.15">
      <c r="A10" s="24" t="s">
        <v>169</v>
      </c>
      <c r="B10" s="24" t="s">
        <v>233</v>
      </c>
      <c r="C10" s="24"/>
    </row>
    <row r="11" spans="1:3" x14ac:dyDescent="0.15">
      <c r="A11" s="24" t="s">
        <v>170</v>
      </c>
      <c r="B11" s="24" t="s">
        <v>193</v>
      </c>
      <c r="C11" s="24"/>
    </row>
    <row r="12" spans="1:3" x14ac:dyDescent="0.15">
      <c r="A12" s="24" t="s">
        <v>171</v>
      </c>
      <c r="B12" s="24" t="s">
        <v>235</v>
      </c>
      <c r="C12" s="24"/>
    </row>
    <row r="13" spans="1:3" x14ac:dyDescent="0.15">
      <c r="A13" s="24" t="s">
        <v>172</v>
      </c>
      <c r="B13" s="24" t="s">
        <v>237</v>
      </c>
      <c r="C13" s="24"/>
    </row>
    <row r="14" spans="1:3" x14ac:dyDescent="0.15">
      <c r="A14" s="24" t="s">
        <v>173</v>
      </c>
      <c r="B14" s="24" t="s">
        <v>239</v>
      </c>
      <c r="C14" s="24"/>
    </row>
    <row r="15" spans="1:3" x14ac:dyDescent="0.15">
      <c r="A15" s="24" t="s">
        <v>174</v>
      </c>
      <c r="B15" s="24" t="s">
        <v>241</v>
      </c>
      <c r="C15" s="24"/>
    </row>
    <row r="16" spans="1:3" x14ac:dyDescent="0.15">
      <c r="A16" s="24" t="s">
        <v>175</v>
      </c>
      <c r="B16" s="24" t="s">
        <v>243</v>
      </c>
      <c r="C16" s="24"/>
    </row>
    <row r="17" spans="1:3" x14ac:dyDescent="0.15">
      <c r="A17" s="24" t="s">
        <v>176</v>
      </c>
      <c r="B17" s="24"/>
      <c r="C17" s="24"/>
    </row>
    <row r="18" spans="1:3" x14ac:dyDescent="0.15">
      <c r="A18" s="24" t="s">
        <v>177</v>
      </c>
      <c r="B18" s="24"/>
      <c r="C18" s="24"/>
    </row>
    <row r="19" spans="1:3" x14ac:dyDescent="0.15">
      <c r="A19" s="24" t="s">
        <v>178</v>
      </c>
      <c r="B19" s="24"/>
      <c r="C19" s="24"/>
    </row>
    <row r="20" spans="1:3" x14ac:dyDescent="0.15">
      <c r="A20" s="27" t="s">
        <v>179</v>
      </c>
      <c r="B20" s="24"/>
      <c r="C20" s="24"/>
    </row>
    <row r="21" spans="1:3" x14ac:dyDescent="0.15">
      <c r="A21" s="27" t="s">
        <v>180</v>
      </c>
      <c r="B21" s="24"/>
      <c r="C21" s="24"/>
    </row>
    <row r="22" spans="1:3" x14ac:dyDescent="0.15">
      <c r="A22" s="27" t="s">
        <v>181</v>
      </c>
      <c r="B22" s="24"/>
      <c r="C22" s="24"/>
    </row>
    <row r="23" spans="1:3" x14ac:dyDescent="0.15">
      <c r="A23" s="27" t="s">
        <v>182</v>
      </c>
      <c r="B23" s="24"/>
      <c r="C23" s="24"/>
    </row>
    <row r="24" spans="1:3" x14ac:dyDescent="0.15">
      <c r="A24" s="27" t="s">
        <v>183</v>
      </c>
      <c r="B24" s="24"/>
      <c r="C24" s="24"/>
    </row>
    <row r="25" spans="1:3" x14ac:dyDescent="0.15">
      <c r="A25" s="24" t="s">
        <v>184</v>
      </c>
      <c r="B25" s="24"/>
      <c r="C25" s="24"/>
    </row>
    <row r="26" spans="1:3" x14ac:dyDescent="0.15">
      <c r="A26" s="27" t="s">
        <v>185</v>
      </c>
      <c r="B26" s="24"/>
      <c r="C26" s="24"/>
    </row>
    <row r="27" spans="1:3" x14ac:dyDescent="0.15">
      <c r="A27" s="27" t="s">
        <v>186</v>
      </c>
      <c r="B27" s="24"/>
      <c r="C27" s="24"/>
    </row>
    <row r="28" spans="1:3" x14ac:dyDescent="0.15">
      <c r="A28" s="27" t="s">
        <v>187</v>
      </c>
      <c r="B28" s="24"/>
      <c r="C28" s="24"/>
    </row>
    <row r="29" spans="1:3" x14ac:dyDescent="0.15">
      <c r="A29" s="27" t="s">
        <v>188</v>
      </c>
      <c r="B29" s="24"/>
      <c r="C29" s="24"/>
    </row>
    <row r="30" spans="1:3" x14ac:dyDescent="0.15">
      <c r="A30" s="27" t="s">
        <v>189</v>
      </c>
      <c r="B30" s="24"/>
      <c r="C30" s="24"/>
    </row>
    <row r="31" spans="1:3" x14ac:dyDescent="0.15">
      <c r="A31" s="24" t="s">
        <v>190</v>
      </c>
      <c r="B31" s="24"/>
      <c r="C31" s="24"/>
    </row>
    <row r="32" spans="1:3" x14ac:dyDescent="0.15">
      <c r="A32" s="27" t="s">
        <v>191</v>
      </c>
      <c r="B32" s="24"/>
      <c r="C32" s="24"/>
    </row>
    <row r="33" spans="1:3" x14ac:dyDescent="0.15">
      <c r="A33" t="s">
        <v>209</v>
      </c>
      <c r="B33" s="24"/>
      <c r="C33" s="24"/>
    </row>
    <row r="34" spans="1:3" x14ac:dyDescent="0.15">
      <c r="A34" t="s">
        <v>210</v>
      </c>
      <c r="B34" s="24"/>
      <c r="C34" s="24"/>
    </row>
    <row r="35" spans="1:3" x14ac:dyDescent="0.15">
      <c r="A35" t="s">
        <v>211</v>
      </c>
      <c r="C35" s="24"/>
    </row>
    <row r="36" spans="1:3" x14ac:dyDescent="0.15">
      <c r="A36" t="s">
        <v>212</v>
      </c>
    </row>
    <row r="37" spans="1:3" x14ac:dyDescent="0.15">
      <c r="A37" t="s">
        <v>213</v>
      </c>
    </row>
    <row r="38" spans="1:3" x14ac:dyDescent="0.15">
      <c r="A38" t="s">
        <v>214</v>
      </c>
    </row>
    <row r="39" spans="1:3" x14ac:dyDescent="0.15">
      <c r="A39" t="s">
        <v>378</v>
      </c>
    </row>
    <row r="40" spans="1:3" x14ac:dyDescent="0.15">
      <c r="A40" t="s">
        <v>380</v>
      </c>
    </row>
    <row r="41" spans="1:3" x14ac:dyDescent="0.15">
      <c r="A41" t="s">
        <v>381</v>
      </c>
    </row>
    <row r="42" spans="1:3" x14ac:dyDescent="0.15">
      <c r="A42" t="s">
        <v>382</v>
      </c>
    </row>
    <row r="43" spans="1:3" x14ac:dyDescent="0.15">
      <c r="A43" t="s">
        <v>386</v>
      </c>
    </row>
    <row r="44" spans="1:3" x14ac:dyDescent="0.15">
      <c r="A44" t="s">
        <v>388</v>
      </c>
    </row>
    <row r="45" spans="1:3" x14ac:dyDescent="0.15">
      <c r="A45" t="s">
        <v>391</v>
      </c>
    </row>
    <row r="46" spans="1:3" x14ac:dyDescent="0.15">
      <c r="A46" t="s">
        <v>397</v>
      </c>
    </row>
    <row r="47" spans="1:3" x14ac:dyDescent="0.15">
      <c r="A47" t="s">
        <v>401</v>
      </c>
    </row>
  </sheetData>
  <phoneticPr fontId="2" type="noConversion"/>
  <dataValidations count="2">
    <dataValidation type="list" allowBlank="1" showInputMessage="1" showErrorMessage="1" sqref="J1" xr:uid="{00000000-0002-0000-0700-000000000000}">
      <formula1>$A$1:$C$1</formula1>
    </dataValidation>
    <dataValidation type="list" allowBlank="1" showInputMessage="1" showErrorMessage="1" sqref="K1" xr:uid="{00000000-0002-0000-0700-000001000000}">
      <formula1>INDIRECT(J1)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1668-05EA-4794-8741-A07C9823BD4C}">
  <dimension ref="A1:J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6" sqref="F16"/>
    </sheetView>
  </sheetViews>
  <sheetFormatPr defaultRowHeight="12" x14ac:dyDescent="0.15"/>
  <cols>
    <col min="1" max="5" width="9" style="36"/>
    <col min="6" max="6" width="12.75" style="36" customWidth="1"/>
    <col min="7" max="7" width="14.125" style="36" bestFit="1" customWidth="1"/>
    <col min="8" max="10" width="9" style="36"/>
    <col min="11" max="16384" width="9" style="23"/>
  </cols>
  <sheetData>
    <row r="1" spans="1:10" ht="26.25" customHeight="1" x14ac:dyDescent="0.15">
      <c r="A1" s="54" t="s">
        <v>219</v>
      </c>
      <c r="B1" s="54" t="s">
        <v>220</v>
      </c>
      <c r="C1" s="54" t="s">
        <v>221</v>
      </c>
      <c r="D1" s="54" t="s">
        <v>369</v>
      </c>
      <c r="E1" s="54" t="s">
        <v>225</v>
      </c>
      <c r="F1" s="54" t="s">
        <v>398</v>
      </c>
      <c r="G1" s="54" t="s">
        <v>224</v>
      </c>
      <c r="J1" s="36" t="s">
        <v>405</v>
      </c>
    </row>
    <row r="2" spans="1:10" ht="13.5" x14ac:dyDescent="0.15">
      <c r="A2" s="35">
        <v>1</v>
      </c>
      <c r="B2" s="35" t="s">
        <v>245</v>
      </c>
      <c r="C2" s="35" t="s">
        <v>209</v>
      </c>
      <c r="D2" s="37">
        <v>5.5</v>
      </c>
      <c r="E2" s="35">
        <v>3</v>
      </c>
      <c r="F2" s="35">
        <v>6834</v>
      </c>
      <c r="G2" s="35">
        <f>F2*E2</f>
        <v>20502</v>
      </c>
      <c r="H2" s="43" t="s">
        <v>246</v>
      </c>
      <c r="I2" s="36" t="s">
        <v>384</v>
      </c>
      <c r="J2" s="36">
        <v>19584</v>
      </c>
    </row>
    <row r="3" spans="1:10" ht="13.5" x14ac:dyDescent="0.15">
      <c r="A3" s="35">
        <v>2</v>
      </c>
      <c r="B3" s="35" t="s">
        <v>245</v>
      </c>
      <c r="C3" s="35" t="s">
        <v>209</v>
      </c>
      <c r="D3" s="37">
        <v>8</v>
      </c>
      <c r="E3" s="35">
        <v>10</v>
      </c>
      <c r="F3" s="35">
        <v>13260</v>
      </c>
      <c r="G3" s="35">
        <f>F3*E3</f>
        <v>132600</v>
      </c>
      <c r="H3" s="43" t="s">
        <v>252</v>
      </c>
      <c r="I3" s="36" t="s">
        <v>384</v>
      </c>
      <c r="J3" s="36">
        <v>132600</v>
      </c>
    </row>
    <row r="4" spans="1:10" ht="13.5" x14ac:dyDescent="0.15">
      <c r="A4" s="35">
        <v>3</v>
      </c>
      <c r="B4" s="35" t="s">
        <v>245</v>
      </c>
      <c r="C4" s="35" t="s">
        <v>209</v>
      </c>
      <c r="D4" s="37">
        <v>13</v>
      </c>
      <c r="E4" s="35">
        <v>1</v>
      </c>
      <c r="F4" s="61">
        <v>13260</v>
      </c>
      <c r="G4" s="35">
        <f t="shared" ref="G4:G6" si="0">F4*E4</f>
        <v>13260</v>
      </c>
      <c r="H4" s="43" t="s">
        <v>253</v>
      </c>
      <c r="I4" s="36" t="s">
        <v>384</v>
      </c>
      <c r="J4" s="36">
        <v>13260</v>
      </c>
    </row>
    <row r="5" spans="1:10" ht="13.5" x14ac:dyDescent="0.15">
      <c r="A5" s="35">
        <v>4</v>
      </c>
      <c r="B5" s="35" t="s">
        <v>245</v>
      </c>
      <c r="C5" s="35" t="s">
        <v>209</v>
      </c>
      <c r="D5" s="37">
        <v>8.5</v>
      </c>
      <c r="E5" s="35">
        <v>4</v>
      </c>
      <c r="F5" s="35">
        <v>13260</v>
      </c>
      <c r="G5" s="35">
        <f t="shared" si="0"/>
        <v>53040</v>
      </c>
      <c r="H5" s="43" t="s">
        <v>254</v>
      </c>
      <c r="I5" s="36" t="s">
        <v>384</v>
      </c>
      <c r="J5" s="36">
        <v>53040</v>
      </c>
    </row>
    <row r="6" spans="1:10" ht="13.5" x14ac:dyDescent="0.15">
      <c r="A6" s="35">
        <v>5</v>
      </c>
      <c r="B6" s="35" t="s">
        <v>245</v>
      </c>
      <c r="C6" s="35" t="s">
        <v>209</v>
      </c>
      <c r="D6" s="37">
        <v>7.5</v>
      </c>
      <c r="E6" s="35">
        <v>6</v>
      </c>
      <c r="F6" s="35">
        <v>13260</v>
      </c>
      <c r="G6" s="35">
        <f t="shared" si="0"/>
        <v>79560</v>
      </c>
      <c r="H6" s="43" t="s">
        <v>255</v>
      </c>
      <c r="I6" s="36" t="s">
        <v>384</v>
      </c>
      <c r="J6" s="36">
        <v>79560</v>
      </c>
    </row>
    <row r="7" spans="1:10" x14ac:dyDescent="0.15">
      <c r="A7" s="35">
        <v>6</v>
      </c>
      <c r="B7" s="35" t="s">
        <v>245</v>
      </c>
      <c r="C7" s="35" t="s">
        <v>181</v>
      </c>
      <c r="D7" s="35">
        <v>16</v>
      </c>
      <c r="E7" s="35">
        <v>1</v>
      </c>
      <c r="F7" s="35">
        <f>VLOOKUP(C7,补偿标准!A:G,VLOOKUP(D7,补偿标准!K:L,2,1),0)</f>
        <v>52</v>
      </c>
      <c r="G7" s="35">
        <f t="shared" ref="G7:G26" si="1">F7*E7*D7</f>
        <v>832</v>
      </c>
      <c r="I7" s="65" t="s">
        <v>383</v>
      </c>
      <c r="J7" s="36">
        <v>832</v>
      </c>
    </row>
    <row r="8" spans="1:10" x14ac:dyDescent="0.15">
      <c r="A8" s="35">
        <v>7</v>
      </c>
      <c r="B8" s="35" t="s">
        <v>245</v>
      </c>
      <c r="C8" s="35" t="s">
        <v>181</v>
      </c>
      <c r="D8" s="35">
        <v>23</v>
      </c>
      <c r="E8" s="35">
        <v>1</v>
      </c>
      <c r="F8" s="35">
        <f>VLOOKUP(C8,补偿标准!A:G,VLOOKUP(D8,补偿标准!K:L,2,1),0)</f>
        <v>76</v>
      </c>
      <c r="G8" s="35">
        <f t="shared" si="1"/>
        <v>1748</v>
      </c>
      <c r="I8" s="65" t="s">
        <v>383</v>
      </c>
      <c r="J8" s="36">
        <v>1748</v>
      </c>
    </row>
    <row r="9" spans="1:10" x14ac:dyDescent="0.15">
      <c r="A9" s="35">
        <v>8</v>
      </c>
      <c r="B9" s="35" t="s">
        <v>245</v>
      </c>
      <c r="C9" s="35" t="s">
        <v>177</v>
      </c>
      <c r="D9" s="35">
        <v>10</v>
      </c>
      <c r="E9" s="35">
        <v>1</v>
      </c>
      <c r="F9" s="35">
        <f>VLOOKUP(C9,补偿标准!A:G,VLOOKUP(D9,补偿标准!K:L,2,1),0)</f>
        <v>52</v>
      </c>
      <c r="G9" s="35">
        <f t="shared" si="1"/>
        <v>520</v>
      </c>
      <c r="I9" s="65" t="s">
        <v>383</v>
      </c>
      <c r="J9" s="36">
        <v>520</v>
      </c>
    </row>
    <row r="10" spans="1:10" x14ac:dyDescent="0.15">
      <c r="A10" s="35">
        <v>9</v>
      </c>
      <c r="B10" s="35" t="s">
        <v>245</v>
      </c>
      <c r="C10" s="35" t="s">
        <v>177</v>
      </c>
      <c r="D10" s="35">
        <v>13</v>
      </c>
      <c r="E10" s="35">
        <v>4</v>
      </c>
      <c r="F10" s="35">
        <f>VLOOKUP(C10,补偿标准!A:G,VLOOKUP(D10,补偿标准!K:L,2,1),0)</f>
        <v>52</v>
      </c>
      <c r="G10" s="35">
        <f t="shared" si="1"/>
        <v>2704</v>
      </c>
      <c r="I10" s="65" t="s">
        <v>383</v>
      </c>
      <c r="J10" s="36">
        <v>2704</v>
      </c>
    </row>
    <row r="11" spans="1:10" x14ac:dyDescent="0.15">
      <c r="A11" s="35">
        <v>10</v>
      </c>
      <c r="B11" s="35" t="s">
        <v>245</v>
      </c>
      <c r="C11" s="35" t="s">
        <v>177</v>
      </c>
      <c r="D11" s="35">
        <v>14</v>
      </c>
      <c r="E11" s="35">
        <v>1</v>
      </c>
      <c r="F11" s="35">
        <f>VLOOKUP(C11,补偿标准!A:G,VLOOKUP(D11,补偿标准!K:L,2,1),0)</f>
        <v>52</v>
      </c>
      <c r="G11" s="35">
        <f t="shared" si="1"/>
        <v>728</v>
      </c>
      <c r="I11" s="65" t="s">
        <v>383</v>
      </c>
      <c r="J11" s="36">
        <v>728</v>
      </c>
    </row>
    <row r="12" spans="1:10" x14ac:dyDescent="0.15">
      <c r="A12" s="35">
        <v>11</v>
      </c>
      <c r="B12" s="35" t="s">
        <v>245</v>
      </c>
      <c r="C12" s="35" t="s">
        <v>177</v>
      </c>
      <c r="D12" s="35">
        <v>25</v>
      </c>
      <c r="E12" s="35">
        <v>1</v>
      </c>
      <c r="F12" s="35">
        <f>VLOOKUP(C12,补偿标准!A:G,VLOOKUP(D12,补偿标准!K:L,2,1),0)</f>
        <v>76</v>
      </c>
      <c r="G12" s="35">
        <f t="shared" si="1"/>
        <v>1900</v>
      </c>
      <c r="I12" s="65" t="s">
        <v>383</v>
      </c>
      <c r="J12" s="36">
        <v>1900</v>
      </c>
    </row>
    <row r="13" spans="1:10" x14ac:dyDescent="0.15">
      <c r="A13" s="35">
        <v>12</v>
      </c>
      <c r="B13" s="35" t="s">
        <v>245</v>
      </c>
      <c r="C13" s="35" t="s">
        <v>177</v>
      </c>
      <c r="D13" s="35">
        <v>30</v>
      </c>
      <c r="E13" s="35">
        <v>1</v>
      </c>
      <c r="F13" s="35">
        <f>VLOOKUP(C13,补偿标准!A:G,VLOOKUP(D13,补偿标准!K:L,2,1),0)</f>
        <v>104</v>
      </c>
      <c r="G13" s="35">
        <f t="shared" si="1"/>
        <v>3120</v>
      </c>
      <c r="I13" s="65" t="s">
        <v>383</v>
      </c>
      <c r="J13" s="36">
        <v>3120</v>
      </c>
    </row>
    <row r="14" spans="1:10" x14ac:dyDescent="0.15">
      <c r="A14" s="35">
        <v>13</v>
      </c>
      <c r="B14" s="35" t="s">
        <v>245</v>
      </c>
      <c r="C14" s="35" t="s">
        <v>176</v>
      </c>
      <c r="D14" s="35">
        <v>17</v>
      </c>
      <c r="E14" s="35">
        <v>5</v>
      </c>
      <c r="F14" s="35">
        <f>VLOOKUP(C14,补偿标准!A:G,VLOOKUP(D14,补偿标准!K:L,2,1),0)</f>
        <v>52</v>
      </c>
      <c r="G14" s="35">
        <f t="shared" si="1"/>
        <v>4420</v>
      </c>
      <c r="I14" s="65" t="s">
        <v>383</v>
      </c>
      <c r="J14" s="36">
        <v>4420</v>
      </c>
    </row>
    <row r="15" spans="1:10" x14ac:dyDescent="0.15">
      <c r="A15" s="35">
        <v>14</v>
      </c>
      <c r="B15" s="35" t="s">
        <v>245</v>
      </c>
      <c r="C15" s="35" t="s">
        <v>176</v>
      </c>
      <c r="D15" s="35">
        <v>26</v>
      </c>
      <c r="E15" s="35">
        <v>4</v>
      </c>
      <c r="F15" s="35">
        <f>VLOOKUP(C15,补偿标准!A:G,VLOOKUP(D15,补偿标准!K:L,2,1),0)</f>
        <v>76</v>
      </c>
      <c r="G15" s="35">
        <f t="shared" si="1"/>
        <v>7904</v>
      </c>
      <c r="I15" s="65" t="s">
        <v>383</v>
      </c>
      <c r="J15" s="36">
        <v>7904</v>
      </c>
    </row>
    <row r="16" spans="1:10" x14ac:dyDescent="0.15">
      <c r="A16" s="35">
        <v>15</v>
      </c>
      <c r="B16" s="35" t="s">
        <v>245</v>
      </c>
      <c r="C16" s="35" t="s">
        <v>166</v>
      </c>
      <c r="D16" s="35">
        <v>10</v>
      </c>
      <c r="E16" s="35">
        <v>19</v>
      </c>
      <c r="F16" s="35">
        <f>VLOOKUP(C16,补偿标准!A:G,VLOOKUP(D16,补偿标准!K:L,2,1),0)</f>
        <v>20</v>
      </c>
      <c r="G16" s="35">
        <f t="shared" si="1"/>
        <v>3800</v>
      </c>
      <c r="I16" s="65" t="s">
        <v>383</v>
      </c>
      <c r="J16" s="36">
        <v>3800</v>
      </c>
    </row>
    <row r="17" spans="1:10" x14ac:dyDescent="0.15">
      <c r="A17" s="35">
        <v>16</v>
      </c>
      <c r="B17" s="35" t="s">
        <v>245</v>
      </c>
      <c r="C17" s="35" t="s">
        <v>166</v>
      </c>
      <c r="D17" s="35">
        <v>11</v>
      </c>
      <c r="E17" s="35">
        <v>7</v>
      </c>
      <c r="F17" s="35">
        <f>VLOOKUP(C17,补偿标准!A:G,VLOOKUP(D17,补偿标准!K:L,2,1),0)</f>
        <v>20</v>
      </c>
      <c r="G17" s="35">
        <f t="shared" si="1"/>
        <v>1540</v>
      </c>
      <c r="I17" s="65" t="s">
        <v>383</v>
      </c>
      <c r="J17" s="36">
        <v>1540</v>
      </c>
    </row>
    <row r="18" spans="1:10" x14ac:dyDescent="0.15">
      <c r="A18" s="35">
        <v>17</v>
      </c>
      <c r="B18" s="35" t="s">
        <v>245</v>
      </c>
      <c r="C18" s="35" t="s">
        <v>166</v>
      </c>
      <c r="D18" s="35">
        <v>12</v>
      </c>
      <c r="E18" s="35">
        <v>25</v>
      </c>
      <c r="F18" s="35">
        <f>VLOOKUP(C18,补偿标准!A:G,VLOOKUP(D18,补偿标准!K:L,2,1),0)</f>
        <v>20</v>
      </c>
      <c r="G18" s="35">
        <f t="shared" si="1"/>
        <v>6000</v>
      </c>
      <c r="I18" s="65" t="s">
        <v>383</v>
      </c>
      <c r="J18" s="36">
        <v>6000</v>
      </c>
    </row>
    <row r="19" spans="1:10" x14ac:dyDescent="0.15">
      <c r="A19" s="35">
        <v>18</v>
      </c>
      <c r="B19" s="35" t="s">
        <v>245</v>
      </c>
      <c r="C19" s="35" t="s">
        <v>166</v>
      </c>
      <c r="D19" s="35">
        <v>13</v>
      </c>
      <c r="E19" s="35">
        <v>6</v>
      </c>
      <c r="F19" s="35">
        <f>VLOOKUP(C19,补偿标准!A:G,VLOOKUP(D19,补偿标准!K:L,2,1),0)</f>
        <v>20</v>
      </c>
      <c r="G19" s="35">
        <f t="shared" si="1"/>
        <v>1560</v>
      </c>
      <c r="I19" s="65" t="s">
        <v>383</v>
      </c>
      <c r="J19" s="36">
        <v>1560</v>
      </c>
    </row>
    <row r="20" spans="1:10" x14ac:dyDescent="0.15">
      <c r="A20" s="35">
        <v>19</v>
      </c>
      <c r="B20" s="35" t="s">
        <v>245</v>
      </c>
      <c r="C20" s="35" t="s">
        <v>166</v>
      </c>
      <c r="D20" s="35">
        <v>14</v>
      </c>
      <c r="E20" s="35">
        <v>6</v>
      </c>
      <c r="F20" s="35">
        <f>VLOOKUP(C20,补偿标准!A:G,VLOOKUP(D20,补偿标准!K:L,2,1),0)</f>
        <v>20</v>
      </c>
      <c r="G20" s="35">
        <f t="shared" si="1"/>
        <v>1680</v>
      </c>
      <c r="I20" s="65" t="s">
        <v>383</v>
      </c>
      <c r="J20" s="36">
        <v>1680</v>
      </c>
    </row>
    <row r="21" spans="1:10" x14ac:dyDescent="0.15">
      <c r="A21" s="35">
        <v>20</v>
      </c>
      <c r="B21" s="35" t="s">
        <v>245</v>
      </c>
      <c r="C21" s="35" t="s">
        <v>165</v>
      </c>
      <c r="D21" s="35">
        <v>28</v>
      </c>
      <c r="E21" s="35">
        <f>汇总!I6</f>
        <v>1</v>
      </c>
      <c r="F21" s="35">
        <f>VLOOKUP(C21,补偿标准!A:G,VLOOKUP(D21,补偿标准!K:L,2,1),0)</f>
        <v>32</v>
      </c>
      <c r="G21" s="35">
        <f t="shared" si="1"/>
        <v>896</v>
      </c>
      <c r="I21" s="65" t="s">
        <v>383</v>
      </c>
      <c r="J21" s="36">
        <v>896</v>
      </c>
    </row>
    <row r="22" spans="1:10" x14ac:dyDescent="0.15">
      <c r="A22" s="35">
        <v>21</v>
      </c>
      <c r="B22" s="35" t="s">
        <v>245</v>
      </c>
      <c r="C22" s="35" t="s">
        <v>167</v>
      </c>
      <c r="D22" s="35">
        <v>10</v>
      </c>
      <c r="E22" s="35">
        <v>4</v>
      </c>
      <c r="F22" s="35">
        <f>VLOOKUP(C22,补偿标准!A:G,VLOOKUP(D22,补偿标准!K:L,2,1),0)</f>
        <v>20</v>
      </c>
      <c r="G22" s="35">
        <f t="shared" si="1"/>
        <v>800</v>
      </c>
      <c r="H22" s="36" t="s">
        <v>373</v>
      </c>
      <c r="I22" s="65" t="s">
        <v>383</v>
      </c>
      <c r="J22" s="36">
        <v>800</v>
      </c>
    </row>
    <row r="23" spans="1:10" x14ac:dyDescent="0.15">
      <c r="A23" s="35">
        <v>22</v>
      </c>
      <c r="B23" s="35" t="s">
        <v>245</v>
      </c>
      <c r="C23" s="35" t="s">
        <v>167</v>
      </c>
      <c r="D23" s="35">
        <v>23</v>
      </c>
      <c r="E23" s="35">
        <v>2</v>
      </c>
      <c r="F23" s="35">
        <f>VLOOKUP(C23,补偿标准!A:G,VLOOKUP(D23,补偿标准!K:L,2,1),0)</f>
        <v>32</v>
      </c>
      <c r="G23" s="35">
        <f t="shared" si="1"/>
        <v>1472</v>
      </c>
      <c r="H23" s="36" t="s">
        <v>373</v>
      </c>
      <c r="I23" s="65" t="s">
        <v>383</v>
      </c>
      <c r="J23" s="36">
        <v>1472</v>
      </c>
    </row>
    <row r="24" spans="1:10" x14ac:dyDescent="0.15">
      <c r="A24" s="35">
        <v>23</v>
      </c>
      <c r="B24" s="35" t="s">
        <v>245</v>
      </c>
      <c r="C24" s="35" t="s">
        <v>190</v>
      </c>
      <c r="D24" s="35">
        <v>20</v>
      </c>
      <c r="E24" s="35">
        <v>2</v>
      </c>
      <c r="F24" s="35">
        <f>VLOOKUP(C24,补偿标准!A:G,VLOOKUP(D24,补偿标准!K:L,2,1),0)</f>
        <v>84</v>
      </c>
      <c r="G24" s="35">
        <f t="shared" si="1"/>
        <v>3360</v>
      </c>
      <c r="I24" s="65" t="s">
        <v>383</v>
      </c>
      <c r="J24" s="36">
        <v>6732</v>
      </c>
    </row>
    <row r="25" spans="1:10" x14ac:dyDescent="0.15">
      <c r="A25" s="35">
        <v>24</v>
      </c>
      <c r="B25" s="35" t="s">
        <v>370</v>
      </c>
      <c r="C25" s="35" t="s">
        <v>371</v>
      </c>
      <c r="D25" s="35">
        <v>1</v>
      </c>
      <c r="E25" s="35">
        <v>1030</v>
      </c>
      <c r="F25" s="61">
        <v>5</v>
      </c>
      <c r="G25" s="35">
        <f t="shared" si="1"/>
        <v>5150</v>
      </c>
      <c r="I25" s="65" t="s">
        <v>406</v>
      </c>
      <c r="J25" s="36">
        <v>5253</v>
      </c>
    </row>
    <row r="26" spans="1:10" x14ac:dyDescent="0.15">
      <c r="A26" s="35">
        <v>25</v>
      </c>
      <c r="B26" s="35" t="s">
        <v>245</v>
      </c>
      <c r="C26" s="35" t="s">
        <v>170</v>
      </c>
      <c r="D26" s="35">
        <v>14</v>
      </c>
      <c r="E26" s="35">
        <v>1</v>
      </c>
      <c r="F26" s="35">
        <f>VLOOKUP(C26,补偿标准!A:G,VLOOKUP(D26,补偿标准!K:L,2,1),0)</f>
        <v>20</v>
      </c>
      <c r="G26" s="35">
        <f t="shared" si="1"/>
        <v>280</v>
      </c>
      <c r="I26" s="65" t="s">
        <v>383</v>
      </c>
      <c r="J26" s="36">
        <v>280</v>
      </c>
    </row>
    <row r="27" spans="1:10" x14ac:dyDescent="0.15">
      <c r="A27" s="35">
        <v>26</v>
      </c>
      <c r="B27" s="35" t="s">
        <v>245</v>
      </c>
      <c r="C27" s="35" t="s">
        <v>170</v>
      </c>
      <c r="D27" s="35">
        <v>20</v>
      </c>
      <c r="E27" s="35">
        <v>1</v>
      </c>
      <c r="F27" s="35">
        <f>VLOOKUP(C27,补偿标准!A:G,VLOOKUP(D27,补偿标准!K:L,2,1),0)</f>
        <v>32</v>
      </c>
      <c r="G27" s="35">
        <f t="shared" ref="G27:G38" si="2">F27*E27*D27</f>
        <v>640</v>
      </c>
      <c r="I27" s="65" t="s">
        <v>383</v>
      </c>
      <c r="J27" s="36">
        <v>640</v>
      </c>
    </row>
    <row r="28" spans="1:10" x14ac:dyDescent="0.15">
      <c r="A28" s="35">
        <v>27</v>
      </c>
      <c r="B28" s="35" t="s">
        <v>245</v>
      </c>
      <c r="C28" s="35" t="s">
        <v>170</v>
      </c>
      <c r="D28" s="35">
        <v>22</v>
      </c>
      <c r="E28" s="35">
        <v>1</v>
      </c>
      <c r="F28" s="35">
        <f>VLOOKUP(C28,补偿标准!A:G,VLOOKUP(D28,补偿标准!K:L,2,1),0)</f>
        <v>32</v>
      </c>
      <c r="G28" s="35">
        <f t="shared" si="2"/>
        <v>704</v>
      </c>
      <c r="I28" s="65" t="s">
        <v>383</v>
      </c>
      <c r="J28" s="36">
        <v>704</v>
      </c>
    </row>
    <row r="29" spans="1:10" x14ac:dyDescent="0.15">
      <c r="A29" s="35">
        <v>28</v>
      </c>
      <c r="B29" s="35" t="s">
        <v>370</v>
      </c>
      <c r="C29" s="35" t="s">
        <v>208</v>
      </c>
      <c r="D29" s="35">
        <v>1.2</v>
      </c>
      <c r="E29" s="35">
        <v>43</v>
      </c>
      <c r="F29" s="61">
        <f>VLOOKUP(C29,补偿标准!A:G,VLOOKUP(D29,补偿标准!K:L,2,1),0)</f>
        <v>350</v>
      </c>
      <c r="G29" s="35">
        <f t="shared" si="2"/>
        <v>18060</v>
      </c>
      <c r="I29" s="65" t="s">
        <v>406</v>
      </c>
      <c r="J29" s="36">
        <v>14018</v>
      </c>
    </row>
    <row r="30" spans="1:10" x14ac:dyDescent="0.15">
      <c r="A30" s="35">
        <v>29</v>
      </c>
      <c r="B30" s="35" t="s">
        <v>245</v>
      </c>
      <c r="C30" s="35" t="s">
        <v>173</v>
      </c>
      <c r="D30" s="35">
        <v>28</v>
      </c>
      <c r="E30" s="35">
        <v>3</v>
      </c>
      <c r="F30" s="35">
        <f>VLOOKUP(C30,补偿标准!A:G,VLOOKUP(D30,补偿标准!K:L,2,1),0)</f>
        <v>20</v>
      </c>
      <c r="G30" s="35">
        <f t="shared" si="2"/>
        <v>1680</v>
      </c>
      <c r="I30" s="65" t="s">
        <v>383</v>
      </c>
      <c r="J30" s="36">
        <v>1680</v>
      </c>
    </row>
    <row r="31" spans="1:10" x14ac:dyDescent="0.15">
      <c r="A31" s="35">
        <v>30</v>
      </c>
      <c r="B31" s="35" t="s">
        <v>245</v>
      </c>
      <c r="C31" s="35" t="s">
        <v>173</v>
      </c>
      <c r="D31" s="35">
        <v>32</v>
      </c>
      <c r="E31" s="35">
        <v>10</v>
      </c>
      <c r="F31" s="35">
        <f>VLOOKUP(C31,补偿标准!A:G,VLOOKUP(D31,补偿标准!K:L,2,1),0)</f>
        <v>32</v>
      </c>
      <c r="G31" s="35">
        <f t="shared" si="2"/>
        <v>10240</v>
      </c>
      <c r="I31" s="65" t="s">
        <v>383</v>
      </c>
      <c r="J31" s="36">
        <v>10240</v>
      </c>
    </row>
    <row r="32" spans="1:10" x14ac:dyDescent="0.15">
      <c r="A32" s="35">
        <v>31</v>
      </c>
      <c r="B32" s="35" t="s">
        <v>245</v>
      </c>
      <c r="C32" s="35" t="s">
        <v>173</v>
      </c>
      <c r="D32" s="35">
        <v>34</v>
      </c>
      <c r="E32" s="35">
        <v>7</v>
      </c>
      <c r="F32" s="35">
        <f>VLOOKUP(C32,补偿标准!A:G,VLOOKUP(D32,补偿标准!K:L,2,1),0)</f>
        <v>32</v>
      </c>
      <c r="G32" s="35">
        <f t="shared" si="2"/>
        <v>7616</v>
      </c>
      <c r="I32" s="65" t="s">
        <v>383</v>
      </c>
      <c r="J32" s="36">
        <v>7616</v>
      </c>
    </row>
    <row r="33" spans="1:10" x14ac:dyDescent="0.15">
      <c r="A33" s="35">
        <v>32</v>
      </c>
      <c r="B33" s="35" t="s">
        <v>245</v>
      </c>
      <c r="C33" s="35" t="s">
        <v>173</v>
      </c>
      <c r="D33" s="35">
        <v>35</v>
      </c>
      <c r="E33" s="35">
        <v>2</v>
      </c>
      <c r="F33" s="35">
        <f>VLOOKUP(C33,补偿标准!A:G,VLOOKUP(D33,补偿标准!K:L,2,1),0)</f>
        <v>32</v>
      </c>
      <c r="G33" s="35">
        <f t="shared" si="2"/>
        <v>2240</v>
      </c>
      <c r="I33" s="65" t="s">
        <v>383</v>
      </c>
      <c r="J33" s="36">
        <v>2240</v>
      </c>
    </row>
    <row r="34" spans="1:10" x14ac:dyDescent="0.15">
      <c r="A34" s="35">
        <v>33</v>
      </c>
      <c r="B34" s="35" t="s">
        <v>245</v>
      </c>
      <c r="C34" s="35" t="s">
        <v>171</v>
      </c>
      <c r="D34" s="35">
        <v>13</v>
      </c>
      <c r="E34" s="35">
        <v>2</v>
      </c>
      <c r="F34" s="35">
        <f>VLOOKUP(C34,补偿标准!A:G,VLOOKUP(D34,补偿标准!K:L,2,1),0)</f>
        <v>12</v>
      </c>
      <c r="G34" s="35">
        <f t="shared" si="2"/>
        <v>312</v>
      </c>
      <c r="I34" s="65" t="s">
        <v>383</v>
      </c>
      <c r="J34" s="36">
        <v>312</v>
      </c>
    </row>
    <row r="35" spans="1:10" x14ac:dyDescent="0.15">
      <c r="A35" s="35">
        <v>34</v>
      </c>
      <c r="B35" s="35" t="s">
        <v>245</v>
      </c>
      <c r="C35" s="35" t="s">
        <v>171</v>
      </c>
      <c r="D35" s="35">
        <v>17</v>
      </c>
      <c r="E35" s="35">
        <v>4</v>
      </c>
      <c r="F35" s="35">
        <f>VLOOKUP(C35,补偿标准!A:G,VLOOKUP(D35,补偿标准!K:L,2,1),0)</f>
        <v>12</v>
      </c>
      <c r="G35" s="35">
        <f t="shared" si="2"/>
        <v>816</v>
      </c>
      <c r="I35" s="65" t="s">
        <v>383</v>
      </c>
      <c r="J35" s="36">
        <v>816</v>
      </c>
    </row>
    <row r="36" spans="1:10" x14ac:dyDescent="0.15">
      <c r="A36" s="35">
        <v>35</v>
      </c>
      <c r="B36" s="35" t="s">
        <v>245</v>
      </c>
      <c r="C36" s="35" t="s">
        <v>171</v>
      </c>
      <c r="D36" s="35">
        <v>55</v>
      </c>
      <c r="E36" s="35">
        <v>1</v>
      </c>
      <c r="F36" s="35">
        <f>VLOOKUP(C36,补偿标准!A:G,VLOOKUP(D36,补偿标准!K:L,2,1),0)</f>
        <v>56</v>
      </c>
      <c r="G36" s="35">
        <f t="shared" si="2"/>
        <v>3080</v>
      </c>
      <c r="I36" s="65" t="s">
        <v>383</v>
      </c>
      <c r="J36" s="36">
        <v>3080</v>
      </c>
    </row>
    <row r="37" spans="1:10" x14ac:dyDescent="0.15">
      <c r="A37" s="35">
        <v>36</v>
      </c>
      <c r="B37" s="35" t="s">
        <v>245</v>
      </c>
      <c r="C37" s="35" t="s">
        <v>172</v>
      </c>
      <c r="D37" s="35">
        <v>35</v>
      </c>
      <c r="E37" s="35">
        <v>1</v>
      </c>
      <c r="F37" s="35">
        <f>VLOOKUP(C37,补偿标准!A:G,VLOOKUP(D37,补偿标准!K:L,2,1),0)</f>
        <v>32</v>
      </c>
      <c r="G37" s="35">
        <f t="shared" si="2"/>
        <v>1120</v>
      </c>
      <c r="I37" s="65" t="s">
        <v>383</v>
      </c>
      <c r="J37" s="36">
        <v>1120</v>
      </c>
    </row>
    <row r="38" spans="1:10" x14ac:dyDescent="0.15">
      <c r="A38" s="35">
        <v>37</v>
      </c>
      <c r="B38" s="35" t="s">
        <v>245</v>
      </c>
      <c r="C38" s="35" t="s">
        <v>212</v>
      </c>
      <c r="D38" s="35">
        <v>7</v>
      </c>
      <c r="E38" s="35">
        <v>8</v>
      </c>
      <c r="F38" s="35">
        <f>VLOOKUP(C38,补偿标准!A:G,VLOOKUP(D38,补偿标准!K:L,2,1),0)</f>
        <v>20</v>
      </c>
      <c r="G38" s="35">
        <f t="shared" si="2"/>
        <v>1120</v>
      </c>
      <c r="I38" s="65" t="s">
        <v>383</v>
      </c>
      <c r="J38" s="36">
        <v>5264</v>
      </c>
    </row>
    <row r="39" spans="1:10" x14ac:dyDescent="0.15">
      <c r="A39" s="35">
        <v>38</v>
      </c>
      <c r="B39" s="35" t="s">
        <v>245</v>
      </c>
      <c r="C39" s="35" t="s">
        <v>377</v>
      </c>
      <c r="D39" s="35">
        <v>12</v>
      </c>
      <c r="E39" s="35">
        <v>2</v>
      </c>
      <c r="F39" s="35">
        <v>1836</v>
      </c>
      <c r="G39" s="35">
        <f>F39*E39</f>
        <v>3672</v>
      </c>
      <c r="I39" s="36" t="s">
        <v>384</v>
      </c>
      <c r="J39" s="36">
        <v>4080</v>
      </c>
    </row>
    <row r="40" spans="1:10" x14ac:dyDescent="0.15">
      <c r="A40" s="35">
        <v>39</v>
      </c>
      <c r="B40" s="35" t="s">
        <v>245</v>
      </c>
      <c r="C40" s="35" t="s">
        <v>377</v>
      </c>
      <c r="D40" s="35">
        <v>13</v>
      </c>
      <c r="E40" s="35">
        <v>10</v>
      </c>
      <c r="F40" s="35">
        <v>3876</v>
      </c>
      <c r="G40" s="35">
        <f t="shared" ref="G40:G61" si="3">F40*E40</f>
        <v>38760</v>
      </c>
      <c r="I40" s="36" t="s">
        <v>384</v>
      </c>
      <c r="J40" s="36">
        <v>40800</v>
      </c>
    </row>
    <row r="41" spans="1:10" x14ac:dyDescent="0.15">
      <c r="A41" s="35">
        <v>40</v>
      </c>
      <c r="B41" s="35" t="s">
        <v>245</v>
      </c>
      <c r="C41" s="35" t="s">
        <v>377</v>
      </c>
      <c r="D41" s="35">
        <v>16</v>
      </c>
      <c r="E41" s="35">
        <v>2</v>
      </c>
      <c r="F41" s="66">
        <v>3876</v>
      </c>
      <c r="G41" s="35">
        <f t="shared" si="3"/>
        <v>7752</v>
      </c>
      <c r="I41" s="36" t="s">
        <v>384</v>
      </c>
      <c r="J41" s="36">
        <v>8160</v>
      </c>
    </row>
    <row r="42" spans="1:10" x14ac:dyDescent="0.15">
      <c r="A42" s="35">
        <v>41</v>
      </c>
      <c r="B42" s="35" t="s">
        <v>245</v>
      </c>
      <c r="C42" s="35" t="s">
        <v>377</v>
      </c>
      <c r="D42" s="35">
        <v>25</v>
      </c>
      <c r="E42" s="35">
        <v>3</v>
      </c>
      <c r="F42" s="66">
        <v>3876</v>
      </c>
      <c r="G42" s="35">
        <f t="shared" si="3"/>
        <v>11628</v>
      </c>
      <c r="I42" s="36" t="s">
        <v>384</v>
      </c>
      <c r="J42" s="36">
        <v>12240</v>
      </c>
    </row>
    <row r="43" spans="1:10" x14ac:dyDescent="0.15">
      <c r="A43" s="35">
        <v>42</v>
      </c>
      <c r="B43" s="35" t="s">
        <v>245</v>
      </c>
      <c r="C43" s="35" t="s">
        <v>377</v>
      </c>
      <c r="D43" s="35">
        <v>26</v>
      </c>
      <c r="E43" s="35">
        <v>1</v>
      </c>
      <c r="F43" s="66">
        <v>3876</v>
      </c>
      <c r="G43" s="35">
        <f t="shared" si="3"/>
        <v>3876</v>
      </c>
      <c r="I43" s="36" t="s">
        <v>384</v>
      </c>
      <c r="J43" s="36">
        <v>4080</v>
      </c>
    </row>
    <row r="44" spans="1:10" x14ac:dyDescent="0.15">
      <c r="A44" s="35">
        <v>43</v>
      </c>
      <c r="B44" s="35" t="s">
        <v>245</v>
      </c>
      <c r="C44" s="35" t="s">
        <v>377</v>
      </c>
      <c r="D44" s="35">
        <v>30</v>
      </c>
      <c r="E44" s="35">
        <v>20</v>
      </c>
      <c r="F44" s="66">
        <v>3876</v>
      </c>
      <c r="G44" s="35">
        <f t="shared" si="3"/>
        <v>77520</v>
      </c>
      <c r="I44" s="36" t="s">
        <v>384</v>
      </c>
      <c r="J44" s="36">
        <v>81600</v>
      </c>
    </row>
    <row r="45" spans="1:10" x14ac:dyDescent="0.15">
      <c r="A45" s="35">
        <v>44</v>
      </c>
      <c r="B45" s="35" t="s">
        <v>245</v>
      </c>
      <c r="C45" s="35" t="s">
        <v>379</v>
      </c>
      <c r="D45" s="35">
        <v>1.5</v>
      </c>
      <c r="E45" s="35">
        <v>360</v>
      </c>
      <c r="F45" s="35">
        <v>61.2</v>
      </c>
      <c r="G45" s="35">
        <f t="shared" si="3"/>
        <v>22032</v>
      </c>
      <c r="I45" s="36" t="s">
        <v>384</v>
      </c>
      <c r="J45" s="36">
        <v>13968</v>
      </c>
    </row>
    <row r="46" spans="1:10" x14ac:dyDescent="0.15">
      <c r="A46" s="35">
        <v>45</v>
      </c>
      <c r="B46" s="35" t="s">
        <v>245</v>
      </c>
      <c r="C46" s="35" t="s">
        <v>374</v>
      </c>
      <c r="D46" s="35">
        <v>2.5</v>
      </c>
      <c r="E46" s="35">
        <v>20</v>
      </c>
      <c r="F46" s="66">
        <v>392.7</v>
      </c>
      <c r="G46" s="35">
        <f t="shared" si="3"/>
        <v>7854</v>
      </c>
      <c r="I46" s="36" t="s">
        <v>384</v>
      </c>
      <c r="J46" s="36">
        <v>7752</v>
      </c>
    </row>
    <row r="47" spans="1:10" x14ac:dyDescent="0.15">
      <c r="A47" s="35">
        <v>46</v>
      </c>
      <c r="B47" s="35" t="s">
        <v>245</v>
      </c>
      <c r="C47" s="35" t="s">
        <v>374</v>
      </c>
      <c r="D47" s="35">
        <v>3</v>
      </c>
      <c r="E47" s="35">
        <v>20</v>
      </c>
      <c r="F47" s="35">
        <v>392.7</v>
      </c>
      <c r="G47" s="35">
        <f t="shared" si="3"/>
        <v>7854</v>
      </c>
      <c r="I47" s="36" t="s">
        <v>384</v>
      </c>
      <c r="J47" s="36">
        <v>7752</v>
      </c>
    </row>
    <row r="48" spans="1:10" x14ac:dyDescent="0.15">
      <c r="A48" s="35">
        <v>47</v>
      </c>
      <c r="B48" s="35" t="s">
        <v>245</v>
      </c>
      <c r="C48" s="35" t="s">
        <v>302</v>
      </c>
      <c r="D48" s="35">
        <v>10</v>
      </c>
      <c r="E48" s="35">
        <v>17</v>
      </c>
      <c r="F48" s="35">
        <v>4998</v>
      </c>
      <c r="G48" s="35">
        <f t="shared" si="3"/>
        <v>84966</v>
      </c>
      <c r="I48" s="36" t="s">
        <v>384</v>
      </c>
      <c r="J48" s="36">
        <v>34680</v>
      </c>
    </row>
    <row r="49" spans="1:10" x14ac:dyDescent="0.15">
      <c r="A49" s="35">
        <v>48</v>
      </c>
      <c r="B49" s="35" t="s">
        <v>245</v>
      </c>
      <c r="C49" s="35" t="s">
        <v>385</v>
      </c>
      <c r="D49" s="35">
        <v>13</v>
      </c>
      <c r="E49" s="35">
        <v>4</v>
      </c>
      <c r="F49" s="35">
        <v>3264</v>
      </c>
      <c r="G49" s="35">
        <f t="shared" si="3"/>
        <v>13056</v>
      </c>
      <c r="H49" s="23" t="s">
        <v>387</v>
      </c>
      <c r="I49" s="36" t="s">
        <v>384</v>
      </c>
      <c r="J49" s="36">
        <v>12648</v>
      </c>
    </row>
    <row r="50" spans="1:10" x14ac:dyDescent="0.15">
      <c r="A50" s="35">
        <v>49</v>
      </c>
      <c r="B50" s="35" t="s">
        <v>245</v>
      </c>
      <c r="C50" s="35" t="s">
        <v>385</v>
      </c>
      <c r="D50" s="35">
        <v>14</v>
      </c>
      <c r="E50" s="35">
        <v>2</v>
      </c>
      <c r="F50" s="35">
        <v>3264</v>
      </c>
      <c r="G50" s="35">
        <f t="shared" si="3"/>
        <v>6528</v>
      </c>
      <c r="H50" s="23" t="s">
        <v>387</v>
      </c>
      <c r="I50" s="36" t="s">
        <v>384</v>
      </c>
      <c r="J50" s="36">
        <v>6324</v>
      </c>
    </row>
    <row r="51" spans="1:10" x14ac:dyDescent="0.15">
      <c r="A51" s="35">
        <v>50</v>
      </c>
      <c r="B51" s="35" t="s">
        <v>245</v>
      </c>
      <c r="C51" s="35" t="s">
        <v>385</v>
      </c>
      <c r="D51" s="35">
        <v>20</v>
      </c>
      <c r="E51" s="35">
        <v>7</v>
      </c>
      <c r="F51" s="66">
        <v>5712</v>
      </c>
      <c r="G51" s="35">
        <f t="shared" si="3"/>
        <v>39984</v>
      </c>
      <c r="H51" s="23" t="s">
        <v>387</v>
      </c>
      <c r="I51" s="36" t="s">
        <v>384</v>
      </c>
      <c r="J51" s="36">
        <v>38556</v>
      </c>
    </row>
    <row r="52" spans="1:10" x14ac:dyDescent="0.15">
      <c r="A52" s="35">
        <v>51</v>
      </c>
      <c r="B52" s="35" t="s">
        <v>245</v>
      </c>
      <c r="C52" s="35" t="s">
        <v>385</v>
      </c>
      <c r="D52" s="35">
        <v>25</v>
      </c>
      <c r="E52" s="35">
        <v>3</v>
      </c>
      <c r="F52" s="66">
        <v>5712</v>
      </c>
      <c r="G52" s="35">
        <f t="shared" si="3"/>
        <v>17136</v>
      </c>
      <c r="H52" s="23" t="s">
        <v>387</v>
      </c>
      <c r="I52" s="36" t="s">
        <v>384</v>
      </c>
      <c r="J52" s="36">
        <v>16524</v>
      </c>
    </row>
    <row r="53" spans="1:10" x14ac:dyDescent="0.15">
      <c r="A53" s="35">
        <v>52</v>
      </c>
      <c r="B53" s="35" t="s">
        <v>245</v>
      </c>
      <c r="C53" s="35" t="s">
        <v>363</v>
      </c>
      <c r="D53" s="35">
        <v>0.5</v>
      </c>
      <c r="E53" s="35">
        <v>1866</v>
      </c>
      <c r="F53" s="35">
        <v>4.08</v>
      </c>
      <c r="G53" s="35">
        <f t="shared" si="3"/>
        <v>7613.28</v>
      </c>
      <c r="H53" s="36" t="s">
        <v>402</v>
      </c>
      <c r="I53" s="36" t="s">
        <v>384</v>
      </c>
      <c r="J53" s="36">
        <v>7651</v>
      </c>
    </row>
    <row r="54" spans="1:10" x14ac:dyDescent="0.15">
      <c r="A54" s="35">
        <v>53</v>
      </c>
      <c r="B54" s="35" t="s">
        <v>370</v>
      </c>
      <c r="C54" s="35" t="s">
        <v>207</v>
      </c>
      <c r="D54" s="35">
        <v>2.5</v>
      </c>
      <c r="E54" s="35">
        <v>200</v>
      </c>
      <c r="F54" s="67">
        <v>20.399999999999999</v>
      </c>
      <c r="G54" s="35">
        <f>F54*E54*D54</f>
        <v>10199.999999999998</v>
      </c>
      <c r="H54" s="36" t="s">
        <v>403</v>
      </c>
      <c r="I54" s="65" t="s">
        <v>384</v>
      </c>
      <c r="J54" s="36">
        <v>3060</v>
      </c>
    </row>
    <row r="55" spans="1:10" x14ac:dyDescent="0.15">
      <c r="A55" s="35">
        <v>54</v>
      </c>
      <c r="B55" s="35" t="s">
        <v>245</v>
      </c>
      <c r="C55" s="35" t="s">
        <v>390</v>
      </c>
      <c r="D55" s="35">
        <v>13</v>
      </c>
      <c r="E55" s="35">
        <v>160</v>
      </c>
      <c r="F55" s="35">
        <v>275.39999999999998</v>
      </c>
      <c r="G55" s="35">
        <f t="shared" si="3"/>
        <v>44064</v>
      </c>
      <c r="H55" s="36" t="s">
        <v>392</v>
      </c>
      <c r="I55" s="36" t="s">
        <v>384</v>
      </c>
      <c r="J55" s="36">
        <v>39200</v>
      </c>
    </row>
    <row r="56" spans="1:10" x14ac:dyDescent="0.15">
      <c r="A56" s="35">
        <v>55</v>
      </c>
      <c r="B56" s="35" t="s">
        <v>370</v>
      </c>
      <c r="C56" s="35" t="s">
        <v>364</v>
      </c>
      <c r="D56" s="35">
        <v>0.3</v>
      </c>
      <c r="E56" s="35">
        <v>400</v>
      </c>
      <c r="F56" s="35">
        <v>7.5</v>
      </c>
      <c r="G56" s="35">
        <f t="shared" si="3"/>
        <v>3000</v>
      </c>
      <c r="H56" s="36" t="s">
        <v>395</v>
      </c>
      <c r="I56" s="36" t="s">
        <v>384</v>
      </c>
      <c r="J56" s="36">
        <v>219250</v>
      </c>
    </row>
    <row r="57" spans="1:10" x14ac:dyDescent="0.15">
      <c r="A57" s="35">
        <v>56</v>
      </c>
      <c r="B57" s="35" t="s">
        <v>370</v>
      </c>
      <c r="C57" s="35" t="s">
        <v>360</v>
      </c>
      <c r="D57" s="35">
        <v>0.8</v>
      </c>
      <c r="E57" s="35">
        <v>11666</v>
      </c>
      <c r="F57" s="35">
        <f>VLOOKUP(C57,补偿标准!A:G,VLOOKUP(D57,补偿标准!K:L,2,1),0)</f>
        <v>4.59</v>
      </c>
      <c r="G57" s="35">
        <f>F57*E57</f>
        <v>53546.939999999995</v>
      </c>
      <c r="I57" s="36" t="s">
        <v>384</v>
      </c>
      <c r="J57" s="36">
        <v>47831</v>
      </c>
    </row>
    <row r="58" spans="1:10" x14ac:dyDescent="0.15">
      <c r="A58" s="35">
        <v>57</v>
      </c>
      <c r="B58" s="35" t="s">
        <v>370</v>
      </c>
      <c r="C58" s="35" t="s">
        <v>368</v>
      </c>
      <c r="D58" s="35">
        <v>1</v>
      </c>
      <c r="E58" s="35">
        <v>30</v>
      </c>
      <c r="F58" s="35">
        <f>VLOOKUP(C58,补偿标准!A:G,VLOOKUP(D58,补偿标准!K:L,2,1),0)</f>
        <v>53.04</v>
      </c>
      <c r="G58" s="35">
        <f>F58*E58</f>
        <v>1591.2</v>
      </c>
      <c r="H58" s="36" t="s">
        <v>404</v>
      </c>
      <c r="I58" s="65" t="s">
        <v>384</v>
      </c>
      <c r="J58" s="36">
        <v>1470</v>
      </c>
    </row>
    <row r="59" spans="1:10" x14ac:dyDescent="0.15">
      <c r="A59" s="35">
        <v>58</v>
      </c>
      <c r="B59" s="35" t="s">
        <v>245</v>
      </c>
      <c r="C59" s="35" t="s">
        <v>215</v>
      </c>
      <c r="D59" s="35">
        <v>18</v>
      </c>
      <c r="E59" s="35">
        <v>4</v>
      </c>
      <c r="F59" s="35">
        <f>VLOOKUP(C59,补偿标准!A:G,VLOOKUP(D59,补偿标准!K:L,2,1),0)</f>
        <v>52</v>
      </c>
      <c r="G59" s="35">
        <f>F59*E59*D59</f>
        <v>3744</v>
      </c>
      <c r="H59" s="36" t="s">
        <v>399</v>
      </c>
      <c r="I59" s="65" t="s">
        <v>383</v>
      </c>
      <c r="J59" s="36">
        <v>3744</v>
      </c>
    </row>
    <row r="60" spans="1:10" x14ac:dyDescent="0.15">
      <c r="A60" s="35">
        <v>59</v>
      </c>
      <c r="B60" s="35" t="s">
        <v>245</v>
      </c>
      <c r="C60" s="35" t="s">
        <v>215</v>
      </c>
      <c r="D60" s="35">
        <v>20</v>
      </c>
      <c r="E60" s="35">
        <v>2</v>
      </c>
      <c r="F60" s="35">
        <f>VLOOKUP(C60,补偿标准!A:G,VLOOKUP(D60,补偿标准!K:L,2,1),0)</f>
        <v>76</v>
      </c>
      <c r="G60" s="35">
        <f>F60*E60*D60</f>
        <v>3040</v>
      </c>
      <c r="H60" s="36" t="s">
        <v>399</v>
      </c>
      <c r="I60" s="65" t="s">
        <v>383</v>
      </c>
      <c r="J60" s="36">
        <v>3040</v>
      </c>
    </row>
    <row r="61" spans="1:10" x14ac:dyDescent="0.15">
      <c r="A61" s="35">
        <v>60</v>
      </c>
      <c r="B61" s="35" t="s">
        <v>245</v>
      </c>
      <c r="C61" s="35" t="s">
        <v>396</v>
      </c>
      <c r="D61" s="35">
        <v>10</v>
      </c>
      <c r="E61" s="35">
        <v>16</v>
      </c>
      <c r="F61" s="61">
        <v>200</v>
      </c>
      <c r="G61" s="35">
        <f t="shared" si="3"/>
        <v>3200</v>
      </c>
      <c r="J61" s="36">
        <v>3200</v>
      </c>
    </row>
    <row r="62" spans="1:10" x14ac:dyDescent="0.15">
      <c r="G62" s="36">
        <f>SUM(G2:G61)</f>
        <v>869621.41999999993</v>
      </c>
      <c r="J62" s="36">
        <f>SUM(J2:J61)</f>
        <v>1017273</v>
      </c>
    </row>
  </sheetData>
  <phoneticPr fontId="2" type="noConversion"/>
  <dataValidations count="1">
    <dataValidation type="list" allowBlank="1" showInputMessage="1" showErrorMessage="1" sqref="C54 C56:C58 C2:C38" xr:uid="{7E857468-145E-4637-BB57-128BEAFF8144}">
      <formula1>INDIRECT(B2)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804EB-169F-44A5-958B-9ECECCA355B5}">
          <x14:formula1>
            <xm:f>下拉菜单!$A$2:$A$125</xm:f>
          </x14:formula1>
          <xm:sqref>C39:C55 C57:C61</xm:sqref>
        </x14:dataValidation>
        <x14:dataValidation type="list" allowBlank="1" showInputMessage="1" showErrorMessage="1" xr:uid="{BF46AFB8-D0DE-4CBC-8EF6-80C1585DC9DC}">
          <x14:formula1>
            <xm:f>下拉菜单!$A$1:$C$1</xm:f>
          </x14:formula1>
          <xm:sqref>B2:B61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4</vt:i4>
      </vt:variant>
    </vt:vector>
  </HeadingPairs>
  <TitlesOfParts>
    <vt:vector size="14" baseType="lpstr">
      <vt:lpstr>树木（院外）</vt:lpstr>
      <vt:lpstr>树木（北院）</vt:lpstr>
      <vt:lpstr>树木（南院）</vt:lpstr>
      <vt:lpstr>汇总</vt:lpstr>
      <vt:lpstr>测算表</vt:lpstr>
      <vt:lpstr>补偿标准</vt:lpstr>
      <vt:lpstr>补偿标准1</vt:lpstr>
      <vt:lpstr>下拉菜单</vt:lpstr>
      <vt:lpstr>瀛海</vt:lpstr>
      <vt:lpstr>树木</vt:lpstr>
      <vt:lpstr>成材树木</vt:lpstr>
      <vt:lpstr>灌木及其他</vt:lpstr>
      <vt:lpstr>幼苗</vt:lpstr>
      <vt:lpstr>榆树苗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cp:lastPrinted>2019-05-03T08:29:44Z</cp:lastPrinted>
  <dcterms:created xsi:type="dcterms:W3CDTF">2019-05-03T06:04:04Z</dcterms:created>
  <dcterms:modified xsi:type="dcterms:W3CDTF">2023-11-02T05:42:51Z</dcterms:modified>
</cp:coreProperties>
</file>